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E7B59588-99C4-0F43-8133-F73AC641D297}"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T58"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T452" i="1"/>
  <c r="BT453" i="1"/>
  <c r="BT454"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T562" i="1"/>
  <c r="BF563" i="1"/>
  <c r="BT563" i="1"/>
  <c r="BF564" i="1"/>
  <c r="BT564" i="1"/>
  <c r="BF565" i="1"/>
  <c r="BT565" i="1"/>
  <c r="BF566" i="1"/>
  <c r="BT566" i="1"/>
  <c r="BF567" i="1"/>
  <c r="BT567" i="1"/>
  <c r="BF568" i="1"/>
  <c r="BT568" i="1"/>
  <c r="BF569" i="1"/>
  <c r="BT569" i="1"/>
  <c r="BF570" i="1"/>
  <c r="BT570" i="1"/>
  <c r="BF571" i="1"/>
  <c r="BT571" i="1"/>
  <c r="BT572" i="1"/>
  <c r="BT573" i="1"/>
  <c r="BT574" i="1"/>
  <c r="BT575"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T933" i="1"/>
  <c r="BF934" i="1"/>
  <c r="BT934" i="1"/>
  <c r="BF935" i="1"/>
  <c r="BT935" i="1"/>
  <c r="BF936" i="1"/>
  <c r="BT936" i="1"/>
  <c r="BF937" i="1"/>
  <c r="BT937" i="1"/>
  <c r="BF938" i="1"/>
  <c r="BT938" i="1"/>
  <c r="BF939" i="1"/>
  <c r="BT939" i="1"/>
  <c r="BF940" i="1"/>
  <c r="BT940" i="1"/>
  <c r="BF941" i="1"/>
  <c r="BT941" i="1"/>
  <c r="BF942" i="1"/>
  <c r="BT942" i="1"/>
  <c r="BF943" i="1"/>
  <c r="BT943"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<sst xmlns="http://schemas.openxmlformats.org/spreadsheetml/2006/main" count="59399" uniqueCount="18943">
  <si>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</si>
  <si>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</si>
  <si>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</si>
  <si>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</si>
  <si>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</si>
  <si>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</si>
  <si>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</si>
  <si>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</si>
  <si>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</si>
  <si>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</si>
  <si>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</si>
  <si>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</si>
  <si>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</si>
  <si>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</si>
  <si>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</si>
  <si>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</si>
  <si>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</si>
  <si>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</si>
  <si>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</si>
  <si>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</si>
  <si>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</si>
  <si>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</si>
  <si>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</si>
  <si>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</si>
  <si>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</si>
  <si>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</si>
  <si>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</si>
  <si>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</si>
  <si>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</si>
  <si>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</si>
  <si>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</si>
  <si>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</si>
  <si>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</si>
  <si>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</si>
  <si>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</si>
  <si>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</si>
  <si>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</si>
  <si>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</si>
  <si>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</si>
  <si>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</si>
  <si>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</si>
  <si>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</si>
  <si>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</si>
  <si>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</si>
  <si>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</si>
  <si>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</si>
  <si>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</si>
  <si>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</si>
  <si>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</si>
  <si>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</si>
  <si>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</si>
  <si>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</si>
  <si>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</si>
  <si>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</si>
  <si>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</si>
  <si>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</si>
  <si>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</si>
  <si>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</si>
  <si>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</si>
  <si>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</si>
  <si>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</si>
  <si>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</si>
  <si>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</si>
  <si>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</si>
  <si>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</si>
  <si>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</si>
  <si>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</si>
  <si>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</si>
  <si>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</si>
  <si>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</si>
  <si>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</si>
  <si>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</si>
  <si>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</si>
  <si>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Taylor-Brown, A; Pillonel, T; Greub, G; Vaughan, L; Nowak, B; Polkinghorne, A</t>
  </si>
  <si>
    <t/>
  </si>
  <si>
    <t>Taylor-Brown, Alyce; Pillonel, Trestan; Greub, Gilbert; Vaughan, Lloyd; Nowak, Barbara; Polkinghorne, Adam</t>
  </si>
  <si>
    <t>Metagenomic Analysis of Fish-Associated Ca. Parilichlamydiaceae Reveals Striking Metabolic Similarities to the Terrestrial Chlamydiaceae</t>
  </si>
  <si>
    <t>GENOME BIOLOGY AND EVOLUTION</t>
  </si>
  <si>
    <t>English</t>
  </si>
  <si>
    <t>Article</t>
  </si>
  <si>
    <t>Chlamydiae; Chlamydia-related bacteria; genomics; metagenomics; convergent evolution; intracellular bacteria; metabolism</t>
  </si>
  <si>
    <t>MINIMAL-GENE-SET; EPITHELIOCYSTIS AGENT; SP-NOV; CANDIDATUS PARILICHLAMYDIACEAE; MOLECULAR CHARACTERIZATION; INTRACELLULAR PARASITES; STRIPED TRUMPETER; SEQUENCE-ANALYSIS; GENOMIC FEATURES; READ ALIGNMENT</t>
  </si>
  <si>
    <t>Chlamydiae are an example of obligate intracellular bacteria that possess highly reduced, compact genomes (1.0-3.5 Mbp), reflective of their abilities to sequester many essential nutrients from the host that they no longer need to synthesize themselves. The Chlamydiae is a phylum with a very wide host range spanning mammals, birds, fish, invertebrates, and unicellular protists. This ecological and phylogenetic diversity offers ongoing opportunities to study intracellular survival and metabolic pathways and adaptations. Of particular evolutionary significance are Chlamydiae from the recently proposed Ca. Parilichlamydiaceae, the earliest diverging clade in this phylum, species of which are found only in aquatic vertebrates. Gill extracts from three Chlamydiales-positive Australian aquaculture species (Yellowtail kingfish, Striped trumpeter, and Barramundi) were subject to DNA preparation to deplete host DNA and enrich microbial DNA, prior to metagenome sequencing. We assembled chlamydial genomes corresponding to three Ca. Parilichlamydiaceae species from gill metagenomes, and conducted functional genomics comparisons with diverse members of the phylum. This revealed highly reduced genomes more similar in size to the terrestrial Chlamydiaceae, standing in contrast to members of the Chlamydiae with a demonstrated cosmopolitan host range. We describe a reduction in genes encoding synthesis of nucleotides and amino acids, among other nutrients, and an enrichment of predicted transport proteins. Ca. Parilichlamydiaceae share 342 orthologs with other chlamydial families. We hypothesize that the genome reduction exhibited by Ca. Parilichlamydiaceae and Chlamydiaceae is an example of within-phylum convergent evolution. The factors driving these events remain to be elucidated.</t>
  </si>
  <si>
    <t>[Taylor-Brown, Alyce; Polkinghorne, Adam] Univ Sunshine Coast, Anim Res Ctr, Fac Sci Engn &amp; Educ, Sippy Downs, Qld, Australia; [Pillonel, Trestan; Greub, Gilbert] Univ Lausanne, Inst Microbiol, Lausanne, Switzerland; [Pillonel, Trestan; Greub, Gilbert] Univ Hosp Ctr, Lausanne, Switzerland; [Vaughan, Lloyd] Univ Zurich, Inst Vet Pathol, Zurich, Switzerland; [Vaughan, Lloyd] Pathovet AG, Tagelswangen, Switzerland; [Nowak, Barbara] Univ Tasmania, Inst Marine &amp; Antarctic Studies, Newnham, Tasmania, Australia</t>
  </si>
  <si>
    <t>University of the Sunshine Coast; University of Lausanne; University of Zurich; University of Tasmania</t>
  </si>
  <si>
    <t>Polkinghorne, A (corresponding author), Univ Sunshine Coast, Anim Res Ctr, Fac Sci Engn &amp; Educ, Sippy Downs, Qld, Australia.</t>
  </si>
  <si>
    <t>apolking@usc.edu.au</t>
  </si>
  <si>
    <t>Greub, Gilbert GG/K-5804-2017; Vaughan, Lloyd/GNP-4888-2022; Nowak, Barbara/J-7261-2014</t>
  </si>
  <si>
    <t>Greub, Gilbert GG/0000-0001-9529-3317; Polkinghorne, Adam/0000-0002-6567-2962; Pillonel, Trestan/0000-0002-5725-7929; Nowak, Barbara/0000-0002-0347-643X</t>
  </si>
  <si>
    <t>University of the Sunshine Coast Faculty Research Grant [FoSHEE-HDR-035.06065]</t>
  </si>
  <si>
    <t>University of the Sunshine Coast Faculty Research Grant</t>
  </si>
  <si>
    <t>The authors would like to acknowledge Megan Stride and Abigail Elizur for generously sharing DNA extracts, Helena Seth-Smith and Weihong Qi for discussions regarding appropriate DNA preparation and bioinformatics methods, Nathan Bachmann, Erin Price, and Derek Sarovich for bioinformatics assistance, and Peter Timms and Martina Jelocnik for ongoing chlamydial taxonomy and evolution discussions. This work was supported by a University of the Sunshine Coast Faculty Research Grant awarded to A.T.B. (grant number FoSHEE-HDR-035.06065).</t>
  </si>
  <si>
    <t>OXFORD UNIV PRESS</t>
  </si>
  <si>
    <t>OXFORD</t>
  </si>
  <si>
    <t>GREAT CLARENDON ST, OXFORD OX2 6DP, ENGLAND</t>
  </si>
  <si>
    <t>1759-6653</t>
  </si>
  <si>
    <t>GENOME BIOL EVOL</t>
  </si>
  <si>
    <t>Genome Biol. Evol.</t>
  </si>
  <si>
    <t>OCT</t>
  </si>
  <si>
    <t>10.1093/gbe/evy195</t>
  </si>
  <si>
    <t>Evolutionary Biology; Genetics &amp; Heredity</t>
  </si>
  <si>
    <t>Science Citation Index Expanded (SCI-EXPANDED)</t>
  </si>
  <si>
    <t>HG9JY</t>
  </si>
  <si>
    <t>Green Published, Green Accepted, gold</t>
  </si>
  <si>
    <t>2024-04-21</t>
  </si>
  <si>
    <t>WOS:000455325000005</t>
  </si>
  <si>
    <t>Fernández, MJ; Sierra, NL; González, PM</t>
  </si>
  <si>
    <t>Jara Fernandez, Mauricio; Llanos Sierra, Nelson; Mancilla Gonzalez, Pablo</t>
  </si>
  <si>
    <t>STUDENTS AND ANTARCTICA: PERCEPTIONS OF THE WHITE CONTINENT THROUGH DRAWINGS</t>
  </si>
  <si>
    <t>REVISTA ESTUDIOS HEMISFERICOS Y POLARES</t>
  </si>
  <si>
    <t>Spanish</t>
  </si>
  <si>
    <t>Students; Antarctica; Drawings; Perceptions</t>
  </si>
  <si>
    <t>This article is the result of a research project that explored Chilean students' perceptions of the Antarctic continent through drawings. Over two hundred works made by eight grade's students were collected. Children participating in the research were students of public, subsidized, and private schools in Antofagasta, San Felipe, Valparaiso and Punta Arenas. The analysis of the drawings revealed that, in spite of Chile considers itself an Antarctic nation, the students of the country did not have specific knowledge about the natural and anthropogenic dimensions of Antarctica. This conclusion applies to all the students participating in the research, regardless of their gender, socioeconomic conditions, and the geographic locations of their schools.</t>
  </si>
  <si>
    <t>[Jara Fernandez, Mauricio; Llanos Sierra, Nelson; Mancilla Gonzalez, Pablo] Univ Playa Ancha, Valparaiso, Chile</t>
  </si>
  <si>
    <t>Universidad de Playa Ancha</t>
  </si>
  <si>
    <t>Fernández, MJ (corresponding author), Univ Playa Ancha, Fac Humanidades, Dept Disciplinario Hist, Av Playa Ancha 850, Valparaiso, Chile.</t>
  </si>
  <si>
    <t>mjara@upla.cl; nelson.llanos@upla.cl; pablo.mancilla@upla.cl</t>
  </si>
  <si>
    <t>Gonzalez, Pablo Mancilla/C-1931-2016</t>
  </si>
  <si>
    <t>CENTRO ESTUDIOS HEMISFERICOS &amp; POLARES</t>
  </si>
  <si>
    <t>VINA DEL MAR</t>
  </si>
  <si>
    <t>CALLE ROMA, 116, CALETA ABARCA, VINA DEL MAR, 2580060, CHILE</t>
  </si>
  <si>
    <t>0718-9230</t>
  </si>
  <si>
    <t>REV ESTUD HEMISFERIC</t>
  </si>
  <si>
    <t>Rev. Estud. Hemisfericos Polares</t>
  </si>
  <si>
    <t>OCT-DEC</t>
  </si>
  <si>
    <t>Area Studies</t>
  </si>
  <si>
    <t>Emerging Sources Citation Index (ESCI)</t>
  </si>
  <si>
    <t>HF9GR</t>
  </si>
  <si>
    <t>WOS:000454551000001</t>
  </si>
  <si>
    <t>Jabir, T; Jesmi, Y; Vipindas, PV; Hatha, AM</t>
  </si>
  <si>
    <t>Jabir, Thajudeen; Jesmi, Yousuf; Vipindas, Puthiya Veettil; Hatha, Abdulla Mohamed</t>
  </si>
  <si>
    <t>Diversity of nitrogen fixing bacterial communities in the coastal sediments of southeastern Arabian Sea (SEAS)</t>
  </si>
  <si>
    <t>DEEP-SEA RESEARCH PART II-TOPICAL STUDIES IN OCEANOGRAPHY</t>
  </si>
  <si>
    <t>Article; Proceedings Paper</t>
  </si>
  <si>
    <t>International Symposium on Microbial Responses to Ocean Deoxygenation</t>
  </si>
  <si>
    <t>DEC, 2016</t>
  </si>
  <si>
    <t>Natl Inst Oceanog, Council Sci &amp; Ind Res, INDIA</t>
  </si>
  <si>
    <t>Natl Inst Oceanog, Council Sci &amp; Ind Res</t>
  </si>
  <si>
    <t>Diazotrophs; Clone library; nifH; Nitrogen fixation; Coastal Sediments; SEAS</t>
  </si>
  <si>
    <t>NIFH GENES; ACETYLENE-REDUCTION; SULFATE-REDUCTION; FIXATION; ESTUARY; RIVER; DIAZOTROPHS; EXPRESSION; RATES; BAY</t>
  </si>
  <si>
    <t>The present study depicts diversity, abundance and activity of nitrogen (N-2) fixing bacterial communities in the coastal sediments of southeastern Arabian Sea (SEAS). The diversity of N-2 fixing bacterial community was determined by clone library analysis of nifH gene, the culturable N-2 fixing bacteria was determined by 16s rRNA and nifH gene analysis. The nitrogen fixation rate in the sediments was also estimated by acetylene reduction assay method. The nifH clone library analysis revealed that fifteen putative diazotrophs, belonging to alpha-, beta-, gamma-, delta-, epsilon- Proteobacteria and Firmicutes. The predominant operational taxonomic units (OTUs) among these were related to alpha-Proteobacteria (with 16% of total sequences); beta-Proteobacteria (10% sequences); gamma-Proteobacteria (29% sequences); delta-Proteobacteria (11% sequences); epsilon-Proteobacteria (21% sequences); Firmicutes (3% of sequences) and percent of some sequences remained unknown. The 16s rRNA gene based identification of culturable N-2 fixing bacteria revealed the presence of seven nitrogen fixing bacterial species namely Acinetobacter johnsonii, Rhizobium rosettiformans, Bacillus megaterium, B. circulars, B. flezus, B. oceanisediminis and B. subtilis. The observed N-2 fixation rate in the sediments ranged from 0.12 to 0.36 nmol N g(-1) h(-1).Canonical correspondence analysis (CCA) revealed significant influence of the environmental variables such as sediment type, total nitrogen (TN), total organic matter (TOM), total organic carbon (TOC), iron (Fe), manganese (Mn), total sulfur (TS), nitrite (NO2) and nitrate (NO3) on the diversity of N-2 fixing bacteria and N2 fixation rate. The observations of the current study provide a better understanding of N-2 cycling in coastal sediments of the SEAS and sources of fixed nitrogen.</t>
  </si>
  <si>
    <t>[Jabir, Thajudeen; Vipindas, Puthiya Veettil; Hatha, Abdulla Mohamed] Cochin Univ Sci &amp; Technol, Sch Marine Sci, Dept Marine Biol Microbiol &amp; Biochem, Kochi 682016, Kerala, India; [Jesmi, Yousuf] Mahatma Gandhi Univ, Sch Environm Sci, Kottayam 686560, Kerala, India; [Vipindas, Puthiya Veettil] Natl Ctr Antarctic &amp; Ocean Res, Cryobiol Lab, Vasco Da Gama 403804, Goa, India</t>
  </si>
  <si>
    <t>Cochin University Science &amp; Technology; Mahatma Gandhi University, Kerala; Ministry of Earth Sciences (MoES) - India; National Centre for Polar and Ocean Research (NCPOR)</t>
  </si>
  <si>
    <t>Jabir, T; Hatha, AM (corresponding author), Cochin Univ Sci &amp; Technol, Sch Marine Sci, Dept Marine Biol Microbiol &amp; Biochem, Kochi 682016, Kerala, India.</t>
  </si>
  <si>
    <t>jabir.t@cusat.ac.in; mohamedhatha@cusat.ac.in</t>
  </si>
  <si>
    <t>Abdulla, Mohamed Hatha/0000-0003-0136-2911</t>
  </si>
  <si>
    <t>Ministry of Earth Sciences (MoES), Government of India under the Sustained Indian Ocean Biogeochemical and Ecological Research (SIBER) programme [MoES/36/001S/Siber/07]; SCOR; CSIR; Ministry of Earth Sciences, Government of India; SCOR [WG 144]</t>
  </si>
  <si>
    <t>Ministry of Earth Sciences (MoES), Government of India under the Sustained Indian Ocean Biogeochemical and Ecological Research (SIBER) programme; SCOR; CSIR(Council of Scientific &amp; Industrial Research (CSIR) - India); Ministry of Earth Sciences, Government of India(Ministry of Earth Science (MoES), Government of India); SCOR</t>
  </si>
  <si>
    <t>This work was supported by the Ministry of Earth Sciences (MoES), Government of India, under the Sustained Indian Ocean Biogeochemical and Ecological Research (SIBER) programme (MoES/36/001S/Siber/07). The authors are thankful to the Centre for Marine Living Resources and Ecology (CMLRE-MoES), Kochi, India and the researchers and staff members of FORV Sagar Sampada for providing necessary facilities for sample collection and also to the Head, Department of Marine Biology, Microbiology, and Biochemistry, School of Marine Sciences, Cochin University of Science and Technology (CUSAT), Kochi, for providing necessary facilities for carrying out this work. We are also grateful to Dr. Arvind Singh, Physical Research Laboratory, Ahmadabad, India for providing constructive comments on the manuscript. The authors gratefully thank SCOR WG 144 and the SCOR, the CSIR and Ministry of Earth Sciences, Government of India for financial support for the International Symposium on Ocean Deoxygenation at the CSIR-NIO, Goa held during Dec 02-06, 2016.</t>
  </si>
  <si>
    <t>PERGAMON-ELSEVIER SCIENCE LTD</t>
  </si>
  <si>
    <t>THE BOULEVARD, LANGFORD LANE, KIDLINGTON, OXFORD OX5 1GB, ENGLAND</t>
  </si>
  <si>
    <t>0967-0645</t>
  </si>
  <si>
    <t>1879-0100</t>
  </si>
  <si>
    <t>DEEP-SEA RES PT II</t>
  </si>
  <si>
    <t>Deep-Sea Res. Part II-Top. Stud. Oceanogr.</t>
  </si>
  <si>
    <t>SI</t>
  </si>
  <si>
    <t>10.1016/j.dsr2.2018.09.010</t>
  </si>
  <si>
    <t>Oceanography</t>
  </si>
  <si>
    <t>Science Citation Index Expanded (SCI-EXPANDED); Conference Proceedings Citation Index - Science (CPCI-S)</t>
  </si>
  <si>
    <t>HF4DV</t>
  </si>
  <si>
    <t>WOS:000454184300007</t>
  </si>
  <si>
    <t>Lee, H; Jo, KN; Lim, J</t>
  </si>
  <si>
    <t>Lee, Hojun; Jo, Kyoung-nam; Lim, Jaesoo</t>
  </si>
  <si>
    <t>The strengthening of North Atlantic Deep Water during the late Oligocene based on the benthic foraminiferal species Oridorsalis umbonatus</t>
  </si>
  <si>
    <t>JOURNAL OF THE GEOLOGICAL SOCIETY OF KOREA</t>
  </si>
  <si>
    <t>Korean</t>
  </si>
  <si>
    <t>IODP Expedition 342; late Oligocene warming; benthic foraminifera; grain size; North Atlantic Deep Water</t>
  </si>
  <si>
    <t>SOUTHERN-OCEAN; ANTARCTIC GLACIATION; LATE EOCENE; SEA; CLIMATE; RECORDS; OXYGEN; CIRCULATION; EVOLUTION; ECOLOGY</t>
  </si>
  <si>
    <t>A series of geological events such as the formation of the Antarctic continental ice sheets, the changes in ocean circulation and a mass extinction after the onset of Oligocene has been studied as major concerns by various researches. However, paleoclimatic and paleoceanographic changes during the most period of Oligocene since the Eocene-Oligocene transition (EOT) still remains unclear. Especially, although the late Oligocene warming (LOW) has been assessed as the largest period in the paleoceanographic changes, the detailed understanding on the changed components is very low. The purpose of this study is the reconstruction of the paleoceanographic history during the late Oligocene using core sediments from IODP Expedition 342 Site U1406 performed in J-Anomaly Ridge in North Atlantic. Because North Atlantic deep water (NADW) has flowed southward through the study area since the early Oligocene, this area has been considered to an important location for studies on the changes of NADW. The core sediment analyzed in this study were deposited from about 26.0 to 26.5 Ma as evidenced by both of onboard and shore-based paleomagnetic data, and this is corresponded to the earliest period of LOW. The sediment profile can be divided into three Units (Unit 1, 2 &amp; 3) based on the changes in both of total number and test size of Oridorsalis umbonatus as well as grain size data of clastic sediments. Unit 2 represents largest values in these three data. Because the total number, test size of O. umbonatus and grain size can be proxy records on the oxygen concentration and circulation intensity of deep water, we interpreted that Unit 2 had been deposited during the period of relatively strengthened NADW. Previous Cibicidoides spp. stable isotope results from the low latitude region of the North Atlantic also support our interpretation that is the intensified formation of NADW during the identical period. In conclusion, our results present a new evidence for the previous ideas that the causes on LOW are directly related to the changes in NADW.</t>
  </si>
  <si>
    <t>[Lee, Hojun; Jo, Kyoung-nam] Kangwon Natl Univ, Div Geol &amp; Geophys, Chunchon 24341, South Korea; [Lee, Hojun; Jo, Kyoung-nam] Kangwon Natl Univ, Crit Zone Frontier Res Lab CFRL, Chunchon 24341, South Korea; [Lim, Jaesoo] Korea Inst Geosci &amp; Mineral Resources, Geol Environm Div, Daejeon 34132, South Korea</t>
  </si>
  <si>
    <t>Kangwon National University; Kangwon National University; Korea Institute of Geoscience &amp; Mineral Resources (KIGAM)</t>
  </si>
  <si>
    <t>Jo, KN (corresponding author), Kangwon Natl Univ, Div Geol &amp; Geophys, Chunchon 24341, South Korea.;Jo, KN (corresponding author), Kangwon Natl Univ, Crit Zone Frontier Res Lab CFRL, Chunchon 24341, South Korea.</t>
  </si>
  <si>
    <t>kjo@kangwon.ac.kr</t>
  </si>
  <si>
    <t>Lim, Jaesoo/N-4219-2017</t>
  </si>
  <si>
    <t>GEOLOGICAL SOC KOREA</t>
  </si>
  <si>
    <t>SEOUL</t>
  </si>
  <si>
    <t>KOREA SCIENCE &amp; TECHNOLOGY CTR, RM 813, 7 GIL 22, TEHERAN- RO, GANGNAM-GUNA, SEOUL, 06130, SOUTH KOREA</t>
  </si>
  <si>
    <t>0435-4036</t>
  </si>
  <si>
    <t>2288-7377</t>
  </si>
  <si>
    <t>J GEOL SOC KOREA</t>
  </si>
  <si>
    <t>J. Geol. Soc. Korea</t>
  </si>
  <si>
    <t>10.14770/jgsk.2018.54.5.489</t>
  </si>
  <si>
    <t>Geosciences, Multidisciplinary</t>
  </si>
  <si>
    <t>Geology</t>
  </si>
  <si>
    <t>HF2AL</t>
  </si>
  <si>
    <t>WOS:000454037000002</t>
  </si>
  <si>
    <t>Eaves, SR; Collins, JA; Jones, RS; Norton, KP; Tims, SG; Mackintosh, AN</t>
  </si>
  <si>
    <t>Eaves, Shaun R.; Collins, Julia A.; Jones, R. Selwyn; Norton, Kevin P.; Tims, Stephen G.; Mackintosh, Andrew N.</t>
  </si>
  <si>
    <t>Further constraint of the in situ cosmogenic 10Be production rate in pyroxene and a viability test for late Quaternary exposure dating</t>
  </si>
  <si>
    <t>QUATERNARY GEOCHRONOLOGY</t>
  </si>
  <si>
    <t>Be-10; Pyroxene; Sequential leaching; Cosmogenic nuclides; Production rate calibration</t>
  </si>
  <si>
    <t>NUCLIDE PRODUCTION-RATES; NORTH-ISLAND; LANDSCAPE EVOLUTION; MOUNT RUAPEHU; AGES; HE-3; AL-26; EARTH; CALIBRATION; RANGE</t>
  </si>
  <si>
    <t>Beryllium-10 (Be-10) in quartz represents the most common in situ cosmogenic nuclide used for quantifying Earthsurface processes, primarily due to the prevalence of quartz in the Earth's crust. However many landscapes lack quartz-bearing rocks, thus other nuclide-mineral pairs are required for geochronometric and geomorphic applications. Here we describe the successful isolation and measurement of in situ Be-10 concentrations in pyroxene from two mafic sample sets: (i) andesite boulders of the Murimotu Formation debris avalanche on Mt. Ruapehu, New Zealand, and (ii) dolerite cobbles deposited in a similar to 100 m vertical transect at Mt. Gran by Mackay Glacier, Antarctica. Precise radiocarbon age constraint of the New Zealand site provides further geological constraint of the reference (at sea level and high latitude) Be-10 production rate in pyroxene, which we find to be indistinguishable from a previous estimate. Combining our results with previous data yields a reference production rate of 3.2 +/- 0.8 at. g(-1) yr(-1) (n= 5; 'Lm' scaling). Application of this rate to the glacial cobbles at Mackay Glacier yields a relatively coherent chronology of ice surface lowering between similar to 14 and 6 ka, which is broadly consistent with a well-constrained quartz-based Be-10 chronology from nearby nunataks. Improving the viability of in situ Be-10 for geological applications in mafic domains requires increased analytical precision beyond current levels. This improvement may be best achieved by further modification of the quartz-based methodologies for Be-10 purification, in order to better handle the high cationic contaminant loads of ferromagnesian minerals. In addition, further Be-10 measurements from suitable mafic sedimentary deposits with independent age control (e.g. existing cosmogenic He-3 calibration sites) will help to refine estimates of the reference production rate.</t>
  </si>
  <si>
    <t>[Eaves, Shaun R.; Mackintosh, Andrew N.] Victoria Univ Wellington, Antarctic Res Ctr, POB 600, Wellington 6140, New Zealand; [Collins, Julia A.] GNS Sci, Wellington, New Zealand; [Jones, R. Selwyn] Univ Durham, Dept Geog, South Rd, Durham DH1 3LE, England; [Norton, Kevin P.; Mackintosh, Andrew N.] Victoria Univ Wellington, Sch Geog Environm &amp; Earth Sci, POB 600, Wellington 6140, New Zealand; [Tims, Stephen G.] Australian Natl Univ, Res Sch Phys &amp; Engn, Dept Nucl Phys, Canberra, ACT 2601, Australia</t>
  </si>
  <si>
    <t>Victoria University Wellington; GNS Science - New Zealand; Durham University; Victoria University Wellington; Australian National University</t>
  </si>
  <si>
    <t>Eaves, SR (corresponding author), Victoria Univ Wellington, Antarctic Res Ctr, POB 600, Wellington 6140, New Zealand.</t>
  </si>
  <si>
    <t>shaun.eaves@vuw.ac.nz</t>
  </si>
  <si>
    <t>Jones, Richard Selwyn/AAJ-3949-2021; Norton, Kevin/F-1606-2011; Tims, Stephen/P-6505-2015</t>
  </si>
  <si>
    <t>Jones, Richard Selwyn/0000-0003-2988-0999; Norton, Kevin/0000-0002-7995-6464; Mackintosh, Andrew/0000-0002-6430-4711; Tims, Stephen/0000-0001-6014-0126; Eaves, Shaun/0000-0003-0444-631X</t>
  </si>
  <si>
    <t>University Research Fund; Victoria University of Wellington</t>
  </si>
  <si>
    <t>This research was funded by a University Research Fund grant awarded to KPN and ANM by Victoria University of Wellington. Constructive and thorough review by Swann Zerathe and an anonymous reviewer greatly improved the manuscript.</t>
  </si>
  <si>
    <t>ELSEVIER SCI LTD</t>
  </si>
  <si>
    <t>THE BOULEVARD, LANGFORD LANE, KIDLINGTON, OXFORD OX5 1GB, OXON, ENGLAND</t>
  </si>
  <si>
    <t>1871-1014</t>
  </si>
  <si>
    <t>1878-0350</t>
  </si>
  <si>
    <t>QUAT GEOCHRONOL</t>
  </si>
  <si>
    <t>Quat. Geochronol.</t>
  </si>
  <si>
    <t>10.1016/j.quageo.2018.09.006</t>
  </si>
  <si>
    <t>Geography, Physical; Geosciences, Multidisciplinary</t>
  </si>
  <si>
    <t>Physical Geography; Geology</t>
  </si>
  <si>
    <t>HE7MK</t>
  </si>
  <si>
    <t>Green Accepted</t>
  </si>
  <si>
    <t>WOS:000453621600013</t>
  </si>
  <si>
    <t>Rodrigues, LAD; Agostini, KD; de Alencar, AS; Mendonça, CBF; de Carvalho, MA; Gonçalves-Esteves, V</t>
  </si>
  <si>
    <t>da Costa Rodrigues, Luiz Antonio; Agostini, Kamila da Matta; de Alencar, Alexandre Santos; Ferreira Mendonca, Claudia Barbieri; de Carvalho, Marcelo Araujo; Goncalves-Esteves, Vania</t>
  </si>
  <si>
    <t>A methodological proposal for the recovery of palynomorphs from snow and ice samples</t>
  </si>
  <si>
    <t>ACTA BOTANICA BRASILICA</t>
  </si>
  <si>
    <t>Antarctica; ice; spores; snow; technique to recover grains of pollen</t>
  </si>
  <si>
    <t>POLLEN GRAINS; ANTARCTICA; ASTHMA</t>
  </si>
  <si>
    <t>The procedures for a set of techniques to recover grains of pollen 26 and spores from liquid samples are described. Liquefied samples of matrices, such as melting lakes, snow and ice, can provide a record of climatic and environmental events at different geographic and temporal scales. The need for standardization of techniques was demonstrated in research carried out with matrices of snow and water of thawing lakes and snow collected on King George and Joinville islands (Antarctica). The use of the methods described can permit increased rescue of palynomorphs from liquid matrices, thereby adding greater reliability to palynological data and its use as a biotracer of environmental events. Methods of sieving and centrifugation were tested, and sieving proved more efficient for the matrices analyzed.</t>
  </si>
  <si>
    <t>[da Costa Rodrigues, Luiz Antonio; Agostini, Kamila da Matta; Ferreira Mendonca, Claudia Barbieri; de Carvalho, Marcelo Araujo; Goncalves-Esteves, Vania] Univ Fed Rio de Janeiro, Museu Nacl, BR-20940040 Sao Cristovao, RJ, Brazil; [de Alencar, Alexandre Santos] Univ Veiga Almeida, BR-20271020 Rio De Janeiro, RJ, Brazil</t>
  </si>
  <si>
    <t>Universidade Federal do Rio de Janeiro; Universidade Veiga de Almeida (UVA)</t>
  </si>
  <si>
    <t>Gonçalves-Esteves, V (corresponding author), Univ Fed Rio de Janeiro, Museu Nacl, BR-20940040 Sao Cristovao, RJ, Brazil.</t>
  </si>
  <si>
    <t>esteves.vr@gmail.com</t>
  </si>
  <si>
    <t>Goncalves-Esteves, Vania/I-5572-2012; Costa Rodrigues, Luiz Antonio/J-5841-2018; Mendonca, Claudia Barbieri F./L-9261-2013</t>
  </si>
  <si>
    <t>Goncalves-Esteves, Vania/0000-0002-2803-6027; Costa Rodrigues, Luiz Antonio/0000-0003-0025-4177; Alencar, Alexandre/0000-0002-8104-1781; Mendonca, Claudia Barbieri F./0000-0003-4219-6147; DE ARAUJO CARVALHO, MARCELO/0000-0001-6088-5718</t>
  </si>
  <si>
    <t>CNPq (Conselho Nacional de Desenvolvimento Cientifico e Tecnologico); FAPERJ (Fundacao de Amparo a Pesquisa do Estado do Rio de Janeiro)</t>
  </si>
  <si>
    <t>CNPq (Conselho Nacional de Desenvolvimento Cientifico e Tecnologico)(Conselho Nacional de Desenvolvimento Cientifico e Tecnologico (CNPQ)); FAPERJ (Fundacao de Amparo a Pesquisa do Estado do Rio de Janeiro)(Fundacao Carlos Chagas Filho de Amparo a Pesquisa do Estado do Rio De Janeiro (FAPERJ))</t>
  </si>
  <si>
    <t>We thank the Programa Antartico Brasileiro (Brazilian Antarctic Program; PROANTAR/CNPq) for collecting the material; the Laboratorio de Radioecologia e Mudancas Globais (Laboratory of Radioecology and Global Change; LARAMG). The authors, Goncalves-Esteves, V. Mendonca, CBF. and Carvalho, M.A. thanks to the CNPq (Conselho Nacional de Desenvolvimento Cientifico e Tecnologico) for a Productivity Grant and the FAPERJ (Fundacao de Amparo a Pesquisa do Estado do Rio de Janeiro) for financial support.</t>
  </si>
  <si>
    <t>SOC BOTANICA BRASIL</t>
  </si>
  <si>
    <t>SAO PAULO SP</t>
  </si>
  <si>
    <t>CAIXA POSTAL 3005, SAO PAULO SP, 01061-970, BRAZIL</t>
  </si>
  <si>
    <t>0102-3306</t>
  </si>
  <si>
    <t>1677-941X</t>
  </si>
  <si>
    <t>ACTA BOT BRAS</t>
  </si>
  <si>
    <t>Acta Bot. Bras.</t>
  </si>
  <si>
    <t>10.1590/0102-33062018abb0002</t>
  </si>
  <si>
    <t>Plant Sciences</t>
  </si>
  <si>
    <t>GT7QU</t>
  </si>
  <si>
    <t>Green Submitted, Green Published, gold</t>
  </si>
  <si>
    <t>WOS:000444724500018</t>
  </si>
  <si>
    <t>Krüger, L; Paiva, VH; Finger, JVG; Petersen, E; Xavier, JC; Petry, MV; Ramos, JA</t>
  </si>
  <si>
    <t>Kruger, Lucas; Paiva, Vitor H.; Finger, Julia V. G.; Petersen, Elisa; Xavier, Jose C.; Petry, Maria, V; Ramos, Jaime A.</t>
  </si>
  <si>
    <t>Intra-population variability of the non-breeding distribution of southern giant petrels Macronectes giganteus is mediated by individual body size</t>
  </si>
  <si>
    <t>ANTARCTIC SCIENCE</t>
  </si>
  <si>
    <t>Antarctic; body mass; habitat use; seabirds; tracking</t>
  </si>
  <si>
    <t>SEXUAL SEGREGATION; DIMORPHISM; NICHE; ANTARCTICA; SELECTION; SEABIRDS</t>
  </si>
  <si>
    <t>Literature reports that body size can be associated with latitudinal distribution, for instance larger animals inhabit higher latitudes and colder habitats. This rule can be applied for species and populations within a species. The potential influence of body size on non-breeding distribution and habitat use at the intra-population level was investigated for southern giant petrels Macronectes giganteus (Gmelin) from Elephant Island, South Shetland Islands. The non-breeding distribution of 23 individuals was tracked, and total body length, culmen length, wing length, wing load and body mass were measured. Positions of core areas were used to estimate the latitudinal distribution of each individual. Smaller individuals were found to be associated more with lower latitudes, where warmer conditions and more coastal and productive waters prevail, whereas large males were associated more with higher latitudes, with colder conditions near sea ice caps, presumably feeding on carrion or preying on penguins. This association reflects a latitudinal gradient, with smaller individuals positioning themselves towards the north, and larger individuals towards the south. In this case, body size, individual distribution and habitat use were found to be associated, highlighting the importance of studying potential effects of individual body size on the ecology of seabirds.</t>
  </si>
  <si>
    <t>[Kruger, Lucas; Paiva, Vitor H.; Xavier, Jose C.; Ramos, Jaime A.] Univ Coimbra, MARE Marine &amp; Environm Sci Ctr, Dept Life Sci, Coimbra, Portugal; [Finger, Julia V. G.; Petry, Maria, V] Univ Vale Rio dos Sinos, Lab Ornitol &amp; Anim Marinhos, Sao Leopoldo, RS, Brazil; [Kruger, Lucas; Finger, Julia V. G.; Petersen, Elisa; Petry, Maria, V] Univ Fed Rio de Janeiro, INCT APA, Rio De Janeiro, RJ, Brazil; [Petersen, Elisa] Univ Sao Paulo, Inst Oceanog, Sao Paulo, SP, Brazil; [Xavier, Jose C.] British Antarctic Survey, NERC, Cambridge, England; [Kruger, Lucas] Inst Antartico Chileno, Plaza Munoz Gamero 1055, Punta Arenas, Chile</t>
  </si>
  <si>
    <t>Universidade de Coimbra; Universidade do Vale do Rio dos Sinos (Unisinos); Universidade Federal do Rio de Janeiro; Universidade de Sao Paulo; UK Research &amp; Innovation (UKRI); Natural Environment Research Council (NERC); NERC British Antarctic Survey</t>
  </si>
  <si>
    <t>Krüger, L (corresponding author), Univ Coimbra, MARE Marine &amp; Environm Sci Ctr, Dept Life Sci, Coimbra, Portugal.;Krüger, L (corresponding author), Univ Fed Rio de Janeiro, INCT APA, Rio De Janeiro, RJ, Brazil.;Krüger, L (corresponding author), Inst Antartico Chileno, Plaza Munoz Gamero 1055, Punta Arenas, Chile.</t>
  </si>
  <si>
    <t>biokruger@gmail.com</t>
  </si>
  <si>
    <t>Petry, Maria Virginia/AAG-5333-2021; Ramos, Jaime A./B-6616-2018; Xavier, José/KFB-6739-2024; Krüger, Lucas/O-8912-2015; Paiva, Vitor H./J-1092-2019; Paiva, Vitor Hugo/GRX-9179-2022; Grohmann Finger, Júlia Victória/AAP-4653-2020; petry, maria/K-8410-2013</t>
  </si>
  <si>
    <t>Ramos, Jaime A./0000-0002-9533-987X; Krüger, Lucas/0000-0003-4637-5302; Paiva, Vitor H./0000-0001-6368-9579; Grohmann Finger, Júlia Victória/0000-0002-0773-7502; petry, maria/0000-0002-7870-7394; /0000-0002-9621-6660</t>
  </si>
  <si>
    <t>CNPq [245540/2012-1, 574018/2008-5]; Fundacao para a Ciencia e Tecnologia [SFRH/BPD/85024/2012, IF/00616/2013]; FAPERJ [E-16/170.023/2008]; MCTI; MMA; CIRM; FCT (MARE) [UID/MAR/04292/2013]; NERC [bas010011] Funding Source: UKRI</t>
  </si>
  <si>
    <t>CNPq(Conselho Nacional de Desenvolvimento Cientifico e Tecnologico (CNPQ)); Fundacao para a Ciencia e Tecnologia(Fundacao para a Ciencia e a Tecnologia (FCT)); FAPERJ(Fundacao Carlos Chagas Filho de Amparo a Pesquisa do Estado do Rio De Janeiro (FAPERJ)); MCTI; MMA; CIRM(California Institute for Regenerative Medicine); FCT (MARE); NERC(UK Research &amp; Innovation (UKRI)Natural Environment Research Council (NERC))</t>
  </si>
  <si>
    <t>LK acknowledges CNPq for his PhD scholarship (245540/2012-1). VHP and JCX acknowledge Fundacao para a Ciencia e Tecnologia (SFRH/BPD/85024/2012, IF/00616/2013). The authors acknowledge the Brazilian Navy for field research support in Antarctica, INCT-APA, CNPq (574018/2008-5) and FAPERJ (E-16/170.023/2008). The authors also acknowledge the support of the Brazilian Ministries MCTI, MMA and CIRM. This study benefited from the strategic programme of MARE, financed by FCT (MARE - UID/MAR/04292/2013). We thank colleagues from LOAM for helping with field sampling, and Andrew Clarke and two anonymous reviewers for the useful suggestions and comments. This study was conducted at a time of great political and economic difficulty in Brazil. Besides substantial cuts in research budgets, we also would like to express our dissatisfaction with the government's use of environmental agencies as a political bargaining instrument. The authors declare that there are no conflicts of interest arising from this study.</t>
  </si>
  <si>
    <t>CAMBRIDGE UNIV PRESS</t>
  </si>
  <si>
    <t>NEW YORK</t>
  </si>
  <si>
    <t>32 AVENUE OF THE AMERICAS, NEW YORK, NY 10013-2473 USA</t>
  </si>
  <si>
    <t>0954-1020</t>
  </si>
  <si>
    <t>1365-2079</t>
  </si>
  <si>
    <t>ANTARCT SCI</t>
  </si>
  <si>
    <t>Antarct. Sci.</t>
  </si>
  <si>
    <t>10.1017/S0954102018000238</t>
  </si>
  <si>
    <t>Environmental Sciences; Geography, Physical; Geosciences, Multidisciplinary</t>
  </si>
  <si>
    <t>Environmental Sciences &amp; Ecology; Physical Geography; Geology</t>
  </si>
  <si>
    <t>GV9AD</t>
  </si>
  <si>
    <t>WOS:000446442500002</t>
  </si>
  <si>
    <t>Ugalde, SC; Preston, J; Ogier, E; Crawford, C</t>
  </si>
  <si>
    <t>Ugalde, Sarah C.; Preston, John; Ogier, Emily; Crawford, Christine</t>
  </si>
  <si>
    <t>Analysis of farm management strategies following herpesvirus (OsHV-1) disease outbreaks in Pacific oysters in Tasmania, Australia</t>
  </si>
  <si>
    <t>AQUACULTURE</t>
  </si>
  <si>
    <t>Review</t>
  </si>
  <si>
    <t>Magallana gigas; Disease; Husbandry; Ostreid herpesvirus-1; Pacific oyster mortality syndrome</t>
  </si>
  <si>
    <t>CRASSOSTREA-GIGAS; MU-VAR; OSTREID-HERPESVIRUS; HUSBANDRY PRACTICES; RIVER ESTUARY; TOMALES BAY; MORTALITY; JUVENILE; TEMPERATURE; INFECTIONS</t>
  </si>
  <si>
    <t>The microvariant genotype of Ostreid herpesvirus 1 (OsHV-1 mu Var) has severely disrupted oyster production in Europe, New Zealand, and Australia by causing repeated and seasonal outbreaks of mass mortality in Pacific oysters (Magallana gigas). The virus was first detected in Tasmania, Australia, in January 2016, and mortalities of up to 87% were reported (de Kantzow et al., 2017). This study surveyed 95% of Tasmanian oyster farmers in OsHV-1 infected growing areas one year following initial detection, and recorded mortalities and associated farm management strategies in the 2016/2017 season, compared with the initial outbreak and before OsHV-1 occurrence. The survey was comprised of 37 open-and closed-ended questions, with data collected on background information, mortalities, environmental, genetic, and husbandry information. Perceived business viability was overall strong (75%), with changes to farm management occurring on 88% of leases in response to the virus. Commercial oyster farming businesses ranked handling regimes and stocking densities as the most important husbandry factors for influencing mortalities. Water temperature was ranked as the most important environmental factor, with 60% of businesses considering mean water temperature of 18- &lt; 20 degrees C sufficient to activate disease. Mortalities for oyster size classes across multiple years are also reported. This survey has provided an expedient and cost-effective method to obtain information on the impact of a highly virulent disease and associated environmental conditions across an industry. These results will inform future management strategies and associated research.</t>
  </si>
  <si>
    <t>[Ugalde, Sarah C.; Ogier, Emily; Crawford, Christine] Univ Tasmania, Inst Marine &amp; Antarctic Studies, Private Bag 129, Hobart, Tas 7001, Australia; [Preston, John] Dept Primary Ind Pk Water &amp; Environm, Biosecur Tasmania, 13 St Johns Ave, New Town, Tas 7008, Australia</t>
  </si>
  <si>
    <t>University of Tasmania</t>
  </si>
  <si>
    <t>Ugalde, SC (corresponding author), Univ Tasmania, Inst Marine &amp; Antarctic Studies, Private Bag 129, Hobart, Tas 7001, Australia.</t>
  </si>
  <si>
    <t>sarah.ugalde@utas.edu.au</t>
  </si>
  <si>
    <t>Ogier, Emily/0000-0001-6157-5279</t>
  </si>
  <si>
    <t>Department of Industry, Innovation and Science [FN30643]; Future Oysters CRC-P</t>
  </si>
  <si>
    <t>Department of Industry, Innovation and Science(Australian GovernmentDepartment of Industry, Innovation and Science); Future Oysters CRC-P</t>
  </si>
  <si>
    <t>This survey was supported by the Department of Industry, Innovation and Science (Grant number: FN30643) and funded by Future Oysters CRC-P (PI C. Crawford). The authors are very grateful to the Tasmanian oyster industry for volunteering to participate in the survey, and providing their observations during a difficult time for the industry.</t>
  </si>
  <si>
    <t>ELSEVIER</t>
  </si>
  <si>
    <t>AMSTERDAM</t>
  </si>
  <si>
    <t>RADARWEG 29, 1043 NX AMSTERDAM, NETHERLANDS</t>
  </si>
  <si>
    <t>0044-8486</t>
  </si>
  <si>
    <t>1873-5622</t>
  </si>
  <si>
    <t>Aquaculture</t>
  </si>
  <si>
    <t>OCT 1</t>
  </si>
  <si>
    <t>10.1016/j.aquaculture.2018.05.019</t>
  </si>
  <si>
    <t>Fisheries; Marine &amp; Freshwater Biology</t>
  </si>
  <si>
    <t>GN5RW</t>
  </si>
  <si>
    <t>WOS:000439123500021</t>
  </si>
  <si>
    <t>Wang, P; Meng, WY; Li, YM; Zhang, QH; Zhang, L; Fu, JJ; Yang, RQ; Jiang, GB</t>
  </si>
  <si>
    <t>Wang, Pu; Meng, Wenying; Li, Yingming; Zhang, Qinghua; Zhang, Lin; Fu, Jianjie; Yang, Ruiqiang; Jiang, Guibin</t>
  </si>
  <si>
    <t>Temporal variation (2011-2014) of atmospheric OCPs at King George Island, west Antarctica</t>
  </si>
  <si>
    <t>ATMOSPHERIC ENVIRONMENT</t>
  </si>
  <si>
    <t>Antarctica air; Organochlorine pesticides; Temporal variation; Gas-particle partitioning; Chiral signature; Source implication</t>
  </si>
  <si>
    <t>PERSISTENT ORGANIC POLLUTANTS; ASSESSMENT PROGRAM AMAP; DIPHENYL ETHERS PBDES; ORGANOCHLORINE PESTICIDES; POLYCHLORINATED-BIPHENYLS; ENANTIOMERIC SIGNATURES; ENVIRONMENTAL MATRICES; GAS-PHASE; AIR; TRENDS</t>
  </si>
  <si>
    <t>A three-year sampling campaign (Jan 2011-Jan 2014) was conducted on organochlorine pesticides (OCPs) using high-volume air sampling nearby the Chinese Great Wall Station, west Antarctica. The concentrations of Sigma(23)OCPs ranged between 5.87 and 27.9 pg m(-3) (mean 14.3 +/- 5.4 pg m(-3)), and no temporal trend was observed over the entire sampling period. However, the dominant compound, hexachlorobezene (HCB) (71% on average of Sigma(23)OCPs), exhibited a seasonal variation with higher levels in the austral winter. Gas-particle partitioning of OCPs was explored based on K-OA absorption model, steady-state model and Junge-Pankow adsorption model. LogK(p) showed significantly negative correlations with logP(L)(0) of OCPs (p &lt; 0.01, the slope is -0.30) and TSP values in the samples (p &lt; 0.01), suggesting absorption by the organic matter as the dominant sorption process and TSP as an important factor influencing gas-particle partitioning of OCPs in this remote environment. The chiral signature indicated a commonly nonracemic residue of alpha-HCH and o,p'-DDT in the Antarctic air. The deviation from racemic (DFR) of o,p'-DDT showed a strongly negative dependence on its concentration (p &lt; 0.01), properly suggesting more fresh input of o,p'-DDT after 2011. Preferential depletion of (+) alpha-HCH was observed mainly in gas phase, indicating the influence of re-volatilization of chiral compounds from source areas and/or ocean on their enantiomeric composition in remote air. Source apportionment demonstrated that long range atmospheric transport (LRAT) was the main transport pathway of OCPs, while nonracemic residues of HCHs and DDTs indicated a contribution of secondary source emission, i.e. seawater-air exchange, to their occurrence in west Antarctica.</t>
  </si>
  <si>
    <t>[Wang, Pu; Meng, Wenying; Li, Yingming; Zhang, Qinghua; Fu, Jianjie; Yang, Ruiqiang; Jiang, Guibin] Chinese Acad Sci, Res Ctr Ecoenvironm Sci, State Key Lab Environm Chem &amp; Ecotoxicol, Beijing 100085, Peoples R China; [Meng, Wenying; Zhang, Qinghua; Jiang, Guibin] Univ Chinese Acad Sci, Beijing 100049, Peoples R China; [Zhang, Qinghua] Jianghan Univ, Inst Environm &amp; Hlth, Wuhan 430056, Hubei, Peoples R China; [Zhang, Lin] Natl Marine Environm Forecasting Ctr, Key Lab Res Marine Hazards Forecasting, Beijing 100081, Peoples R China</t>
  </si>
  <si>
    <t>Chinese Academy of Sciences; Research Center for Eco-Environmental Sciences (RCEES); Chinese Academy of Sciences; University of Chinese Academy of Sciences, CAS; Jianghan University; National Marine Environmental Forecasting Center</t>
  </si>
  <si>
    <t>Zhang, QH (corresponding author), Chinese Acad Sci, Res Ctr Ecoenvironm Sci, State Key Lab Environm Chem &amp; Ecotoxicol, Beijing 100085, Peoples R China.</t>
  </si>
  <si>
    <t>qhzhang@rcees.ac.cn</t>
  </si>
  <si>
    <t>ZHANG, XUCHEN/KBB-7989-2024; zhang, qinghua/HMP-3611-2023; Fu, Jianjie/ABI-2640-2020</t>
  </si>
  <si>
    <t>zhang, qinghua/0000-0002-9707-4051;</t>
  </si>
  <si>
    <t>National Natural Science Foundation of China [41676183, 91743206, 21477155, 21621064]; Chinese Academy of Sciences [XDB14010100]</t>
  </si>
  <si>
    <t>National Natural Science Foundation of China(National Natural Science Foundation of China (NSFC)); Chinese Academy of Sciences(Chinese Academy of Sciences)</t>
  </si>
  <si>
    <t>The present study was jointly supported by National Natural Science Foundation of China (41676183, 91743206, 21477155 and 21621064), and Chinese Academy of Sciences (XDB14010100). We also greatly thank Prof. Cong Xu, Prof. Qinghua Yang, Mr. Fubin Liu from National Marine Environmental Forecasting Center for sample collection.</t>
  </si>
  <si>
    <t>1352-2310</t>
  </si>
  <si>
    <t>1873-2844</t>
  </si>
  <si>
    <t>ATMOS ENVIRON</t>
  </si>
  <si>
    <t>Atmos. Environ.</t>
  </si>
  <si>
    <t>10.1016/j.atmosenv.2018.08.036</t>
  </si>
  <si>
    <t>Environmental Sciences; Meteorology &amp; Atmospheric Sciences</t>
  </si>
  <si>
    <t>Environmental Sciences &amp; Ecology; Meteorology &amp; Atmospheric Sciences</t>
  </si>
  <si>
    <t>GX2WC</t>
  </si>
  <si>
    <t>WOS:000447579800044</t>
  </si>
  <si>
    <t>Vásquez-Ponce, F; Higuera-Llantén, S; Pavlov, MS; Marshall, SH; Olivares-Pacheco, J</t>
  </si>
  <si>
    <t>Vasquez-Ponce, Felipe; Higuera-Llanten, Sebastian; Pavlov, Maria S.; Marshall, Sergio H.; Olivares-Pacheco, Jorge</t>
  </si>
  <si>
    <t>Phylogenetic MLSA and phenotypic analysis identification of three probable novel Pseudomonas species isolated on King George Island, South Shetland, Antarctica</t>
  </si>
  <si>
    <t>BRAZILIAN JOURNAL OF MICROBIOLOGY</t>
  </si>
  <si>
    <t>Pseudomonas; Antarctica; P. fluorescens complex; Multilocus Sequence Analysis</t>
  </si>
  <si>
    <t>MULTILOCUS SEQUENCE-ANALYSIS; SP NOV.; PSYCHROTOLERANT BACTERIUM; PSYCHROTROPHIC BACTERIUM; DIVERSITY; TAXONOMY; SPP.</t>
  </si>
  <si>
    <t>Antarctica harbors a great diversity of microorganisms, including bacteria, archaea, microalgae and yeasts. The Pseudomonas genus is one of the most diverse and successful bacterial groups described to date, but only eight species isolated from Antarctica have been characterized. Here, we present three potentially novel species isolated on King George Island. The most abundant isolates from four different environments, were genotypically and phenotypically characterized. Multilocus sequence analysis and 16S rRNA gene analysis of a sequence concatenate for six genes (16S, aroE, glnS, gyrB, ileS and rpoD), determined one of the isolates to be a new Pseudomonas mandelii strain, while the other three are good candidates for new Pseudomonas species. Additionally, genotype analyses showed the three candidates to be part of a new subgroup within the Pseudomonas fluorescens complex, together with the Antarctic species Pseudomonas antarctica and Pseudomonas extremaustralis. We propose terming this new subgroup P. antarctica. Likewise, phenotypic analyses using API 20 NE and BIOLOG (R) corroborated the genotyping results, confirming that all presented isolates form part of the P. fluorescens complex. Pseudomonas genus research on the Antarctic continent is in its infancy. To understand these microorganisms' role in this extreme environment, the characterization and description of new species is vital. (C) 2018 Sociedade Brasileira de Microbiologia. Published by Elsevier Editora Ltda.</t>
  </si>
  <si>
    <t>[Vasquez-Ponce, Felipe; Higuera-Llanten, Sebastian; Pavlov, Maria S.; Marshall, Sergio H.; Olivares-Pacheco, Jorge] Pontificia Univ Catolica Valparaiso, Fac Ciencias, Inst Biol, Lab Genet &amp; Immunol Mol, Valparaiso, Chile</t>
  </si>
  <si>
    <t>Pontificia Universidad Catolica de Valparaiso</t>
  </si>
  <si>
    <t>Olivares-Pacheco, J (corresponding author), Pontificia Univ Catolica Valparaiso, Fac Ciencias, Inst Biol, Lab Genet &amp; Immunol Mol, Valparaiso, Chile.</t>
  </si>
  <si>
    <t>jorge.olivares@pucv.cl</t>
  </si>
  <si>
    <t>Vasquez-Ponce, Felipe/AAA-1195-2022; Pacheco, Jorge Olivares/M-7714-2017</t>
  </si>
  <si>
    <t>Vasquez-Ponce, Felipe/0000-0002-9447-8325; Pacheco, Jorge Olivares/0000-0002-6841-7182</t>
  </si>
  <si>
    <t>Direccion de Investigacion of the Pontificia Universidad Catolica de Valparaiso [DI 037.431/2015]; INACH PhD scholarship [DT_02-13]; Programa de Investigacion Asociativa [PIUA5-PUCV 037.2932015]</t>
  </si>
  <si>
    <t>Direccion de Investigacion of the Pontificia Universidad Catolica de Valparaiso; INACH PhD scholarship; Programa de Investigacion Asociativa</t>
  </si>
  <si>
    <t>This work was supported by the Direccion de Investigacion of the Pontificia Universidad Catolica de Valparaiso [Project DI 037.431/2015], by an INACH PhD scholarship [DT_02-13], and by the Programa de Investigacion Asociativa [PIUA5-PUCV 037.2932015].</t>
  </si>
  <si>
    <t>SPRINGER</t>
  </si>
  <si>
    <t>233 SPRING ST, NEW YORK, NY 10013 USA</t>
  </si>
  <si>
    <t>1517-8382</t>
  </si>
  <si>
    <t>1678-4405</t>
  </si>
  <si>
    <t>BRAZ J MICROBIOL</t>
  </si>
  <si>
    <t>Braz. J. Microbiol.</t>
  </si>
  <si>
    <t>10.1016/j.bjm.2018.02.005</t>
  </si>
  <si>
    <t>Microbiology</t>
  </si>
  <si>
    <t>GX6SM</t>
  </si>
  <si>
    <t>hybrid, Green Published</t>
  </si>
  <si>
    <t>WOS:000447893000002</t>
  </si>
  <si>
    <t>Tian, BQ; Fan, K; Yang, HQ</t>
  </si>
  <si>
    <t>Tian, Baoqiang; Fan, Ke; Yang, Hongqing</t>
  </si>
  <si>
    <t>East Asian winter monsoon forecasting schemes based on the NCEP's climate forecast system</t>
  </si>
  <si>
    <t>CLIMATE DYNAMICS</t>
  </si>
  <si>
    <t>East Asian winter monsoon; Year-to-year increment method; Hybrid prediction; CFSv2</t>
  </si>
  <si>
    <t>SURFACE AIR-TEMPERATURE; INTERANNUAL VARIABILITY; SEASONAL PREDICTION; RIVER VALLEY; CIRCUMGLOBAL TELECONNECTION; ANTARCTIC OSCILLATION; ARCTIC-OSCILLATION; SUMMER MONSOON; IMPACTS; YANGTZE</t>
  </si>
  <si>
    <t>The East Asian winter monsoon (EAWM) is the major climate system in the Northern Hemisphere during boreal winter. In this study, we developed two schemes to improve the forecasting skill of the interannual variability of the EAWM index (EAWMI) using the interannual increment prediction method, also known as the DY method. First, we found that version 2 of the NCEP's Climate Forecast System (CFSv2) showed higher skill in predicting the EAWMI in DY form than not. So, based on the advantage of the DY method, Scheme-I was obtained by adding the EAWMI DY predicted by CFSv2 to the observed EAWMI in the previous year. This scheme showed higher forecasting skill than CFSv2. Specifically, during 1983-2016, the temporal correlation coefficient between the Scheme-I-predicted and observed EAWMI was 0.47, exceeding the 99% significance level, with the root-mean-square error (RMSE) decreased by 12%. The autumn Arctic sea ice and North Pacific sea surface temperature (SST) are two important external forcing factors for the interannual variability of the EAWM. Therefore, a second (hybrid) prediction scheme, Scheme-II, was also developed. This scheme not only involved the EAWMI DY of CFSv2, but also the sea-ice concentration (SIC) observed the previous autumn in the Laptev and East Siberian seas and the temporal coefficients of the third mode of the North Pacific SST in DY form. We found that a negative SIC anomaly in the preceding autumn over the Laptev and the East Siberian seas could lead to a significant enhancement of the Aleutian low and East Asian westerly jet in the following winter. However, the intensity of the winter Siberian high was mainly affected by the third mode of the North Pacific autumn SST. Scheme-I and Scheme-II also showed higher predictive ability for the EAWMI in negative anomaly years compared to CFSv2. More importantly, the improvement in the prediction skill of the EAWMI by the new schemes, especially for Scheme-II, could enhance the forecasting skill of the winter 2-m air temperature (T-2m) in most parts of China, as well as the intensity of the Aleutian low and Siberian high in winter. The new schemes provide a theoretical basis for improving the prediction of winter climate in China.</t>
  </si>
  <si>
    <t>[Tian, Baoqiang; Fan, Ke] Chinese Acad Sci, Nansen Zhu Int Res Ctr, Inst Atmospher Phys, Beijing 100029, Peoples R China; [Tian, Baoqiang; Fan, Ke] Nanjing Univ Informat Sci &amp; Technol, Collaborat Innovat Ctr Forecast &amp; Evaluat Meteoro, Nanjing 210044, Jiangsu, Peoples R China; [Fan, Ke] Univ Chinese Acad Sci, Beijing 100049, Peoples R China; [Yang, Hongqing] Yunnan Univ, Dept Atmospher Sci, Kunming 650091, Yunnan, Peoples R China</t>
  </si>
  <si>
    <t>Chinese Academy of Sciences; Institute of Atmospheric Physics, CAS; Nanjing University of Information Science &amp; Technology; Chinese Academy of Sciences; University of Chinese Academy of Sciences, CAS; Yunnan University</t>
  </si>
  <si>
    <t>Tian, BQ (corresponding author), Chinese Acad Sci, Nansen Zhu Int Res Ctr, Inst Atmospher Phys, Beijing 100029, Peoples R China.;Tian, BQ (corresponding author), Nanjing Univ Informat Sci &amp; Technol, Collaborat Innovat Ctr Forecast &amp; Evaluat Meteoro, Nanjing 210044, Jiangsu, Peoples R China.</t>
  </si>
  <si>
    <t>tianbq@mail.iap.ac.cn</t>
  </si>
  <si>
    <t>Fan, Ke/AAJ-2315-2020; Fan, K/GXH-3734-2022</t>
  </si>
  <si>
    <t>National Natural Science Foundation of China [41575079, 41730964, 41325018]; CAS/SAFEEA International Partnership Program for Creative Research Teams-Regional environmental high resolution numerical simulation</t>
  </si>
  <si>
    <t>National Natural Science Foundation of China(National Natural Science Foundation of China (NSFC)); CAS/SAFEEA International Partnership Program for Creative Research Teams-Regional environmental high resolution numerical simulation</t>
  </si>
  <si>
    <t>This research was jointly supported by the National Natural Science Foundation of China (Grant Nos. 41575079, 41730964, 41325018). The research was also supported by the CAS/SAFEEA International Partnership Program for Creative Research Teams-Regional environmental high resolution numerical simulation.</t>
  </si>
  <si>
    <t>0930-7575</t>
  </si>
  <si>
    <t>1432-0894</t>
  </si>
  <si>
    <t>CLIM DYNAM</t>
  </si>
  <si>
    <t>Clim. Dyn.</t>
  </si>
  <si>
    <t>7-8</t>
  </si>
  <si>
    <t>10.1007/s00382-017-4045-7</t>
  </si>
  <si>
    <t>Meteorology &amp; Atmospheric Sciences</t>
  </si>
  <si>
    <t>GU0NN</t>
  </si>
  <si>
    <t>WOS:000444947600024</t>
  </si>
  <si>
    <t>Ying, KR; Frederiksen, CS; Zheng, XG; Lou, JL; Zhao, TB</t>
  </si>
  <si>
    <t>Ying, Kairan; Frederiksen, Carsten S.; Zheng, Xiaogu; Lou, Jiale; Zhao, Tianbao</t>
  </si>
  <si>
    <t>Variability and predictability of decadal mean temperature and precipitation over China in the CCSM4 last millennium simulation</t>
  </si>
  <si>
    <t>Decadal variability; Potential decadal predictability; Predictable decadal signal; Unpredictable decadal mode</t>
  </si>
  <si>
    <t>ASIAN SUMMER MONSOON; ATLANTIC MULTIDECADAL OSCILLATION; WINTER ARCTIC-OSCILLATION; INTERDECADAL VARIABILITY; EASTERN CHINA; NORTH CHINA; ATMOSPHERIC CIRCULATION; POSSIBLE IMPACTS; TIBETAN PLATEAU; SOUTHERN CHINA</t>
  </si>
  <si>
    <t>The modes of variability that arise from the slow-decadal (potentially predictable) and intra-decadal (unpredictable) components of decadal mean temperature and precipitation over China are examined, in a 1000year (850-1850AD) experiment using the CCSM4 model. Solar variations, volcanic aerosols, orbital forcing, land use, and greenhouse gas concentrations provide the main forcing and boundary conditions. The analysis is done using a decadal variance decomposition method that identifies sources of potential decadal predictability and uncertainty. The average potential decadal predictabilities (ratio of slow-to-total decadal variance) are 0.62 and 0.37 for the temperature and rainfall over China, respectively, indicating that the (multi-)decadal variations of temperature are dominated by slow-decadal variability, while precipitation is dominated by unpredictable decadal noise. Possible sources of decadal predictability for the two leading predictable modes of temperature are the external radiative forcing, and the combined effects of slow-decadal variability of the Arctic oscillation (AO) and the Pacific decadal oscillation (PDO), respectively. Combined AO and PDO slow-decadal variability is associated also with the leading predictable mode of precipitation. External radiative forcing as well as the slow-decadal variability of PDO are associated with the second predictable rainfall mode; the slow-decadal variability of Atlantic multi-decadal oscillation (AMO) is associated with the third predictable precipitation mode. The dominant unpredictable decadal modes are associated with intra-decadal/inter-annual phenomena. In particular, the El Nino-Southern Oscillation and the intra-decadal variability of the AMO, PDO and AO are the most important sources of prediction uncertainty.</t>
  </si>
  <si>
    <t>[Ying, Kairan; Zheng, Xiaogu; Zhao, Tianbao] Chinese Acad Sci, Inst Atmospher Phys, Key Lab Reg Climate Environm Temperate East Asia, Beijing, Peoples R China; [Frederiksen, Carsten S.] Bur Meteorol, Melbourne, Vic, Australia; [Frederiksen, Carsten S.] Monash Univ, Sch Earth Atmosphere &amp; Environm, Clayton, Vic, Australia; [Lou, Jiale] Australian Res Council, Ctr Excellence Climate Syst Sci, Hobart, Tas, Australia; [Lou, Jiale] Univ Tasmania, Inst Marine &amp; Antarctic Studies, Hobart, Tas, Australia</t>
  </si>
  <si>
    <t>Chinese Academy of Sciences; Institute of Atmospheric Physics, CAS; Bureau of Meteorology - Australia; Monash University; University of Tasmania</t>
  </si>
  <si>
    <t>Zhao, TB (corresponding author), Chinese Acad Sci, Inst Atmospher Phys, Key Lab Reg Climate Environm Temperate East Asia, Beijing, Peoples R China.;Frederiksen, CS (corresponding author), Bur Meteorol, Melbourne, Vic, Australia.;Frederiksen, CS (corresponding author), Monash Univ, Sch Earth Atmosphere &amp; Environm, Clayton, Vic, Australia.</t>
  </si>
  <si>
    <t>carsten.frederiksen@bom.gov.au; zhaotb@tea.ac.cn</t>
  </si>
  <si>
    <t>Zhao, Tianbao/I-4890-2015</t>
  </si>
  <si>
    <t>Zhao, Tianbao/0000-0002-8295-6537; Lou, Jiale/0000-0002-4014-5242</t>
  </si>
  <si>
    <t>National Key R&amp;D Program of China [2016YFA0600402]; National Natural Science Foundation of China [41675094, 41405090]</t>
  </si>
  <si>
    <t>National Key R&amp;D Program of China; National Natural Science Foundation of China(National Natural Science Foundation of China (NSFC))</t>
  </si>
  <si>
    <t>This work was supported by the National Key R&amp;D Program of China (2016YFA0600402) and National Natural Science Foundation of China (41675094 and 41405090).</t>
  </si>
  <si>
    <t>ONE NEW YORK PLAZA, SUITE 4600, NEW YORK, NY, UNITED STATES</t>
  </si>
  <si>
    <t>10.1007/s00382-017-4060-8</t>
  </si>
  <si>
    <t>WOS:000444947600035</t>
  </si>
  <si>
    <t>Kuepper, ND; Marek, C; Coria, N; Libertelli, MM; Quillfeldt, P</t>
  </si>
  <si>
    <t>Kuepper, Nadja D.; Marek, Carina; Coria, Nestor; Libertelli, Marcela M.; Quillfeldt, Petra</t>
  </si>
  <si>
    <t>Facultative hypothermia as a survival strategy during snowstorm induced food shortages in Antarctic storm-petrel chicks</t>
  </si>
  <si>
    <t>COMPARATIVE BIOCHEMISTRY AND PHYSIOLOGY A-MOLECULAR &amp; INTEGRATIVE PHYSIOLOGY</t>
  </si>
  <si>
    <t>Hypothermia; Fasting; Juvenile; Antarctic; Oceanites oceanicus; Storm-petrel</t>
  </si>
  <si>
    <t>KING-GEORGE-ISLAND; BODY-TEMPERATURE; DAILY TORPOR; OCEANITES-OCEANICUS; BREEDING SUCCESS; THERMOREGULATION; HIBERNATION; GROWTH; MASS; CONSEQUENCES</t>
  </si>
  <si>
    <t>Wilson's storm-petrels (Oceanites oceanicus) are the smallest marine birds breeding in Antarctica, where events like snowstorms often prevent parents from providing food daily for their offspring. To minimize energy expenses, Wilson's storm-petrel chicks can reduce their metabolism and body temperature by entering hypothermia. Hypothermia is reported to impact development, hence we hypothesized that hypothermia will be majorly used after long fasting periods. Chick development in a breeding colony of Wilson's storm-petrels on the South Shetland Islands was monitored daily during three consecutive summers by recording chicks' body mass and temperature, as well as environmental parameters. Provisioning, and body conditions were highest in 2017, and chicks became hypothermic most frequently in 2016. Body temperature was influenced by age, mass, body condition, and minimal nocturnal temperatures. While most chicks were able to maintain stable body temperatures when not fed for one day, some chicks' body temperatures decreased by up to 21 degrees C. Age did not differ between those two groups, but chicks maintaining their active body temperatures had higher body conditions. Snowstorms were typically followed by several days of unreliable food provisioning and continuous days of fasting. Most chicks were hypothermic during this time, and were hence able to survive periods of food shortages, reverse their low body temperatures after the next feeding event, and regain body mass. We conclude that hypothermia is a strong survival strategy to endure times of fasting, which might be necessary for Antarctic storm-petrel chicks to reach adulthood. However, in future scenarios, which may include more frequent snowstorms due to climate change, malnourishment could lead to more frequent use of hypothermia, which could affect chicks' development.</t>
  </si>
  <si>
    <t>[Kuepper, Nadja D.; Marek, Carina; Quillfeldt, Petra] Justus Liebig Univ Giessen, Dept Anim Ecol &amp; Systemat, Heinrich Buff Ring 26-32, D-35392 Giessen, Germany; [Coria, Nestor; Libertelli, Marcela M.] Inst Antartico Argentine, Dept Ciencias Vida, Cerrito 1248,C1010AAZ, Buenos Aires, DF, Argentina</t>
  </si>
  <si>
    <t>Justus Liebig University Giessen; Instituto Antartico Argentino</t>
  </si>
  <si>
    <t>Kuepper, ND (corresponding author), Justus Liebig Univ Giessen, Dept Anim Ecol &amp; Systemat, Heinrich Buff Ring 26-32, D-35392 Giessen, Germany.</t>
  </si>
  <si>
    <t>nadja.kuepper@bio.uni-giessen.de</t>
  </si>
  <si>
    <t>Agencia Nacional de Promocion Cientifica y Tecnologica [PICTA-2010-0111]; Deutsche Forschungsgemeinschaft (DFG) [SPP1154, Qu148/12]</t>
  </si>
  <si>
    <t>Agencia Nacional de Promocion Cientifica y Tecnologica(ANPCyTSpanish Government); Deutsche Forschungsgemeinschaft (DFG)(German Research Foundation (DFG))</t>
  </si>
  <si>
    <t>For her substantial assistance and support during field work we want to thank Marcela J. Nabte. We are grateful for logistic support by the Alfred Wegener Institute, the Compagnie du Ponant, and the Instituto Antartico Argentino (Buenos Aires) that additionally supported the project via a grant to NC (PICTA-2010-0111) by the Agencia Nacional de Promocion Cientifica y Tecnologica. Many thanks to three anonymous reviewers, whose comments improved the manuscript. For statistical advice we want to thank Klemens Ekschmitt and Gerrit Eichner. This study was funded by the Deutsche Forschungsgemeinschaft (DFG) in the framework of the priority program SPP1154 Antarctic Research with comparative investigations in Arctic ice areas by a grant to PQ (Qu148/12). All applicable international, national, and/or institutional guidelines for the care and use of animals were followed.</t>
  </si>
  <si>
    <t>ELSEVIER SCIENCE INC</t>
  </si>
  <si>
    <t>STE 800, 230 PARK AVE, NEW YORK, NY 10169 USA</t>
  </si>
  <si>
    <t>1095-6433</t>
  </si>
  <si>
    <t>1531-4332</t>
  </si>
  <si>
    <t>COMP BIOCHEM PHYS A</t>
  </si>
  <si>
    <t>Comp. Biochem. Physiol. A-Mol. Integr. Physiol.</t>
  </si>
  <si>
    <t>10.1016/j.cbpa.2018.06.018</t>
  </si>
  <si>
    <t>Biochemistry &amp; Molecular Biology; Physiology; Zoology</t>
  </si>
  <si>
    <t>GQ2OE</t>
  </si>
  <si>
    <t>WOS:000441493500009</t>
  </si>
  <si>
    <t>Dottori, M; Dalsenter, INB; Napolitano, DC; da Silveira, ICA</t>
  </si>
  <si>
    <t>Dottori, Marcelo; Beraldo Dalsenter, Iago Nicolai; Napolitano, Dante Campagnoli; Almeida da Silveira, Ilson Carlos</t>
  </si>
  <si>
    <t>A dataset of temperature and salinity in the South Brazil Bight: Identifying water mass interfaces</t>
  </si>
  <si>
    <t>DATA IN BRIEF</t>
  </si>
  <si>
    <t>Article; Data Paper</t>
  </si>
  <si>
    <t>ATLANTIC</t>
  </si>
  <si>
    <t>Temperature and salinity data were recorded at the slope and outer shelf of the South Brazil Bight, from November 2014 to February 2015 using an Underwater Autonomous Vehicle, specifically, a glider. During the mission, the slope was crossed 10 times, reaching depths of up to 970 m and with a sampling rate of one record per second. The density profiles were also calculated to estimate interface levels between Tropical Water (TW) and South Atlantic Central Water (SACW), and between SACW and Antarctic Intermediate Water (AAIW). The interface levels are presented in cross section figures and the raw dataset is provided in netCDF files, including scientific and navigation datasets. (C) 2018 The Authors. Published by Elsevier Inc. This is an open access article under the CC BY license (http://creativecommons.org/licenses/by/4.0/).</t>
  </si>
  <si>
    <t>[Dottori, Marcelo; Beraldo Dalsenter, Iago Nicolai; Napolitano, Dante Campagnoli; Almeida da Silveira, Ilson Carlos] Univ Sao Paulo, Oceanog Inst, Sao Paulo, Brazil</t>
  </si>
  <si>
    <t>Universidade de Sao Paulo</t>
  </si>
  <si>
    <t>Dottori, M (corresponding author), Univ Sao Paulo, Oceanog Inst, Sao Paulo, Brazil.</t>
  </si>
  <si>
    <t>mdottori@usp.br</t>
  </si>
  <si>
    <t>Silveira, Ilson/AFU-7480-2022; Dottori, Marcelo/G-8798-2011</t>
  </si>
  <si>
    <t>Silveira, Ilson/0000-0001-9266-6480; Dottori, Marcelo/0000-0003-2382-4136</t>
  </si>
  <si>
    <t>CAPES [43/2013]; Office of Naval Research Global (ONRG)</t>
  </si>
  <si>
    <t>CAPES(Coordenacao de Aperfeicoamento de Pessoal de Nivel Superior (CAPES)); Office of Naval Research Global (ONRG)(Office of Naval Research)</t>
  </si>
  <si>
    <t>This work is part of The Brazil Current Research Network (REMARSUL) funded by CAPES (Proc. 43/2013) and partially funded by the Office of Naval Research Global (ONRG).</t>
  </si>
  <si>
    <t>ELSEVIER SCIENCE BV</t>
  </si>
  <si>
    <t>PO BOX 211, 1000 AE AMSTERDAM, NETHERLANDS</t>
  </si>
  <si>
    <t>2352-3409</t>
  </si>
  <si>
    <t>DATA BRIEF</t>
  </si>
  <si>
    <t>Data Brief</t>
  </si>
  <si>
    <t>10.1016/j.dib.2018.08.166</t>
  </si>
  <si>
    <t>Multidisciplinary Sciences</t>
  </si>
  <si>
    <t>Science &amp; Technology - Other Topics</t>
  </si>
  <si>
    <t>HA4OK</t>
  </si>
  <si>
    <t>Green Published, gold</t>
  </si>
  <si>
    <t>WOS:000450242200194</t>
  </si>
  <si>
    <t>Kobayashi, T</t>
  </si>
  <si>
    <t>Kobayashi, Taiyo</t>
  </si>
  <si>
    <t>Rapid volume reduction in Antarctic Bottom Water off the Adelie/George V Land coast observed by deep floats</t>
  </si>
  <si>
    <t>DEEP-SEA RESEARCH PART I-OCEANOGRAPHIC RESEARCH PAPERS</t>
  </si>
  <si>
    <t>AABW; Mertz Glacier Tongue; Deep float observation; Bottom water contraction; Bottom water freshening; Sea level change</t>
  </si>
  <si>
    <t>DENSE SHELF WATER; SEA-LEVEL RISE; SEASONAL ICE-ZONE; ADELIE LAND; EAST ANTARCTICA; GLOBAL HEAT; ROSS SEA; OCEAN; VARIABILITY; CIRCULATION</t>
  </si>
  <si>
    <t>Recent changes in the Antarctic Bottom Water (AABW) off the Adelie/George V Land coast, East Antarctica, were examined using 20-months observation with deep floats and historical hydrographic surveys. The salinity of the AABW along isopycnals was largely reduced by about 0.005 during the winter of 2011; since then, it had changed little until the end of the float observation in August 2014. The thickness of the AABW would have decreased since around 2011 by about 50 m yr(-1), which is about four to five times the average rate since the 1990s. The change of density structure in the deep ocean, including the rapid contraction of the AABW, is believed to have raised the local sea level by 5.0 mm yr(-1) due to steric changes between depths of 1900 and 4000 dbar. This could explain the altimetric average increase of 5.8 (standard error; +/- 1.8) mm yr(-1) for 2011-2014, coincident with a steric height change of 0.5 ( +/- 1.5) mm yr(-1) for the upper ocean of 0-1900 dbar and mass change of about 2.0 mm yr(-1). The most likely reason for the large change in the AABW is the collapse of the Mertz Glacier Tongue in February 2010. The rapid contraction of the AABW could be due to the reduced supply of the Adefie Land Bottom Water (ALBW) after the calving and the associated decrease in sea ice production. The rapid contraction may continue for a long time because the drastic change of the icescape could prevent the ALBW supply from recovering to its pre-calving volume. The glacier collapse might prevent the AABW from freshening for a long time, even though the collapse would have initially resulted in the large isopycnal freshening of the AABW. Because it may take a decade or so for the supply of the ALBW to recover to pre-calving levels, the moderate freshening of recent deCades could yield within 10 years an AABW that is fresher than the freshened AABW observed by the deep floats.</t>
  </si>
  <si>
    <t>[Kobayashi, Taiyo] Japan Agcy Marine Earth Sci &amp; Technol, 2-15 Natsushima Cho, Yokosuka, Kanagawa 2370061, Japan</t>
  </si>
  <si>
    <t>Japan Agency for Marine-Earth Science &amp; Technology (JAMSTEC)</t>
  </si>
  <si>
    <t>Kobayashi, T (corresponding author), Japan Agcy Marine Earth Sci &amp; Technol, Res &amp; Dev Ctr Global Change, 2-15 Natsushima Cho, Yokosuka, Kanagawa 2370061, Japan.</t>
  </si>
  <si>
    <t>taiyok@jamstec.go.jp</t>
  </si>
  <si>
    <t>Kobayashi, Taiyo/0000-0001-6456-6167</t>
  </si>
  <si>
    <t>Accelerating Program for Advance of Practical Utilization of JAMSTEC; Centre national d'etudes spatiales (CNES)</t>
  </si>
  <si>
    <t>Accelerating Program for Advance of Practical Utilization of JAMSTEC; Centre national d'etudes spatiales (CNES)(Centre National D'etudes Spatiales)</t>
  </si>
  <si>
    <t>The author thanks all members of the Ocean Circulation Research Group, JAMSTEC, for their comments and encouragement, especially S. Hosoda for his valuable advice on the analysis. The author also expresses gratitude to the captains and crew of the R/V Mirai and Icebreaker Shirase, and Drs. Katsumata and Tamura and the other researchers and technicians onboard for their help and cooperation with the deployments of the Deep NINJA floats. The Deep NINJA float was developed with the financial support of the Accelerating Program for Advance of Practical Utilization of JAMSTEC. Comments from five anonymous reviewers helped improve the manuscript very much. The raw data from the Deep NINJA observations are available from the Global Data Assembly Centre of the international Argo Program (www.argo.ucsd.edu) and the quality-controlled data are publicly available from the Deep NINJA website (www.jamstec.go.jp/ARGO/deepninja).The altimeter products used here are available at www.aviso.oceanobs.com/en/data.html and were downloaded in September 2016. They were produced by Ssalto/Duacs and distributed by AVISO, with support from Centre national d'etudes spatiales (CNES) (www.aviso.oceanobs.com/duacs).For the monthly climatology for the upper ocean, the Argo climatology of Scripps is available at sio-argo.ucsd.edu/RG_Climatology.html and was downloaded in May 2017, and EN.4.2.0 is provided by the UK Met Office and was downloaded in May 2017 from www.metoffice.gov.uk/hadobs/en4/index.html.</t>
  </si>
  <si>
    <t>0967-0637</t>
  </si>
  <si>
    <t>1879-0119</t>
  </si>
  <si>
    <t>DEEP-SEA RES PT I</t>
  </si>
  <si>
    <t>Deep-Sea Res. Part I-Oceanogr. Res. Pap.</t>
  </si>
  <si>
    <t>10.1016/j.dsr.2018.07.014</t>
  </si>
  <si>
    <t>GZ1NB</t>
  </si>
  <si>
    <t>WOS:000449133700009</t>
  </si>
  <si>
    <t>Ji, SC; Nie, JS; Lechler, A; Huntington, KW; Heitmann, EO; Breecker, DO</t>
  </si>
  <si>
    <t>Ji, Shunchuan; Nie, Junsheng; Lechler, Alex; Huntington, Katharine W.; Heitmann, Emma O.; Breecker, Daniel O.</t>
  </si>
  <si>
    <t>A symmetrical CO2 peak and asymmetrical climate change during the middle Miocene</t>
  </si>
  <si>
    <t>EARTH AND PLANETARY SCIENCE LETTERS</t>
  </si>
  <si>
    <t>Miocene; atmospheric CO2; uncertainty; paleosols; China</t>
  </si>
  <si>
    <t>ATMOSPHERIC CARBON-DIOXIDE; ANTARCTIC ICE-SHEET; EVOLUTION; TRANSITION; TEMPERATURE; PACIFIC; CALCITE; DECLINE; RECORDS; IMPACT</t>
  </si>
  <si>
    <t>Understanding the future trajectory of Earth's climate requires knowledge of shifts in atmospheric CO2 concentrations during past warm episodes. The Miocene Climatic Optimum (MCO, similar to 17-14 Ma) was likely the warmest episode of the past 25 Myr, and thus atmospheric CO2 concentrations during this interval are of particular interest. However, CO2 records across the middle Miocene are rather scattered and data are notably sparse for the latter part of the MCO. Here we present a paleosol-based CO2 record from the Tianshui Basin, northern China, spanning 17-7 Ma. Our results show elevated mean CO2 during the second half of the MCO corresponding with some of the lowest benthic delta O-18 values and highest benthic delta C-13 values, as part of the Monterey excursion, published for the Neogene. This result supports the idea that the broader Monterey excursion was primarily associated with a CO2 maximum, not carbon burial and CO2 minima as previously interpreted. The new CO2 record, along with previous CO2 records based on paleosols, stomata and foraminiferal boron isotope compositions, also suggests that mean CO2 across the MCO was elevated compared with the immediately following (post-MCO, 14-11 Ma, &gt;80% probability) and immediately preceding (pre-MCO, 20-17 Ma, 70% probability) time periods. The most probable magnitude of the MCO CO2 peak is 20% higher than post-MCO and 12.5% higher than pre-MCO levels. Larger factors, of perhaps 50% higher CO2, likely apply in narrower (&lt;1 Myr) time slices. CO2 records from each proxy individually support the conclusion of modestly elevated MCO CO2, although large temporal gaps exist in records from any one proxy. Using all proxies together, we estimate average MCO CO2 of 375+150/-100 (84th and 16th percentile) ppm. Although mean MCO CO2 was elevated, the MCO was also characterized by highly variable CO2. In addition, determinations from all three proxies suggest that at times during the MCO, CO2 levels were as low as they were following the ice sheet expansion of the Miocene Climate Transition. Furthermore, pre-MCO CO2 levels are indistinguishable from post-MCO CO2 levels (60% probability of pre-MCO CO2 &gt; post-MCO CO2), despite significantly lower benthic delta O-18 values during the former. We conclude that 1) the MCO was a period of slightly elevated and highly variable CO2 compared with the immediately preceding and following intervals, and 2) neither CO2 decrease, orbitally-controlled seasonality over Antarctica nor the confluence of these factors was sufficient to cause Miocene Climate Transition ice sheet expansion. Rather strengthening of the Antarctic Circumpolar Current and Southern Ocean cooling related to closure of the eastern Tethys was a necessary first step. (C) 2018 Elsevier B.V. All rights reserved.</t>
  </si>
  <si>
    <t>[Ji, Shunchuan; Nie, Junsheng] Lanzhou Univ, Coll Earth &amp; Environm Sci, Minist Educ, Key Lab Western Chinas Environm Syst, Lanzhou 730000, Gansu, Peoples R China; [Ji, Shunchuan] Chinese Acad Sci, Inst Earth Environm, State Key Lab Loess &amp; Quaternary Geol, Xian 710075, Shaanxi, Peoples R China; [Lechler, Alex] Pacific Lutheran Univ, Dept Geosci, Tacoma, WA 98447 USA; [Huntington, Katharine W.] Univ Washington, Dept Earth &amp; Space Sci, Seattle, WA 98195 USA; [Heitmann, Emma O.; Breecker, Daniel O.] Univ Texas Austin, Dept Geol Sci, Albuquerque, NM 87131 USA</t>
  </si>
  <si>
    <t>Lanzhou University; Chinese Academy of Sciences; Institute of Earth Environment, CAS; Pacific Lutheran University; University of Washington; University of Washington Seattle; University of Texas System; University of Texas Austin</t>
  </si>
  <si>
    <t>Nie, JS (corresponding author), Lanzhou Univ, Coll Earth &amp; Environm Sci, Minist Educ, Key Lab Western Chinas Environm Syst, Lanzhou 730000, Gansu, Peoples R China.</t>
  </si>
  <si>
    <t>jnie@lzu.edu.cn</t>
  </si>
  <si>
    <t>Nie, Junsheng/E-5047-2010; Breecker, Dan O/B-4929-2011</t>
  </si>
  <si>
    <t>Nie, Junsheng/0000-0002-1700-7116; Huntington, Katharine/0000-0003-0796-8850; Breecker, Dan/0000-0003-0200-223X</t>
  </si>
  <si>
    <t>National Key Research and Development Program of China [2016YFE0109500]; National Natural Science Foundation of China [41761144063, 41672157, 41422204]; Fundamental Research Funds for the Central Universities [lzujbky-2018-ot05, lzujbky-2014-257, lzujbky-2016-sp05]; State Key Laboratory of Loess and Quaternary Geology, Institute of Earth Environment, CAS [SKLLQG1608]; China Scholarship Council (CSC) [201406180052]; National Science Foundation of the United States of America (PIRE) [1545859]; National Science Foundation of the United States of America [EAR-1156134, EAR-1252064]; Office Of The Director; Office Of Internatl Science &amp;Engineering [1545859] Funding Source: National Science Foundation</t>
  </si>
  <si>
    <t>National Key Research and Development Program of China; National Natural Science Foundation of China(National Natural Science Foundation of China (NSFC)); Fundamental Research Funds for the Central Universities(Fundamental Research Funds for the Central Universities); State Key Laboratory of Loess and Quaternary Geology, Institute of Earth Environment, CAS(Chinese Academy of Sciences); China Scholarship Council (CSC)(China Scholarship Council); National Science Foundation of the United States of America (PIRE); National Science Foundation of the United States of America(National Science Foundation (NSF)); Office Of The Director; Office Of Internatl Science &amp;Engineering(National Science Foundation (NSF)NSF - Office of the Director (OD))</t>
  </si>
  <si>
    <t>Thanks to D. Royer for help compiling CO2 determinations and for help with error propagation for stomatal-based determinations. This work is co-supported by the National Key Research and Development Program of China (grant No. 2016YFE0109500), the National Natural Science Foundation of China (Grant Nos. 41761144063; 41672157; 41422204), the Fundamental Research Funds for the Central Universities (Grant Nos. lzujbky-2018-ot05; lzujbky-2014-257; lzujbky-2016-sp05), the open fund from State Key Laboratory of Loess and Quaternary Geology, Institute of Earth Environment, CAS (SKLLQG1608), the State Scholarship Fund organized by the China Scholarship Council (CSC) in 2014 (grant No. 201406180052) and National Science Foundation of the United States of America (PIRE grant 1545859; EAR-1156134; EAR-1252064).</t>
  </si>
  <si>
    <t>0012-821X</t>
  </si>
  <si>
    <t>1385-013X</t>
  </si>
  <si>
    <t>EARTH PLANET SC LETT</t>
  </si>
  <si>
    <t>Earth Planet. Sci. Lett.</t>
  </si>
  <si>
    <t>10.1016/j.epsl.2018.07.011</t>
  </si>
  <si>
    <t>Geochemistry &amp; Geophysics</t>
  </si>
  <si>
    <t>GT2WA</t>
  </si>
  <si>
    <t>hybrid</t>
  </si>
  <si>
    <t>WOS:000444359800012</t>
  </si>
  <si>
    <t>Bevan, SL; Luckman, AJ; Munneke, PK; Hubbard, B; Kulessa, B; Ashmore, DW</t>
  </si>
  <si>
    <t>Bevan, Suzanne Louise; Luckman, Adrian John; Munneke, Peter Kuipers; Hubbard, Bryn; Kulessa, Bernd; Ashmore, David William</t>
  </si>
  <si>
    <t>Decline in Surface Melt Duration on Larsen C Ice Shelf Revealed by The Advanced Scatterometer (ASCAT)</t>
  </si>
  <si>
    <t>EARTH AND SPACE SCIENCE</t>
  </si>
  <si>
    <t>GROUNDING LINE RETREAT; ANTARCTIC PENINSULA; WEST ANTARCTICA; PINE ISLAND; CLIMATE; TRENDS; GREENLAND; SNOWMELT; BALANCE; RECORD</t>
  </si>
  <si>
    <t>Surface melting has been contributing to the surface lowering and loss of firn air content on Larsen C Ice Shelf since at least the mid-1990s. Where the amount of melting and refreezing is significant, the firn can become impermeable and begin to support ponds of surface meltwater such as have been implicated in ice shelf collapse. Although meteorological station data indicated an increase in melt on the Antarctic Peninsula over the second half of the 20th century, the existing Ku-band Quick Scatterometer (QuikSCAT) time series is too short (1999-2009) to detect any significant 21st century trends. Here we investigate a longer 21st century period by extending the time series to 2017 using the C-band Advanced Scatterometer (ASCAT). We validate our recent observations with in situ weather station data and, using a firn percolation model, explore the sensitivity of scatterometry to water at varying depths in the firn. We find that active microwave C-band (5.6-cm wavelength) instruments can detect water at depths of up to 0.75 m below a frozen firn layer. Our longer scatterometry time series reveals that Larsen C Ice Shelf has experienced a decrease in melt season length of 1-2 days per year over the past 18 years consistent with decreasing summer air temperatures. Only in western inlets, where fohn winds drive melt, has the annual melt duration increased during this period. Plain Language Summary Antarctic ice shelves form where ice flows from the land and goes afloat on the sea. In recent decades, ice shelves along the Antarctic Peninsula have been disintegrating. Loss of an ice shelf allows faster flow of the land-based ice to the oceans and adds to sea-level rise. One possible cause of ice shelf breakup is increased surface melting; it is therefore important to monitor melt and the best way to do this is from space. We can detect melt from space using microwaves which are scattered back to the spaceborne instrument from the surface. A wet snow surface produces much lower backscatter than a dry one. We investigate trends in the number of days per year when Larsen C Ice Shelf on the Antarctic Peninsula experiences surface melting, using data from a new microwave instrument. On most of the ice shelf, the number of melt days each year has fallen by 1 or 2 days per year since 1999, consistent with decreasing summer air temperatures in this region. However, close to the mountains where the ice shelf is formed the number of melt days is increasing. These locations are where mountain winds known as fohn produce localized increases in surface temperatures.</t>
  </si>
  <si>
    <t>[Bevan, Suzanne Louise; Luckman, Adrian John; Kulessa, Bernd] Swansea Univ, Geog Dept, Coll Sci, Swansea, W Glam, Wales; [Munneke, Peter Kuipers] Univ Utrecht, Inst Marine &amp; Atmospher Res Utrecht, Utrecht, Netherlands; [Hubbard, Bryn] Aberystwyth Univ, Dept Geog &amp; Earth Sci, Ctr Glaciol, Aberystwyth, Dyfed, Wales; [Ashmore, David William] Univ Liverpool, Sch Environm Sci, Liverpool, Merseyside, England</t>
  </si>
  <si>
    <t>Swansea University; Utrecht University; Aberystwyth University; University of Liverpool</t>
  </si>
  <si>
    <t>Bevan, SL (corresponding author), Swansea Univ, Geog Dept, Coll Sci, Swansea, W Glam, Wales.</t>
  </si>
  <si>
    <t>s.l.bevan@swansea.ac.uk</t>
  </si>
  <si>
    <t>Luckman, Adrian/GVS-1716-2022</t>
  </si>
  <si>
    <t>Hubbard, Bryn/0000-0002-3565-3875; Luckman, Adrian/0000-0002-9618-5905; Ashmore, David/0000-0003-4829-7854; Bevan, Suzanne/0000-0003-2649-2982; Kulessa, Bernd/0000-0002-4830-4949</t>
  </si>
  <si>
    <t>Natural Environment Research Council (NERC) [NE/L006707/1, NE/L005409/1]; NERC [NE/L006707/1, NE/L005409/1] Funding Source: UKRI</t>
  </si>
  <si>
    <t>Natural Environment Research Council (NERC)(UK Research &amp; Innovation (UKRI)Natural Environment Research Council (NERC)); NERC(UK Research &amp; Innovation (UKRI)Natural Environment Research Council (NERC))</t>
  </si>
  <si>
    <t>The research was funded by the Natural Environment Research Council (NERC) grants NE/L006707/1 and NE/L005409/1. Grids of melt duration, onset date, and end date for the Antarctic Peninsula region are available at the UK Polar Data Centre (https://doi.org/10.5285/e3616d28-759e-4cca-8fae-fe398f9552ba).Output from AWS18 is also available at the UK Polar Data Centre (https://doi.org/10.5285/05c9124b-7119-4d99-8e17-ab754eb3f51c).Enhanced-resolution radar backscatter (sigma0) QuikSCAT (1999-2009) and ASCAT (2008-2017) data are available from Brigham Young University (www.scp.byu.edu) Microwave Earth Remote Sensing Laboratory (MERS).</t>
  </si>
  <si>
    <t>AMER GEOPHYSICAL UNION</t>
  </si>
  <si>
    <t>WASHINGTON</t>
  </si>
  <si>
    <t>2000 FLORIDA AVE NW, WASHINGTON, DC 20009 USA</t>
  </si>
  <si>
    <t>2333-5084</t>
  </si>
  <si>
    <t>EARTH SPACE SCI</t>
  </si>
  <si>
    <t>Earth Space Sci.</t>
  </si>
  <si>
    <t>10.1029/2018EA000421</t>
  </si>
  <si>
    <t>Astronomy &amp; Astrophysics; Geosciences, Multidisciplinary</t>
  </si>
  <si>
    <t>Astronomy &amp; Astrophysics; Geology</t>
  </si>
  <si>
    <t>HA6TC</t>
  </si>
  <si>
    <t>WOS:000450411800002</t>
  </si>
  <si>
    <t>Amblas, D; Dowdeswell, JA</t>
  </si>
  <si>
    <t>Amblas, D.; Dowdeswell, J. A.</t>
  </si>
  <si>
    <t>Physiographic influences on dense shelf-water cascading down the Antarctic continental slope</t>
  </si>
  <si>
    <t>EARTH-SCIENCE REVIEWS</t>
  </si>
  <si>
    <t>CIRCUMPOLAR DEEP-WATER; BOTTOM-WATER; ROSS-SEA; ADELIE LAND; EAST ANTARCTICA; ICE SHELVES; WILKES-LAND; WEDDELL SEA; PRYDZ BAY; ABYSSAL</t>
  </si>
  <si>
    <t>Predicting the source areas for Antarctic Bottom Water (AABW) requires knowledge of how cold, dense water masses form and move from the Antarctic shelves to the continental slope. Here we use a review of nearly 50 years of direct hydrographic observations to infer the main broad-scale influences on the distribution of dense shelf-water (DSW) overflows that cascade down the continental slope around Antarctica. The dynamics and distribution of large ice shelves, coastal polynyas and the physiography of the Antarctic continental shelves are each considered. The catalogue we present increases the number of DSW observations to 27, adds 20 additional stations where this process is likely to have occurred, and identifies 41 areas where DSW appears to be absent. Our pan-Antarctic, multi-decadal review enhances the understanding of the formation and export of DSW and highlights the variability and complexity of ice-ocean systems on high-latitude continental margins. The study also provides a context for understanding recent episodes of Antarctic ice-shelf instability, and how the relationship between DSW and AABW may evolve with climatic and oceanographic changes.</t>
  </si>
  <si>
    <t>[Amblas, D.; Dowdeswell, J. A.] Univ Cambridge, Scott Polar Res Inst, Lensfield Rd, Cambridge CB2 1ER, England</t>
  </si>
  <si>
    <t>University of Cambridge</t>
  </si>
  <si>
    <t>Amblas, D (corresponding author), Univ Cambridge, Scott Polar Res Inst, Lensfield Rd, Cambridge CB2 1ER, England.</t>
  </si>
  <si>
    <t>damblas@ub.edu</t>
  </si>
  <si>
    <t>Amblas, David/A-5482-2015</t>
  </si>
  <si>
    <t>Amblas, David/0000-0002-6248-5512; Dowdeswell, Julian/0000-0003-1369-9482</t>
  </si>
  <si>
    <t>European Union's Horizon 2020 research and innovation programme under Marie Sklodowska-Curie grant [658358]; Marie Curie Actions (MSCA) [658358] Funding Source: Marie Curie Actions (MSCA)</t>
  </si>
  <si>
    <t>European Union's Horizon 2020 research and innovation programme under Marie Sklodowska-Curie grant; Marie Curie Actions (MSCA)(Marie Curie Actions)</t>
  </si>
  <si>
    <t>This project has received funding from the European Union's Horizon 2020 research and innovation programme under Marie Sklodowska-Curie grant agreement No. 658358. We thank Hugo Tavares (Sainsbury Laboratory, University of Cambridge) for his valuable help with the analysis of the data in R software, and Thomas P. Gerber (Statoil - Research and Technology) and Keith W. Nicholls (British Antarctic Survey) for providing very useful comments on an earlier version of the manuscript. We also thank Gerhard Kuhn (AWI) and an anonymous reviewer for constructive reviews that helped shape and improve the manuscript.</t>
  </si>
  <si>
    <t>0012-8252</t>
  </si>
  <si>
    <t>1872-6828</t>
  </si>
  <si>
    <t>EARTH-SCI REV</t>
  </si>
  <si>
    <t>Earth-Sci. Rev.</t>
  </si>
  <si>
    <t>10.1016/j.earscirev.2018.07.014</t>
  </si>
  <si>
    <t>GY3YN</t>
  </si>
  <si>
    <t>Green Submitted, Green Accepted</t>
  </si>
  <si>
    <t>WOS:000448493500040</t>
  </si>
  <si>
    <t>Cherel, Y; Barbraud, C; Lahournat, M; Jaeger, A; Jaquemet, S; Wanless, RM; Phillips, RA; Thompson, DR; Bustamante, P</t>
  </si>
  <si>
    <t>Cherel, Yves; Barbraud, Christophe; Lahournat, Maxime; Jaeger, Audrey; Jaquemet, Sebastien; Wanless, Ross M.; Phillips, Richard A.; Thompson, David R.; Bustamante, Paco</t>
  </si>
  <si>
    <t>Accumulate or eliminate? Seasonal mercury dynamics in albatrosses, the most contaminated family of birds</t>
  </si>
  <si>
    <t>ENVIRONMENTAL POLLUTION</t>
  </si>
  <si>
    <t>Antarctica; Feathers; Foraging; Methylmercury; Moult; Seabirds; Southern ocean; Stable isotopes</t>
  </si>
  <si>
    <t>PERSISTENT ORGANIC POLLUTANTS; HEAVY-METAL CONCENTRATIONS; STABLE-ISOTOPES; INDIVIDUAL VARIATION; HABITAT PREFERENCES; TROPHIC POSITION; FORAGING AREAS; CHEMICAL FORM; MIDWAY ATOLL; SEABIRDS</t>
  </si>
  <si>
    <t>Albatrosses (Diomedeidae) are iconic pelagic seabirds whose life-history traits (longevity, high trophic position) put them at risk of high levels of exposure to methylmercury (MeHg), a powerful neurotoxin that threatens humans and wildlife. Here, we report total Hg (THg) concentrations in body feathers from 516 individual albatrosses from 35 populations, including all 20 taxa breeding in the Southern Ocean. Our key finding is that albatrosses constitute the family of birds with the highest levels of contamination by Hg, with mean feather THg concentrations in different populations ranging from moderate (3.8 mu g/g) to exceptionally high (34.6 mu g/g). Phylogeny had a significant effect on feather THg concentrations, with the mean decreasing in the order Diomedea &gt; Phoebetria &gt; Thalassarche. Unexpectedly, moulting habitats (reflected in feather delta C-13 values) was the main driver of feather THg concentrations, indicating increasing MeHg exposure with decreasing latitude, from Antarctic to subtropical waters. The role of moulting habitat suggests that the majority of MeHg eliminated into feathers by albatrosses is from recent food intake (income strategy). They thus differ from species that depurate MeHg into feathers that has been accumulated in internal tissues between two successive moults (capital strategy). Since albatrosses are amongst the most threatened families of birds, it is noteworthy that two albatrosses listed as Critical by the World Conservation Union (IUCN) that moult and breed in temperate waters are the most Hg contaminated species (the Amsterdam and Tristan albatrosses). These data emphasize the urgent need for robust assessment of the impact of Hg contamination on the biology of albatrosses and they document the high MeHg level exposure of wildlife living in the most remote marine areas on Earth. Crown Copyright (C) 2018 Published by Elsevier Ltd. All rights reserved.</t>
  </si>
  <si>
    <t>[Cherel, Yves; Barbraud, Christophe; Lahournat, Maxime; Jaeger, Audrey] Univ La Rochelle, CNRS, CEBC, UMR 7372, F-79360 Villiers En Bois, France; [Lahournat, Maxime; Bustamante, Paco] Univ La Rochelle, CNRS, Littoral Environm &amp; Soc, UMR 7266, 2 Rue Olympe Gouges, F-17000 La Rochelle, France; [Jaeger, Audrey; Jaquemet, Sebastien] Univ La Reunion, CNRS, Lab ENTROPIE, IRD,UMR 9220, 15 Ave Rene Cassin,BP 92003, F-97744 St Denis, La Reunion, France; [Wanless, Ross M.] Univ Cape Town, Percy FitzPatrick Inst African Ornithol, DST NRF Ctr Excellence, ZA-7701 Rondebosch, South Africa; [Phillips, Richard A.] British Antarctic Survey, Nat Environm Res Council, Madingley Rd, Cambridge CB3 0ET, England; [Thompson, David R.] Natl Inst Water &amp; Atmospher Res Ltd, 301 Evans Bay Parade, Wellington 6021, New Zealand</t>
  </si>
  <si>
    <t>Centre National de la Recherche Scientifique (CNRS); CNRS - Institute of Ecology &amp; Environment (INEE); La Rochelle Universite; Centre National de la Recherche Scientifique (CNRS); CNRS - Institute of Ecology &amp; Environment (INEE); La Rochelle Universite; University of La Reunion; Centre National de la Recherche Scientifique (CNRS); CNRS - Institute of Ecology &amp; Environment (INEE); Institut de Recherche pour le Developpement (IRD); University of Cape Town; National Research Foundation - South Africa; UK Research &amp; Innovation (UKRI); Natural Environment Research Council (NERC); NERC British Antarctic Survey; National Institute of Water &amp; Atmospheric Research (NIWA) - New Zealand</t>
  </si>
  <si>
    <t>Cherel, Y (corresponding author), Univ La Rochelle, CNRS, CEBC, UMR 7372, F-79360 Villiers En Bois, France.</t>
  </si>
  <si>
    <t>cherel@cebc.cnrs.fr</t>
  </si>
  <si>
    <t>Jaeger, Audrey/HMD-6340-2023; Thompson, David/C-3520-2008; Bustamante, Paco/G-5833-2011; Barbraud, Christophe/A-5870-2012</t>
  </si>
  <si>
    <t>Jaeger, Audrey/0000-0002-5649-0315; Bustamante, Paco/0000-0003-3877-9390; Barbraud, Christophe/0000-0003-0146-212X</t>
  </si>
  <si>
    <t>Institut Polaire Francais Paul Emile Victor [109]; Terres Australes et Antarctiques Francaises; British Antarctic Survey; Natural Environment Research Council; South African National Antarctic Program; Institut Universitaire de France; NERC [bas0100035] Funding Source: UKRI</t>
  </si>
  <si>
    <t>Institut Polaire Francais Paul Emile Victor; Terres Australes et Antarctiques Francaises; British Antarctic Survey; Natural Environment Research Council(UK Research &amp; Innovation (UKRI)Natural Environment Research Council (NERC)); South African National Antarctic Program; Institut Universitaire de France; NERC(UK Research &amp; Innovation (UKRI)Natural Environment Research Council (NERC))</t>
  </si>
  <si>
    <t>The authors thank all those colleagues who helped with collecting albatross feathers at the different breeding sites, and G. Guillou for running stable isotope samples. They are grateful to M. Brault-Favrou and C. Churlaud from the Plateforme Analyses Elementaires of the LIENSs laboratory for their support in the mercury analyses. The present work was partly supported financially and logistically by the Institut Polaire Francais Paul Emile Victor (programme no. 109, H. Weimerskirch), the Terres Australes et Antarctiques Francaises, and the British Antarctic Survey. This paper represents a contribution to the Ecosystems component of the British Antarctic Survey Polar Science for Planet Earth Programme, funded by The Natural Environment Research Council. S. Jaquemet benefited from the National Research Foundation financial support and from the South African National Antarctic Program logistical support. The Institut Universitaire de France is acknowledged for its support to P. Bustamante as a Senior Member.</t>
  </si>
  <si>
    <t>0269-7491</t>
  </si>
  <si>
    <t>1873-6424</t>
  </si>
  <si>
    <t>ENVIRON POLLUT</t>
  </si>
  <si>
    <t>Environ. Pollut.</t>
  </si>
  <si>
    <t>10.1016/j.envpol.2018.05.048</t>
  </si>
  <si>
    <t>Environmental Sciences</t>
  </si>
  <si>
    <t>Environmental Sciences &amp; Ecology</t>
  </si>
  <si>
    <t>GO8ZB</t>
  </si>
  <si>
    <t>WOS:000440390800014</t>
  </si>
  <si>
    <t>Ellis, DS; Cipro, CVZ; Ogletree, CA; Smith, KE; Aronson, RB</t>
  </si>
  <si>
    <t>Ellis, Daniel S.; Cipro, Caio V. Z.; Ogletree, Camden A.; Smith, Kathryn E.; Aronson, Richard B.</t>
  </si>
  <si>
    <t>A 50-year retrospective of persistent organic pollutants in the fat and eggs of penguins of the Southern Ocean</t>
  </si>
  <si>
    <t>POPs; DDT; Penguins; Antarctica; Biological indicator</t>
  </si>
  <si>
    <t>POLYBROMINATED DIPHENYL ETHERS; KING-GEORGE-ISLAND; POLYCHLORINATED-BIPHENYLS; ORGANOCHLORINE PESTICIDES; ADELIE PENGUIN; ANTARCTIC KRILL; EUPHAUSIA-SUPERBA; RESEARCH STATIONS; MATERNAL TRANSFER; COD-LIVER</t>
  </si>
  <si>
    <t>Persistent organic pollutants (POPS) such as dichlorodiphenyltrichloroethanes (DDTs), hexachlorobenzene (HCB), hexachlorocyclohexanes (HCHs), and polychlorinated biphenyls (PCBs) have been spreading to Antarctica for over half a century. Penguins are effective indicators of pelagic concentrations of POPs. We synthesized the literature on penguins to assess temporal trends of pelagic contamination in Antarctica, using fat and eggs to monitor changes from 1964 to 2011. DDT/DDE ratios suggest long-range atmospheric transport. Average DDT in fat (ww) increased from 44 ng g(-1), in the 1960s, peaked at 171 ng g(-1) in the mid-1980s, and then declined slowly to the present level of 101 ng g(-1). Temporal trends in HCB contamination rose into the 1990s before declining. Sigma HCHs in fat was similar to 5 ng g(-1) from 1960 to 1979, peaking at 33 ng g(-1) during the period 1980-1989 before declining to similar to 5 ng g(-1), from 1990 to present. PCBs rose substantially from 1970 to 2009 in fat, varying more than DDTs and HCB in both fat and eggs. Antarctic penguins are good biological indicators of global DDT and HCB emissions, but the existing data are insufficient regarding HCHs and PCBs. (C) 2018 Elsevier Ltd. All rights reserved.</t>
  </si>
  <si>
    <t>[Ellis, Daniel S.; Ogletree, Camden A.; Smith, Kathryn E.; Aronson, Richard B.] Florida Inst Technol, Dept Biol Sci, 150 West Univ Blvd, Melbourne, FL 32901 USA; [Cipro, Caio V. Z.] Univ Sao Paulo, Inst Oceanog, Lab Quim Organ Marinha, BR-05508120 Sao Paulo, SP, Brazil; [Cipro, Caio V. Z.] Univ La Rochelle, CNRS, Littoral Environm &amp; Soc LIENSs, UMR 7266, 2 Rue Olympe Gouges, F-17042 La Rochelle 01, France; [Ellis, Daniel S.] Calif Dept Fish &amp; Wildlife, 2109 Arch Airport Rd,Suite 100, Stockton, CA 95206 USA; [Smith, Kathryn E.] Univ Exeter, Coll Life &amp; Environm Sci, Exeter EX4 4QD, Devon, England</t>
  </si>
  <si>
    <t>Florida Institute of Technology; Universidade de Sao Paulo; Centre National de la Recherche Scientifique (CNRS); La Rochelle Universite; University of Exeter</t>
  </si>
  <si>
    <t>Ellis, DS (corresponding author), Florida Inst Technol, Dept Biol Sci, 150 West Univ Blvd, Melbourne, FL 32901 USA.;Ellis, DS (corresponding author), Calif Dept Fish &amp; Wildlife, 2109 Arch Airport Rd,Suite 100, Stockton, CA 95206 USA.</t>
  </si>
  <si>
    <t>dsellis71@gmail.com</t>
  </si>
  <si>
    <t>Smith, kathryn/KBC-9376-2024; Ellis, Daniel/GWN-0700-2022; Smith, Katie/G-5257-2014; Zecchin Cipro, Caio Vinicius/C-6338-2014</t>
  </si>
  <si>
    <t>Smith, Katie/0000-0002-7240-1490; Zecchin Cipro, Caio Vinicius/0000-0002-7028-6353; Aronson, Richard/0000-0003-0383-3844</t>
  </si>
  <si>
    <t>U.S. National Science Foundation [ANT-1141877]; Florida Institute of Technology; FAPESP (Sao Paulo Research Foundation, Brazil) [2007/55956-0]; Directorate For Geosciences; Office of Polar Programs (OPP) [1141877] Funding Source: National Science Foundation</t>
  </si>
  <si>
    <t>U.S. National Science Foundation(National Science Foundation (NSF)); Florida Institute of Technology; FAPESP (Sao Paulo Research Foundation, Brazil)(Fundacao de Amparo a Pesquisa do Estado de Sao Paulo (FAPESP)); Directorate For Geosciences; Office of Polar Programs (OPP)(National Science Foundation (NSF)NSF - Directorate for Geosciences (GEO))</t>
  </si>
  <si>
    <t>We are grateful to M.L. Sohn and R. van Woesik for advice on data management and statistical analysis. We also thank C.M. Day, J.E. Nelson, and A.N. Sant for assistance with the literature search. Funding was provided by the U.S. National Science Foundation (grant ANT-1141877 to R.B.A.). D.S.E. was supported by a fellowship from the Florida Institute of Technology, and C.V.Z.C. was supported by scholarships from FAPESP (Sao Paulo Research Foundation, Brazil; grant 2007/55956-0). This is contribution number 193 from the Institute for Global Ecology at the Florida Institute of Technology.</t>
  </si>
  <si>
    <t>10.1016/j.envpol.2018.05.003</t>
  </si>
  <si>
    <t>WOS:000440390800017</t>
  </si>
  <si>
    <t>Zang, L; Mao, FY; Guo, JP; Gong, W; Wang, W; Pan, ZX</t>
  </si>
  <si>
    <t>Zang, Lin; Mao, Feiyue; Guo, Jianping; Gong, Wei; Wang, Wei; Pan, Zengxin</t>
  </si>
  <si>
    <t>Estimating hourly PM1 concentrations from Himawari-8 aerosol optical depth in China</t>
  </si>
  <si>
    <t>Particulate matter; AOD; Neural network; Himawari; Remote sensing</t>
  </si>
  <si>
    <t>PARTICULATE MATTER PM2.5; AIR-POLLUTION; SPATIOTEMPORAL DISTRIBUTION; RESPIRATORY HEALTH; SATELLITE; MODIS; NETWORK; AERONET; MODEL; LAND</t>
  </si>
  <si>
    <t>Particulate matter with diameter less than 1 mu m (PM1) has been found to be closely associated with air quality, climate changes, and even adverse human health. However, a large gap in our knowledge concerning the large-scale distribution and variability of PM1 remains, which is expected to be bridged with advanced remote-sensing techniques. In this study, a hybrid model called principal component analysis-general regression neural network (PCA-GRNN) is developed to estimate hourly PM1 concentrations from Himawari-8 aerosol optical depth in combination with coincident ground-based PM1 measurements in China. Results indicate that the hourly estimated PM1 concentrations from satellite agree well with the measured values at national scale, with R-2 of 0.65, root-mean-square error (RMSE) of 22.0 mu g/m(3) and mean absolute error (MAE) of 13.8 mu g/m(3). On daily and monthly time scales, R-2 increases to 0.70 and 0.81, respectively. Spatially, highly polluted regions of PM1 are largely located in the North China Plain and Northeast China, in accordance with the distribution of industrialisation and urbanisation. In terms of diurnal variability, PM1 concentration tends to peak in rush hours during the daytime. PM1 exhibits distinct seasonality with winter having the largest concentration (31.5 +/- 13.5 mu g/m(3)), largely due to peak combustion emissions. We further attempt to estimate PM2.5 and Photo with the proposed method and find that the accuracies of the proposed model for PM1 and PM2.5 estimation are significantly higher than that of PM10. Our findings suggest that geostationary data is one of the promising data to estimate fine particle concentration on large spatial scale. (C) 2018 Elsevier Ltd. All rights reserved.</t>
  </si>
  <si>
    <t>[Zang, Lin; Mao, Feiyue; Gong, Wei; Pan, Zengxin] Wuhan Univ, State Key Lab Informat Engn Surveying Mapping &amp; R, Wuhan 430079, Hubei, Peoples R China; [Zang, Lin] Wuhan Univ, Chinese Antarctic Ctr Surveying &amp; Mapping, Wuhan 430079, Hubei, Peoples R China; [Mao, Feiyue] Wuhan Univ, Sch Remote Sensing &amp; Informat Engn, Wuhan 430079, Hubei, Peoples R China; [Mao, Feiyue] Collaborat Innovat Ctr Geospatial Technol, Wuhan 430079, Hubei, Peoples R China; [Guo, Jianping] China Acad Meteorol Sci, State Key Lab Severe Weather, Beijing 100081, Peoples R China; [Wang, Wei] Cent S Univ, Sch Geosci &amp; Info Phys, Changsha 410083, Hunan, Peoples R China</t>
  </si>
  <si>
    <t>Wuhan University; Wuhan University; Wuhan University; China Meteorological Administration; Chinese Academy of Meteorological Sciences (CAMS); Central South University</t>
  </si>
  <si>
    <t>Mao, FY (corresponding author), Wuhan Univ, Sch Remote Sensing &amp; Informat Engn, Wuhan 430079, Hubei, Peoples R China.;Guo, JP (corresponding author), China Acad Meteorol Sci, State Key Lab Severe Weather, Beijing 100081, Peoples R China.</t>
  </si>
  <si>
    <t>maofeiyue@whu.edu.cn; jpguocams@gmail.com</t>
  </si>
  <si>
    <t>Guo, Jianping/A-2378-2019; wang, wei/GRY-1405-2022; Guo, Jianping/K-1497-2017</t>
  </si>
  <si>
    <t>Guo, Jianping/0000-0001-8530-8976; wang, wei/0000-0001-7930-9147; Guo, Jianping/0000-0001-8530-8976</t>
  </si>
  <si>
    <t>National Key Research and Development Program of China [2016YFC0200900, 2017YFC0212600, 2017YFC1501401]; National Natural Science Foundation of China [41701381, 41627804]</t>
  </si>
  <si>
    <t>National Key Research and Development Program of China; National Natural Science Foundation of China(National Natural Science Foundation of China (NSFC))</t>
  </si>
  <si>
    <t>This study is supported by the National Key Research and Development Program of China (grant numbers: 2016YFC0200900, 2017YFC0212600, and 2017YFC1501401) and the National Natural Science Foundation of China (grant numbers: 41701381 and 41627804). We are also grateful to the CMA, Japan Aerospace Exploration Agency, ECMWF, Data Centre of US NASA, and USGS for providing the datasets used here.</t>
  </si>
  <si>
    <t>10.1016/j.envpol.2018.05.100</t>
  </si>
  <si>
    <t>WOS:000440390800070</t>
  </si>
  <si>
    <t>Gao, XZ; Huang, C; Rao, KF; Xu, YP; Huang, QH; Wang, F; Ma, M; Wang, ZJ</t>
  </si>
  <si>
    <t>Gao, Xiaozhong; Huang, Chao; Rao, Kaifeng; Xu, Yiping; Huang, Qinghui; Wang, Feng; Ma, Mei; Wang, Zijian</t>
  </si>
  <si>
    <t>Occurrences, sources, and transport of hydrophobic organic contaminants in the waters of Fildes Peninsula, Antarctica</t>
  </si>
  <si>
    <t>Antarctic waters; Passive sampling; Organophosphorus flame retardants (PFRs); Local source; Anthropogenic impact</t>
  </si>
  <si>
    <t>ORGANOPHOSPHORUS FLAME RETARDANTS; POLYCYCLIC AROMATIC-HYDROCARBONS; 2-HYBRID YEAST ASSAY; ORGANOCHLORINE PESTICIDES; POLYCHLORINATED-BIPHENYLS; SOUTHERN-OCEAN; MCMURDO SOUND; FRESH-WATER; POLLUTANTS; TOXICITY</t>
  </si>
  <si>
    <t>As a pristine continent, Antarctica provides a good opportunity to study the spatial transport and temporal accumulation of environmental contaminants and the impacts of anthropogenic activities, both of which have given rise to ongoing public concern. In this research, an approach of coupling aquatic time-integrated passive sampling with chemical analysis and bioassays was used to assess pollution by hydrophobic organic contaminants in Antarctic waters. Passive samplers were deployed in waters of Fildes Peninsula, Antarctica, and their extracts were used for chemical analyses of sixty-six hydrophobic organic contaminants belonging to five groups [organophosphorus flame retardants (PFRs), phthalic acid esters (PAEs), polycyclic aromatic hydrocarbons (PAHs), organochlorine pesticides (OCPs), and polychlorinated biphenyls (PCBs)] and in vitro bioassays for endocrine disruption and genotoxicity. In total, twenty pollutants (six PFRs, one PAE, two PAHs, six OCPs, and five PCBs) were quantified, and six PFRs had concentrations that ranged from ND (not detected) to 44.37 ng L-1 in Antarctic waters. The concentrations detected in the waters were generally low and insufficient to have significant in vitro endocrine disruption potential or genotoxicity. The source and transport pathways of PFRs and PAE in Fildes Peninsula were studied, and multiple local sources (wastewater, air traffic, research stations, and animal feces) for different PFRs were proposed. A spatial and temporal analysis showed slight changes in the exposure of OCPs and PCBs in Antarctic waters. Furthermore, a comparison among a variety of Antarctic water sampling cases revealed that passive sampling can be a tool for aquatic time-integrated investigations in polar regions. (C) 2018 Elsevier Ltd. All rights reserved.</t>
  </si>
  <si>
    <t>[Gao, Xiaozhong; Huang, Chao; Xu, Yiping; Ma, Mei] Chinese Acad Sci, Res Ctr Ecoenvironm Sci, Key Lab Drinking Water Sci &amp; Technol, Beijing 100085, Peoples R China; [Gao, Xiaozhong; Huang, Chao; Ma, Mei] Univ Chinese Acad Sci, Coll Resources &amp; Environm, Beijing 100049, Peoples R China; [Rao, Kaifeng; Wang, Zijian] Chinese Acad Sci, Res Ctr Ecoenvironm Sci, State Key Lab Environm Aquat Chem, Beijing 100085, Peoples R China; [Huang, Qinghui; Wang, Feng] Tongji Univ, Coll Environm Sci &amp; Engn, Minist Educ, Key Lab Yangtze River Water Environm, Shanghai 200092, Peoples R China</t>
  </si>
  <si>
    <t>Chinese Academy of Sciences; Research Center for Eco-Environmental Sciences (RCEES); Chinese Academy of Sciences; University of Chinese Academy of Sciences, CAS; Chinese Academy of Sciences; Research Center for Eco-Environmental Sciences (RCEES); Tongji University</t>
  </si>
  <si>
    <t>Xu, YP (corresponding author), Chinese Acad Sci, Res Ctr Ecoenvironm Sci, Key Lab Drinking Water Sci &amp; Technol, Beijing 100085, Peoples R China.</t>
  </si>
  <si>
    <t>ypxu@rcees.ac.cn</t>
  </si>
  <si>
    <t>Xu, Yiping/AAE-8749-2019; XU, Yiping/A-1603-2009; Huang, Qinghui/E-5157-2011</t>
  </si>
  <si>
    <t>Xu, Yiping/0000-0002-0681-473X; Huang, Qinghui/0000-0001-5770-6694</t>
  </si>
  <si>
    <t>National Natural Science Foundation of China [41571469, 21437006]; Chinese Academy of Sciences STS Program [KFJ-SW-STS-171]; Chinese Polar Environment Comprehensive Investigation and Assessment Programs [CHINARE 2015-02-01-08, 2015-04-01-07]</t>
  </si>
  <si>
    <t>National Natural Science Foundation of China(National Natural Science Foundation of China (NSFC)); Chinese Academy of Sciences STS Program; Chinese Polar Environment Comprehensive Investigation and Assessment Programs</t>
  </si>
  <si>
    <t>This study was financially supported by the National Natural Science Foundation of China (No. 41571469, No. 21437006), the Chinese Academy of Sciences STS Program (KFJ-SW-STS-171), and Chinese Polar Environment Comprehensive Investigation and Assessment Programs (No. CHINARE 2015-02-01-08 &amp; 2015-04-01-07). We particularly appreciate Prof. Gaofeng Zhao (Department of Water Environment, China Institute of Water Resources and Hydropower Research) for assisting us with the instrumental analysis.</t>
  </si>
  <si>
    <t>10.1016/j.envpol.2018.06.025</t>
  </si>
  <si>
    <t>WOS:000440390800099</t>
  </si>
  <si>
    <t>Fouilland, E; Le Floc'h, E; Brennan, D; Bell, EM; Lordsmith, SL; McNeill, S; Mitchell, E; Brand, TD; García-Martín, EE; Leakey, RJG</t>
  </si>
  <si>
    <t>Fouilland, Eric; Le Floc'h, Emilie; Brennan, Debra; Bell, Elanor M.; Lordsmith, Sian L.; McNeill, Sharon; Mitchell, Elaine; Brand, Tim D.; Garcia-Martin, E. Elena; Leakey, Raymond J. G.</t>
  </si>
  <si>
    <t>Assessment of bacterial dependence on marine primary production along a northern latitudinal gradient</t>
  </si>
  <si>
    <t>FEMS MICROBIOLOGY ECOLOGY</t>
  </si>
  <si>
    <t>carbon coupling; arctic waters; phytoplankton and bacteria interactions; nitrogen fluxes</t>
  </si>
  <si>
    <t>WESTERN ARCTIC-OCEAN; HETEROTROPHIC BACTERIA; ORGANIC-MATTER; FRAM STRAIT; CARBOXYLASE ACTIVITIES; MICROBIAL COMMUNITIES; NITROGEN UPTAKE; CARBON; WATERS; SEA</t>
  </si>
  <si>
    <t>Recent observations in polar marine waters have shown that a large fraction of primary production may be lost to respiration by planktonic bacteria due to very low bacterial growth efficiencies in cold waters. Here we report that sea temperature may be a key factor (but not the only one) influencing the interaction between bacteria and primary production in North Atlantic and Arctic waters, suggesting that low primary production rates could not sustain bacterial carbon demand in the coldest Arctic waters. The use of freshly produced phytoplankton exudate by bacteria in early- and mid-summer was assessed, together with the bacterial uptake of dissolved inorganic nitrogen (DIN = nitrate and ammonium), in surface waters along a latitudinal gradient from the North Sea to the Arctic sea ice. Bacterial production was independent of the low primary production measured in the coldest waters. Under these conditions, heterotrophic bacteria can consume a large fraction of DIN and N-rich organic matter, making them strong contributors to N fluxes in these waters.</t>
  </si>
  <si>
    <t>[Fouilland, Eric; Le Floc'h, Emilie] MARBEC Univ Montpellier, CNRS, IFREMER, IRD, Av Jean Monnet, F-34200 Sete, France; [Brennan, Debra; Bell, Elanor M.; Lordsmith, Sian L.; McNeill, Sharon; Mitchell, Elaine; Brand, Tim D.; Leakey, Raymond J. G.] Scottish Marine Inst, Scottish Assoc Marine Sci, Oban PA37 1QA, Argyll, Scotland; [Bell, Elanor M.] Australian Antarctic Div, 203 Channel Highway, Kingston, Tas 7050, Australia; [Lordsmith, Sian L.] Cardiff Univ, Sch Earth &amp; Ocean Sci, 1-74B-3-01 Main Bldg,Pk Pl, Cardiff CF10 3AT, S Glam, Wales; [Garcia-Martin, E. Elena] Univ East Anglia, Sch Environm Sci, Ctr Ocean &amp; Atmospher Sci, Norwich Res Pk, Norwich NR4 7TJ, Norfolk, England</t>
  </si>
  <si>
    <t>Institut de Recherche pour le Developpement (IRD); Centre National de la Recherche Scientifique (CNRS); Universite de Montpellier; Ifremer; UHI Millennium Institute; Australian Antarctic Division; Cardiff University; University of East Anglia</t>
  </si>
  <si>
    <t>Fouilland, E (corresponding author), UMR MARBEC, Av Jean Monnet, F-32400 Sete, France.</t>
  </si>
  <si>
    <t>eric.fouilland@cnrs.fr</t>
  </si>
  <si>
    <t>Fouilland, Eric/R-1415-2017; GarciaMartin, Elena/KFR-2697-2024</t>
  </si>
  <si>
    <t>Fouilland, Eric/0000-0001-9633-8847; Garcia-Martin, E. Elena/0000-0003-4807-3287</t>
  </si>
  <si>
    <t>UK Natural Environment Research Council via the Oceans2025 strategic marine research programme</t>
  </si>
  <si>
    <t>We would like to thank the two reviewers and the editor for their constructive comments. We thank the captain and crew of the RRS James Clark Ross for their help and support at sea, and E. Dumont and C. Griffiths for provision of physical oceanography data. We are also grateful to the UK Natural Environment Research Council for funding the research cruise via the Oceans2025 strategic marine research programme, and the Danish and Norwegian diplomatic authorities for granting permission to travel and work in Greenland, Norwegian and Svalbard waters. We should like to thank Patrick Raimbault (UMR Institut Mediterraneen d'Oceanologie, Marseille) for the stable isotope analyses.</t>
  </si>
  <si>
    <t>0168-6496</t>
  </si>
  <si>
    <t>1574-6941</t>
  </si>
  <si>
    <t>FEMS MICROBIOL ECOL</t>
  </si>
  <si>
    <t>FEMS Microbiol. Ecol.</t>
  </si>
  <si>
    <t>fiy150</t>
  </si>
  <si>
    <t>10.1093/femsec/fiy150</t>
  </si>
  <si>
    <t>GX9ZQ</t>
  </si>
  <si>
    <t>Green Accepted, Bronze, Green Published</t>
  </si>
  <si>
    <t>WOS:000448167900011</t>
  </si>
  <si>
    <t>Hauck, J; Lenton, A; Langlais, C; Matear, R</t>
  </si>
  <si>
    <t>Hauck, Judith; Lenton, Andrew; Langlais, Clothilde; Matear, Richard</t>
  </si>
  <si>
    <t>The Fate of Carbon and Nutrients Exported Out of the Southern Ocean</t>
  </si>
  <si>
    <t>GLOBAL BIOGEOCHEMICAL CYCLES</t>
  </si>
  <si>
    <t>Southern Ocean; ocean carbon sink; global carbon cycle; mode and intermediate waters; nutrient export</t>
  </si>
  <si>
    <t>ANTHROPOGENIC CARBON; ATMOSPHERIC CO2; SURFACE OCEAN; PATHWAYS; CLIMATE; MODE; TRANSPORT; PACIFIC; DIOXIDE; IRON</t>
  </si>
  <si>
    <t>Southern Ocean (SO) nutrient export via mode and intermediate waters is known to affect global biological production. The accompanying effects on the CO2 flux outside the SO are less certain. We performed idealized model simulations to separate the transient effects of SO carbon pumps on nutrients, primary production, and CO2 flux outside the SO. The SO biological carbon pump leads to dissolved inorganic carbon and nutrient reduction at the surface and in the exported water masses, and to a dissolved inorganic carbon increase at depth through the sinking of organic matter. When primary production is suppressed in the SO, only 30% of SO export, 43% of SO net primary production, and 50% of biologically driven SO CO2 flux are compensated outside the SO on a 200-year time scale. In contrast, when the abiotically driven CO2 flux is suppressed, 90% of CO2 outgassing in the SO is compensated by air-sea CO2 exchange outside the SO. The longer sequestration time scale of the biological carbon pump can be explained by incomplete compensation of primary production. This is a result of almost complete compensation of diatom productivity and no compensation of nanophytoplankton productivity due to feedbacks in phytoplankton community composition. The longer sequestration time scale is further sustained by the sinking and remineralization of particles in the deep ocean that are not in contact with the atmosphere over the 200-year time scale considered. As SO biologically driven CO2 flux is only partly compensated outside the SO, potential future changes in SO productivity may have an important impact on the global carbon cycle.</t>
  </si>
  <si>
    <t>[Hauck, Judith] Helmholtz Zentrum Polar &amp; Meeresforsch, Alfred Wegener Inst, Bremerhaven, Germany; [Lenton, Andrew; Langlais, Clothilde; Matear, Richard] CSIRO Oceans &amp; Atmosphere, Hobart, Tas, Australia; [Lenton, Andrew] Ctr Southern Hemisphere Oceans Res, Hobart, Tas, Australia; [Lenton, Andrew] Antarctic Climate &amp; Ecosyst Cooperat Res Ctr, Hobart, Tas, Australia</t>
  </si>
  <si>
    <t>Helmholtz Association; Alfred Wegener Institute, Helmholtz Centre for Polar &amp; Marine Research; Commonwealth Scientific &amp; Industrial Research Organisation (CSIRO); Antarctic Climate &amp; Ecosystems Cooperative Research Centre (ACE CRC)</t>
  </si>
  <si>
    <t>Hauck, J (corresponding author), Helmholtz Zentrum Polar &amp; Meeresforsch, Alfred Wegener Inst, Bremerhaven, Germany.</t>
  </si>
  <si>
    <t>judith.hauck@awi.de</t>
  </si>
  <si>
    <t>Langlais, Clothilde/AAI-9859-2021; Hauck, Judith/AAC-3967-2019; matear, richard/C-5133-2011; Lenton, Andrew/D-2077-2012</t>
  </si>
  <si>
    <t>Langlais, Clothilde/0000-0002-6423-7678; Hauck, Judith/0000-0003-4723-9652; matear, richard/0000-0002-3225-0800; Lenton, Andrew/0000-0001-9437-8896</t>
  </si>
  <si>
    <t>Australian Research Council's Special Research Initiative for Antarctic Gateway Partnership [SR140300001]; Initiative and Networking Fund of the Helmholtz Association (Helmholtz PostDoc programme) [PD-102, VH-NG-1301]; Initiative and Networking Fund of the Helmholtz Association (Helmholtz Young Investigator Group Marine Carbon and Ecosystem Feedbacks in the Earth System (MarESys)) [VH-NG-1301]</t>
  </si>
  <si>
    <t>Australian Research Council's Special Research Initiative for Antarctic Gateway Partnership(Australian Research Council); Initiative and Networking Fund of the Helmholtz Association (Helmholtz PostDoc programme); Initiative and Networking Fund of the Helmholtz Association (Helmholtz Young Investigator Group Marine Carbon and Ecosystem Feedbacks in the Earth System (MarESys))</t>
  </si>
  <si>
    <t>We thank the editor and two anonymous reviewers for their constructive feedback. This research was supported under Australian Research Council's Special Research Initiative for Antarctic Gateway Partnership (Project ID SR140300001) and under the Initiative and Networking Fund of the Helmholtz Association (Helmholtz PostDoc programme, grant number PD-102, and Helmholtz Young Investigator Group Marine Carbon and Ecosystem Feedbacks in the Earth System (MarESys), grant number VH-NG-1301. The REcoM model code used for this publication can be downloaded from https://swrepo1.awi.de/projects/recom/after registration. This code runs with the MITgcm checkpoint 65n available from mitgcm.org. The model results can be downloaded from https://doi.pangaea.de/10.1594/PANGAEA.894686.</t>
  </si>
  <si>
    <t>0886-6236</t>
  </si>
  <si>
    <t>1944-9224</t>
  </si>
  <si>
    <t>GLOBAL BIOGEOCHEM CY</t>
  </si>
  <si>
    <t>Glob. Biogeochem. Cycle</t>
  </si>
  <si>
    <t>10.1029/2018GB005977</t>
  </si>
  <si>
    <t>Environmental Sciences; Geosciences, Multidisciplinary; Meteorology &amp; Atmospheric Sciences</t>
  </si>
  <si>
    <t>Environmental Sciences &amp; Ecology; Geology; Meteorology &amp; Atmospheric Sciences</t>
  </si>
  <si>
    <t>HA2JK</t>
  </si>
  <si>
    <t>Green Published, hybrid</t>
  </si>
  <si>
    <t>WOS:000450063500010</t>
  </si>
  <si>
    <t>Yao, YB; Zhai, CZ; Kong, J; Zhao, QZ; Zhao, CJ</t>
  </si>
  <si>
    <t>Yao, Yibin; Zhai, Changzhi; Kong, Jian; Zhao, Qingzhi; Zhao, Cunjie</t>
  </si>
  <si>
    <t>A modified three-dimensional ionospheric tomography algorithm with side rays</t>
  </si>
  <si>
    <t>GPS SOLUTIONS</t>
  </si>
  <si>
    <t>Three-dimensional ionospheric tomography; GNSS; Side rays; Inversion</t>
  </si>
  <si>
    <t>TOTAL ELECTRON-CONTENT; NEURAL-NETWORK; NEQUICK 2; VALIDATION; RESOLUTION; IONOSONDE; DENSITY; REGION</t>
  </si>
  <si>
    <t>The three-dimensional ionospheric tomography (3DCIT) algorithm based on Global Navigation Satellite System (GNSS) observations have been developed into an effective tool for ionospheric monitoring in recent years. However, because the rays that come into or come out from the side of the inversion region cannot be used, the distribution of the rays in the edge and bottom part of the inversion region is scarce and the electron density cannot be effectively improved in the inversion process. We present a three-dimensional tomography algorithm with side rays (3DCIT-SR) applying the side rays to the inversion. The partial slant total electron content (STEC) of side rays in the inversion region is obtained based on the NeQuick2 model and GNSS-STEC. The simulation experiment results show that the algorithm can effectively improve the distribution of GNSS rays in the inversion region. Meanwhile, the iteration accuracy has also been significantly improved. After the same number of iterations, the iterative results of 3DCIT-SR are closer to the truth than 3DCIT, in particular, the inversion of the edge regions is improved noticeably. The GNSS data of the International GNSS Service (IGS) stations in Europe are used to perform real data experiments, and the inversion results show that the electron density profiles of 3DCIT-SR are closer to the ionosonde measurements. The accuracy improvement of 3DCIT-SR is up to 56.3% while the improvement is more obvious during the magnetic storm compared to the case of a calm ionospheric state .</t>
  </si>
  <si>
    <t>[Yao, Yibin; Zhai, Changzhi; Zhao, Cunjie] Wuhan Univ, Sch Geodesy &amp; Geomat, Wuhan, Hubei, Peoples R China; [Kong, Jian] Wuhan Univ, Chinese Antarctic Ctr Surveying &amp; Mapping, Wuhan, Hubei, Peoples R China; [Zhao, Qingzhi] Xian Univ Sci &amp; Technol, Coll Geomat, Xian, Shaanxi, Peoples R China</t>
  </si>
  <si>
    <t>Wuhan University; Wuhan University; Xi'an University of Science &amp; Technology</t>
  </si>
  <si>
    <t>Yao, YB (corresponding author), Wuhan Univ, Sch Geodesy &amp; Geomat, Wuhan, Hubei, Peoples R China.</t>
  </si>
  <si>
    <t>ybyao@whu.edu.cn</t>
  </si>
  <si>
    <t>Yao, Yibin/AAM-9653-2020; Zhai, Changzhi/JQW-2878-2023</t>
  </si>
  <si>
    <t>Yao, Yibin/0000-0002-7723-4601;</t>
  </si>
  <si>
    <t>SPRINGER HEIDELBERG</t>
  </si>
  <si>
    <t>HEIDELBERG</t>
  </si>
  <si>
    <t>TIERGARTENSTRASSE 17, D-69121 HEIDELBERG, GERMANY</t>
  </si>
  <si>
    <t>1080-5370</t>
  </si>
  <si>
    <t>1521-1886</t>
  </si>
  <si>
    <t>GPS SOLUT</t>
  </si>
  <si>
    <t>GPS Solut.</t>
  </si>
  <si>
    <t>10.1007/s10291-018-0772-4</t>
  </si>
  <si>
    <t>Remote Sensing</t>
  </si>
  <si>
    <t>GQ1QU</t>
  </si>
  <si>
    <t>WOS:000441412000001</t>
  </si>
  <si>
    <t>Králová, S; Svec, P; Busse, HJ; Stanková, E; Váczi, P; Sedlácek, I</t>
  </si>
  <si>
    <t>Kralova, Stanislava; Svec, Pavel; Busse, Hans-Juergen; Stankova, Eva; Vaczi, Peter; Sedlacek, Ivo</t>
  </si>
  <si>
    <t>Flavobacterium chryseum sp nov and Flavobacterium psychroterrae sp nov., novel environmental bacteria isolated from Antarctica</t>
  </si>
  <si>
    <t>INTERNATIONAL JOURNAL OF SYSTEMATIC AND EVOLUTIONARY MICROBIOLOGY</t>
  </si>
  <si>
    <t>Flavobacterium chryseum sp nov.; Flavobacterium psychroterrae sp.nov.; Antarctica; phylogeny; taxonomy</t>
  </si>
  <si>
    <t>JAMES-ROSS-ISLAND; EMENDED DESCRIPTION; GENUS FLAVOBACTERIUM; LIPID-COMPOSITION; SEQUENCE; FAMILY; CLASSIFICATION; IDENTIFICATION; HYBRIDIZATION; DNA</t>
  </si>
  <si>
    <t>A group of rod-shaped, aerobic, Gram-stain-negative, gliding bacteria producing flexirubin-type pigment was isolated from environmental samples collected in Antarctica in 2009-2014. Phylogenetic analysis of the almost complete 16S rRNA gene sequences revealed two separated branches belonging to the genus Flavobacterium. Group I (n=8), represented by strain CCM 8826(T), shared the highest sequence similarity to Flavobacterium collinsii 983-08(T) (98.8 %) and Flavobacterium saccharophilum DSM 1811(T) (98.4 %), and group II (n=4) represented by strain CCM 8827(T) shared the highest similarity to Flavobacterium aquidurense WB 1.1-56(T) (99.6 %). High genetic homogeneity of both groups, separation from each other and from phylogenetically close Flavobacterium species was verified by the rep-PCR fingerprinting method. DNA-DNA hybridization confirmed low genomic relatedness between strain CCM 8826(T) and F. collinsii 983-08(T) and F. saccharophilum DSM 1811(T) (18 and 28 %, respectively) and between strain CCM 8827(T) and F. aquidurense WB 1.1-56(T) (27%). Chemotaxonomic analyses of strains CCM 8826(T) and CCM 8827(T) revealed the respiratory quinone to be MK-6, the major identified polar lipid was phosphatidylethanolamine and the predominant polyamine was sym-homospermidine. The common major fatty acids were C-15:0 iso, C-17:0 iso 30H, C 15:1 iso G, Summed Feature 3 (C-16:1 omega 7c/C-16:1 omega 6c), C-15:0 iso 30H and additionally, C-15:0 anteiso among group II members. All analyses confirmed that strains of group I and II represent two novel species of the genus Flavobacterium, for which the names Flavobacterium chryseum sp. nov. (type strain CCM 8826(T)=P3160(T)=LMG 30615(T)) and Flavobacterium psychroterrae sp. nov. (type strain CCM 8827(T)=P3922(T)=LMG 30616(T)) are proposed.</t>
  </si>
  <si>
    <t>[Kralova, Stanislava; Svec, Pavel; Stankova, Eva; Sedlacek, Ivo] Masaryk Univ, Czech Collect Microorganisms, Dept Expt Biol, Kamenice 5, Brno 62500, Czech Republic; [Busse, Hans-Juergen] Vet Med Univ Wien, Inst Mikrobiol, A-1210 Vienna, Austria; [Vaczi, Peter] Masaryk Univ, Sect Plant Physiol &amp; Anat, Dept Expt Biol, Fac Sci, Kamenice 5, Brno 62500, Czech Republic</t>
  </si>
  <si>
    <t>Masaryk University Brno; University of Veterinary Medicine Vienna; Masaryk University Brno</t>
  </si>
  <si>
    <t>Králová, S (corresponding author), Masaryk Univ, Czech Collect Microorganisms, Dept Expt Biol, Kamenice 5, Brno 62500, Czech Republic.</t>
  </si>
  <si>
    <t>stanci@mail.muni.cz</t>
  </si>
  <si>
    <t>Svec, Pavel/B-1209-2008; Kralova, Stanislava/AAW-4815-2021; , Peter/AAF-2323-2021; Sedlacek, Ivo/IWU-8828-2023</t>
  </si>
  <si>
    <t>Svec, Pavel/0000-0002-1051-5177; Kralova, Stanislava/0000-0003-3384-5328; , Peter/0000-0003-1200-8934;</t>
  </si>
  <si>
    <t>Ministry of Education, Youth and Sports of the Czech Republic [LM2015078]; Czech Antarctic Foundation</t>
  </si>
  <si>
    <t>Ministry of Education, Youth and Sports of the Czech Republic(Ministry of Education, Youth &amp; Sports - Czech Republic); Czech Antarctic Foundation</t>
  </si>
  <si>
    <t>The authors wish to thank the scientific infrastructure of the J. G. Mendel Czech Antarctic Station, part of the Czech Polar Research Infrastructure (CzechPolar2), and its crew for their assistance, supported by the Ministry of Education, Youth and Sports of the Czech Republic (LM2015078) and the Czech Antarctic Foundation for their support. S. K. is a beneficiary of Brno Ph. D. Talent financial aid.</t>
  </si>
  <si>
    <t>MICROBIOLOGY SOC</t>
  </si>
  <si>
    <t>LONDON</t>
  </si>
  <si>
    <t>14-16 MEREDITH ST, LONDON, ENGLAND</t>
  </si>
  <si>
    <t>1466-5026</t>
  </si>
  <si>
    <t>1466-5034</t>
  </si>
  <si>
    <t>INT J SYST EVOL MICR</t>
  </si>
  <si>
    <t>Int. J. Syst. Evol. Microbiol.</t>
  </si>
  <si>
    <t>10.1099/ijsem.0.002952</t>
  </si>
  <si>
    <t>GV5RX</t>
  </si>
  <si>
    <t>Bronze</t>
  </si>
  <si>
    <t>WOS:000446161300008</t>
  </si>
  <si>
    <t>Londonio, A; Hasuoka, PE; Pacheco, P; Gil, RA; Smichowski, P</t>
  </si>
  <si>
    <t>Londonio, Agustin; Emir Hasuoka, Paul; Pacheco, Pablo; Andres Gil, Raul; Smichowski, Patricia</t>
  </si>
  <si>
    <t>Online solid phase extraction-HPLC-ICP-MS system for mercury and methylmercury preconcentration using functionalised carbon nanotubes for their determination in dietary supplements</t>
  </si>
  <si>
    <t>JOURNAL OF ANALYTICAL ATOMIC SPECTROMETRY</t>
  </si>
  <si>
    <t>ATOMIC FLUORESCENCE SPECTROMETRY; CHEMICAL-VAPOR GENERATION; PLASMA-MASS SPECTROMETRY; LIQUID-CHROMATOGRAPHY; SPECIATION ANALYSIS; BIOLOGICAL SAMPLES; WATER SAMPLES; MICRO-COLUMN; METHYL</t>
  </si>
  <si>
    <t>A hyphenated system was developed for Hg(ii) and methylmercury (MeHg) preconcentration and speciation analysis by the online coupling of solid phase extraction (SPE), high performance liquid chromatography (HPLC) and inductively coupled plasma mass spectrometry (ICP-MS). Both analytes, Hg(ii) and MeHg, were preconcentrated on a microcolumn filled with multiwalled carbon nanotubes (MWCNTs) functionalised with poly-l-methionine (polymet-MWCNTs). During the method development the sorbent material was carefully studied and the solid phase extraction conditions were optimised. An enrichment factor of 190 for Hg(ii) and MeHg was obtained when 20 mL of sample was passed through the microcolumn. For the chromatographic separation, a mobile phase composed of a ternary mixture of 0.5% formic acid + 0.2% 2-mercaptoethanol + 20% methanol was used. Separation of both mercurial species was accomplished in approximate to 10 min on a 250 mm C18 column. The detection limits of the SPE-HPLC-ICP-MS method were 15 ng L-1 for Hg(ii) and 17 ng L-1 for MeHg. The relative standard deviations of peak area for 5 ng L-1 of each Hg species were below 5%. Recoveries of Hg(ii) and MeHg were never less than 93%. For checking the accuracy, BCR 643-tuna fish and TORT-3 lobster hepatopancreas certificate reference materials were analysed. Mercury species were determined in spiked fish oil-based dietary supplements and Antarctic water.</t>
  </si>
  <si>
    <t>[Londonio, Agustin; Smichowski, Patricia] Comis Nacl Energia Atom, Gerencia Quim, Av Gral Paz 1499,B1650KNA, San Martin, Buenos Aires, Argentina; [Londonio, Agustin] Univ San Martin, Inst Invest &amp; Ingn Ambiental 3iA, Martin de Irigoyen 3100, RA-1650 San Martin, Buenos Aires, Argentina; [Emir Hasuoka, Paul; Pacheco, Pablo; Andres Gil, Raul] Ctr Cient Tecnol San Luis, Inst Quim San Luis, Ejercito Los Andes 950,Bloque 3, RA-5700 Pb San Luis, Argentina; [Pacheco, Pablo; Andres Gil, Raul; Smichowski, Patricia] Consejo Nacl Invest Cient &amp; Tecn, Av Godoy Cruz 2290,C1425FQB, Buenos Aires, DF, Argentina</t>
  </si>
  <si>
    <t>Comision Nacional de Energia Atomica (CNEA); Consejo Nacional de Investigaciones Cientificas y Tecnicas (CONICET)</t>
  </si>
  <si>
    <t>Smichowski, P (corresponding author), Comis Nacl Energia Atom, Gerencia Quim, Av Gral Paz 1499,B1650KNA, San Martin, Buenos Aires, Argentina.;Gil, RA (corresponding author), Ctr Cient Tecnol San Luis, Inst Quim San Luis, Ejercito Los Andes 950,Bloque 3, RA-5700 Pb San Luis, Argentina.;Gil, RA; Smichowski, P (corresponding author), Consejo Nacl Invest Cient &amp; Tecn, Av Godoy Cruz 2290,C1425FQB, Buenos Aires, DF, Argentina.</t>
  </si>
  <si>
    <t>ragil@unsl.edu.ar; smichows@cnea.gov.ar</t>
  </si>
  <si>
    <t>Pacheco, Pablo/I-7090-2019</t>
  </si>
  <si>
    <t>Pacheco, Pablo/0000-0001-7192-6861; Smichowski, Patricia/0000-0002-6351-7248; Gil, Raul/0000-0003-4941-6683; Pacheco, Pablo/0000-0002-1440-2946</t>
  </si>
  <si>
    <t>CONICET [PIP 0078]; ANPCyT [PICT 3590]</t>
  </si>
  <si>
    <t>CONICET(Consejo Nacional de Investigaciones Cientificas y Tecnicas (CONICET)); ANPCyT(ANPCyT)</t>
  </si>
  <si>
    <t>P. S. and A. L. thank Projects PIP 0078 (CONICET) and PICT 3590 (ANPCyT) for funds. Authors acknowledge the useful discussion with Dr Belen Parodi.</t>
  </si>
  <si>
    <t>ROYAL SOC CHEMISTRY</t>
  </si>
  <si>
    <t>CAMBRIDGE</t>
  </si>
  <si>
    <t>THOMAS GRAHAM HOUSE, SCIENCE PARK, MILTON RD, CAMBRIDGE CB4 0WF, CAMBS, ENGLAND</t>
  </si>
  <si>
    <t>0267-9477</t>
  </si>
  <si>
    <t>1364-5544</t>
  </si>
  <si>
    <t>J ANAL ATOM SPECTROM</t>
  </si>
  <si>
    <t>J. Anal. At. Spectrom.</t>
  </si>
  <si>
    <t>10.1039/c8ja00188j</t>
  </si>
  <si>
    <t>Chemistry, Analytical; Spectroscopy</t>
  </si>
  <si>
    <t>Chemistry; Spectroscopy</t>
  </si>
  <si>
    <t>GY2AR</t>
  </si>
  <si>
    <t>Green Published</t>
  </si>
  <si>
    <t>WOS:000448340200015</t>
  </si>
  <si>
    <t>Alarcón, D; Cavieres, LA</t>
  </si>
  <si>
    <t>Alarcon, Diego; Cavieres, Lohengrin A.</t>
  </si>
  <si>
    <t>Relationships between ecological niche and expected shifts in elevation and latitude due to climate change in South American temperate forest plants</t>
  </si>
  <si>
    <t>JOURNAL OF BIOGEOGRAPHY</t>
  </si>
  <si>
    <t>BIOMOD; climate change; elevation; ferns; latitude; niche breadth; niche modelling; Nothofagus; Outlying Mean Index; temperate forests</t>
  </si>
  <si>
    <t>SPECIES DISTRIBUTIONS; RANGE SIZE; FUTURE; DIVERSITY; GRADIENT; BREADTH; MECHANISMS; CAPACITY; PATTERNS; DUALITY</t>
  </si>
  <si>
    <t>Aim Niche properties, such as breadth and position along environmental gradients, are hypothesized to determine plant responses to climate change. We explored the properties of different plant niches in a biodiversity hotspot, over a wide span of elevational and latitudinal ranges, to assess the relationship between niche characteristics and the modelled distributional shifts due to climate change. Location Methods We assessed the niche breadth and position of 118 plant species of South American temperate forests, using an Outlying Mean Index (OMI). Bioclimatic information was gathered for each species from WorldClim, and both present and future distributions were modelled using BIOMOD, considering migration constraints with MIGCLIM. The relationships between niche properties and shifts in elevational and latitudinal distributions were explored using linear regressions. Results South American temperate forests. Main conclusions Niche differences among species were related to two bioclimatic dimensions: the first one correlated with the mean diurnal temperature range and precipitation seasonality following the mediterranean-temperate-sub-Antarctic climatic gradient; the second one correlated with minimum winter temperature along a gradient from oceanic-influenced habitats to cold tree line habitats. The projected elevational shifts were inversely related to niche breadth and the forecast latitudinal shifts were directly related to niche breadth. The shifts in elevation and latitude for understorey plants were not consistent with the shifts of dominant trees. The plant niches were successfully discerned by OMI analyses and they were associated with specific morphological or physiological traits. South American temperate forest plants showed an inverse relationship between niche breadth and elevational shifts, but a positive relationship regarding expected latitudinal shifts. This may be related to the fact that niche drivers followed a latitudinal orientation and the species showed the Rapoport's effect. Thus, the niche breadth and latitudinal position of the species should be considered in climatic change studies.</t>
  </si>
  <si>
    <t>[Alarcon, Diego; Cavieres, Lohengrin A.] Univ Concepcion, Dept Bot, Concepcion, Chile; [Alarcon, Diego; Cavieres, Lohengrin A.] Inst Ecol &amp; Biodiversidad, Santiago, Chile</t>
  </si>
  <si>
    <t>Universidad de Concepcion</t>
  </si>
  <si>
    <t>Alarcón, D (corresponding author), Univ Concepcion, Casilla 160-C, Concepcion, Chile.</t>
  </si>
  <si>
    <t>chilebosque@gmail.com</t>
  </si>
  <si>
    <t>Cavieres, Lohengrin A./A-9542-2010; Alarcón, Diego/I-1990-2016</t>
  </si>
  <si>
    <t>Cavieres, Lohengrin A./0000-0001-9122-3020; Alarcón, Diego/0000-0003-3751-047X</t>
  </si>
  <si>
    <t>Institute of Ecology and Biodiversity (IEB) [PFB-023 CONICYT]; Chilean National Commission for Scientific and Technological Research</t>
  </si>
  <si>
    <t>Institute of Ecology and Biodiversity (IEB); Chilean National Commission for Scientific and Technological Research</t>
  </si>
  <si>
    <t>Institute of Ecology and Biodiversity (IEB, http://www.ieb-chile.cl), Grant/Award Number: PFB-023 CONICYT; Chilean National Commission for Scientific and Technological Research (http://www.conicyt.cl), Grant/Award Number: Doctoral grant</t>
  </si>
  <si>
    <t>WILEY</t>
  </si>
  <si>
    <t>HOBOKEN</t>
  </si>
  <si>
    <t>111 RIVER ST, HOBOKEN 07030-5774, NJ USA</t>
  </si>
  <si>
    <t>0305-0270</t>
  </si>
  <si>
    <t>1365-2699</t>
  </si>
  <si>
    <t>J BIOGEOGR</t>
  </si>
  <si>
    <t>J. Biogeogr.</t>
  </si>
  <si>
    <t>10.1111/jbi.13377</t>
  </si>
  <si>
    <t>Ecology; Geography, Physical</t>
  </si>
  <si>
    <t>Environmental Sciences &amp; Ecology; Physical Geography</t>
  </si>
  <si>
    <t>HD0YH</t>
  </si>
  <si>
    <t>WOS:000452234900005</t>
  </si>
  <si>
    <t>Dou, J; Wu, ZW</t>
  </si>
  <si>
    <t>Dou, Juan; Wu, Zhiwei</t>
  </si>
  <si>
    <t>Southern Hemisphere Origins for Interannual Variations of Snow Cover over the Western Tibetan Plateau in Boreal Summer</t>
  </si>
  <si>
    <t>JOURNAL OF CLIMATE</t>
  </si>
  <si>
    <t>Annular mode; Antarctic Oscillation; Atmosphere-ocean interaction; Rossby waves; Snow cover; Interannual variability</t>
  </si>
  <si>
    <t>SPRING ANTARCTIC OSCILLATION; ANNULAR MODE; EXTRATROPICAL CIRCULATION; WINTER PRECIPITATION; NORTHERN-HEMISPHERE; PART I; VARIABILITY; CLIMATE; ATMOSPHERE; DEPTH</t>
  </si>
  <si>
    <t>The climate response to the Tibetan Plateau (TP) snow cover (TPSC) has been receiving extensive concern. However, relatively few studies have been devoted to revealing the potential factors that can contribute to the TPSC interannual variability, especially during boreal summer. This study finds that the May Southern Hemisphere (SH) annular mode (SAM), the dominating mode of atmospheric circulation variability in the SH extratropics, exhibits a significant positive relationship with the interannual variations in western TPSC during boreal summer. Observational analysis and numerical experiments manifest that the signal of the May SAM can be prolonged by a meridional Indian Ocean tripole (IOT) sea surface temperature anomaly (SSTA) via atmosphere-ocean interaction. The IOT SSTA pattern persists into the following summer and excites anomalous local-scale zonal-vertical circulation. Subsequently, a tropical dipole rainfall (TDR) mode is induced with precipitation anomalies between the tropical western Indian Ocean and the eastern Indian Ocean-Maritime Continent. Rossby wave ray tracing diagnosis reveals that the wave energies, generated by the latent heat release of the TDR mode, can propagate northward into the western TP. As a response, abnormal cyclone (or anticyclone) and upward (or downward) movement are triggered over the western TP, providing favorable dynamical conditions for more (or less) TPSC. Moreover, the strong May SAM is usually followed by a cold air temperature anomaly over the western TP in summer, which is unfavorable for snow-cover melting, and vice versa. In brief, the IOT SSTA plays an ocean bridge role and the TDR mode plays an atmosphere bridge role in the process of the May SAM impacting the following summer TPSC variability. The results may provide new insight into the cross-equatorial propagation of the SAM influence.</t>
  </si>
  <si>
    <t>[Dou, Juan] Nanjing Univ Informat Sci &amp; Technol, Earth Syst Modeling Ctr, Nanjing, Jiangsu, Peoples R China; [Dou, Juan; Wu, Zhiwei] Fudan Univ, Inst Atmospher Sci, Shanghai, Peoples R China</t>
  </si>
  <si>
    <t>Nanjing University of Information Science &amp; Technology; Fudan University</t>
  </si>
  <si>
    <t>Wu, ZW (corresponding author), Fudan Univ, Inst Atmospher Sci, Shanghai, Peoples R China.</t>
  </si>
  <si>
    <t>zhiweiwu@fudan.edu.cn</t>
  </si>
  <si>
    <t>Wu, Zhiwei/KHE-4328-2024</t>
  </si>
  <si>
    <t>National Natural Science Foundation of China (NSFC) [91637312, 91437216, 41575075]; Ministry of Science and Technology of China [2016YFA0601801, 2015CB453201, 2015CB953904, 2013CB430202]; Innovation Project of Jiangsu Province [KYLX16_0929]; China Scholarship Council</t>
  </si>
  <si>
    <t>National Natural Science Foundation of China (NSFC)(National Natural Science Foundation of China (NSFC)); Ministry of Science and Technology of China(Ministry of Science and Technology, China); Innovation Project of Jiangsu Province; China Scholarship Council(China Scholarship Council)</t>
  </si>
  <si>
    <t>The authors are grateful to Prof. Jianping Li, Dr. Yanjie Li, and Dr. Sen Zhao for making the Rossby wave racing code readily available and the anonymous reviewers for their constructive comments, which helped improve the quality of the manuscript. Thanks to Rutgers University Global Snow Lab for providing snow-cover data. This work is jointly supported by the National Natural Science Foundation of China (NSFC; Grants 91637312, 91437216, and 41575075), the Ministry of Science and Technology of China (Grants 2016YFA0601801, 2015CB453201, 2015CB953904, and 2013CB430202), the Innovation Project of Jiangsu Province (Grant KYLX16_0929), and China Scholarship Council.</t>
  </si>
  <si>
    <t>AMER METEOROLOGICAL SOC</t>
  </si>
  <si>
    <t>BOSTON</t>
  </si>
  <si>
    <t>45 BEACON ST, BOSTON, MA 02108-3693 USA</t>
  </si>
  <si>
    <t>0894-8755</t>
  </si>
  <si>
    <t>1520-0442</t>
  </si>
  <si>
    <t>J CLIMATE</t>
  </si>
  <si>
    <t>J. Clim.</t>
  </si>
  <si>
    <t>10.1175/JCLI-D-17-0327.1</t>
  </si>
  <si>
    <t>GP9JG</t>
  </si>
  <si>
    <t>WOS:000441232700001</t>
  </si>
  <si>
    <t>Hutchinson, K; Beal, LM; Penven, P; Ansorge, I; Hermes, J</t>
  </si>
  <si>
    <t>Hutchinson, Katherine; Beal, Lisa M.; Penven, Pierrick; Ansorge, Isabelle; Hermes, Juliet</t>
  </si>
  <si>
    <t>Seasonal Phasing of Agulhas Current Transport Tied to a Baroclinic Adjustment of Near-Field Winds</t>
  </si>
  <si>
    <t>JOURNAL OF GEOPHYSICAL RESEARCH-OCEANS</t>
  </si>
  <si>
    <t>Agulhas Current; seasonal cycle; wind stress curl; Rossby waves; Indian Ocean; reduced gravity model</t>
  </si>
  <si>
    <t>ROSSBY WAVES; VARIABILITY; OCEAN; THERMOCLINE; DRIVEN; SYSTEM; DECAY</t>
  </si>
  <si>
    <t>The Agulhas Current plays a significant role in both local and global ocean circulation and climate regulation, yet the mechanisms that determine the seasonal cycle of the current remain unclear, with discrepancies between ocean models and observations. Observations from moorings across the current and a 22-year proxy of Agulhas Current volume transport reveal that the current is over 25% stronger in austral summer than in winter. We hypothesize that winds over the Southern Indian Ocean play a critical role in determining this seasonal phasing through barotropic and first baroclinic mode adjustments and communication to the western boundary via Rossby waves. Our hypothesis is explored using single-layer and one-and-a-half layer models. We find that the barotropic contribution to seasonal phasing is small, with the majority of the seasonal signal deflected offshore and along the Mozambique Ridge. The summertime maximum and wintertime minimum can, however, be reproduced by a one-and-a-half layer reduced gravity model in which adjustment time to wind forcing via Rossby waves is in line with observations from satellite altimetry. Additionally, near-field winds (to the west of 35 degrees E) are shown to have a controlling influence on the seasonal phasing, as signals from farther afield dissipate through destructive interference with overlying winds before reaching the western boundary. These results suggest a critical role for a baroclinic adjustment to near-field winds in setting the summertime maximum in Agulhas Current transport. The Agulhas Current flows along the east coast of South Africa, transporting warm Indian Ocean water southward, acting as a vital limb of the global ocean conveyor belt and influencing local rainfall and climate. This study looks at the seasonal cycle of the Agulhas Current and uses idealized models to explore how winds over the Southern Indian Ocean may influence this seasonality. The current is 25% stronger in summertime, yet we do not have existing knowledge regarding the principal drivers that set this observed variability. In this study, we find that baroclinic processes communicating the wind stress curl variability from near-field winds have a dominant contribution to the seasonal phasing. Wind signals from further afield are found to die out during their journey west and so have little effect on the seasonal cycle of the Agulhas Current. Furthermore, correctly capturing the adjustment time to wind forcing is found to be very important when endeavoring to simulate the Agulhas Current seasonal phasing using a reduced gravity model. This study exposes a link between the seasonality of Agulhas Current and propagation of first baroclinic mode Rossby waves communicating the near-field wind stress signal across the western portion of the Southern Indian Ocean.</t>
  </si>
  <si>
    <t>[Hutchinson, Katherine; Ansorge, Isabelle; Hermes, Juliet] Univ Cape Town, Dept Oceanog, Cape Town, South Africa; [Hutchinson, Katherine; Hermes, Juliet] SAEON Egagasini Node, South African Environm Observat Network, Cape Town, South Africa; [Beal, Lisa M.] Univ Miami, Rosenstiel Sch Marine &amp; Atmospher Sci, 4600 Rickenbacker Causeway, Miami, FL 33149 USA; [Penven, Pierrick] Univ Brest, Lab Oceanog Phys &amp; Spatiale, CNRS, IFREMER,IRD,IUEM, Brest, France</t>
  </si>
  <si>
    <t>University of Cape Town; National Research Foundation - South Africa; South African Environmental Observation Network (SAEON); University of Miami; Institut de Recherche pour le Developpement (IRD); Centre National de la Recherche Scientifique (CNRS); Ifremer; Universite de Bretagne Occidentale; Institut Universitaire Europeen de la Mer (IUEM)</t>
  </si>
  <si>
    <t>Hutchinson, K (corresponding author), Univ Cape Town, Dept Oceanog, Cape Town, South Africa.;Hutchinson, K (corresponding author), SAEON Egagasini Node, South African Environm Observat Network, Cape Town, South Africa.</t>
  </si>
  <si>
    <t>kath.hutchinson@gmail.com</t>
  </si>
  <si>
    <t>Hermes, Juliet/IRZ-6210-2023; ANSORGE, ISABELLE/AAY-7396-2020; Penven, Pierrick/A-6665-2008</t>
  </si>
  <si>
    <t>Hermes, Juliet/0000-0001-7858-514X; Penven, Pierrick/0000-0001-6456-3142; Hutchinson, Katherine/0000-0002-3472-8273; Ansorge, Isabelle/0000-0001-7071-8147; Beal, Lisa/0000-0003-3678-5367</t>
  </si>
  <si>
    <t>South African National Research Fund (DST-NRF PDP Professional Development Grant) [88741]; South African Environmental Observations Network (SAEON); South African National Antarctic Programme (SANAP) [466311]; French Institut de recherche pour le developpement (IRD) [426213 CMS 1039]; South African National Research fund KIC award [111529]; U.S. National Science Foundation (U.S. NSF) [1459543]; Cnes; Directorate For Geosciences; Division Of Ocean Sciences [1459543] Funding Source: National Science Foundation</t>
  </si>
  <si>
    <t>South African National Research Fund (DST-NRF PDP Professional Development Grant); South African Environmental Observations Network (SAEON); South African National Antarctic Programme (SANAP); French Institut de recherche pour le developpement (IRD); South African National Research fund KIC award; U.S. National Science Foundation (U.S. NSF)(National Science Foundation (NSF)); Cnes(Centre National D'etudes Spatiales); Directorate For Geosciences; Division Of Ocean Sciences(National Science Foundation (NSF)NSF - Directorate for Geosciences (GEO))</t>
  </si>
  <si>
    <t>The authors would like to acknowledge the financial support necessary to carry out this research provided by the South African National Research Fund (DST-NRF PDP Professional Development Grant 88741) and the South African Environmental Observations Network (SAEON). The authors would furthermore like to thank the following sources for the mobility grants provided: the South African National Antarctic Programme (SANAP; grant 466311), the French Institut de recherche pour le developpement (IRD with travel support provided through ICEMASA; grant 426213 CMS 1039), the South African National Research fund KIC award (grant 111529), and the U.S. National Science Foundation (U.S. NSF award 1459543). The modeling tools ROMS-AGRIF and ROMS-TOOLS used here were provided by IRD. The data from the idealized model simulations are available online at the Zenodo repository with DOI: 10.5281/zenodo.1211515. The altimeter products distributed by AVISO were produced by Ssalto/Duacs, with support from Cnes (http://www.aviso.altimetry.fr/duacs/). The in situ mooring data from the ACT experiment are archived with the NOAA National Centers for Environmental Information (https://www.ncei.noaa.gov), with access numbers 0156669 and 0156605.</t>
  </si>
  <si>
    <t>2169-9275</t>
  </si>
  <si>
    <t>2169-9291</t>
  </si>
  <si>
    <t>J GEOPHYS RES-OCEANS</t>
  </si>
  <si>
    <t>J. Geophys. Res.-Oceans</t>
  </si>
  <si>
    <t>10.1029/2018JC014319</t>
  </si>
  <si>
    <t>HB7QL</t>
  </si>
  <si>
    <t>Green Published, Green Submitted</t>
  </si>
  <si>
    <t>WOS:000451274900006</t>
  </si>
  <si>
    <t>Carranza, MM; Gille, ST; Franks, PJS; Johnson, KS; Pinkel, R; Girton, JB</t>
  </si>
  <si>
    <t>Carranza, Magdalena M.; Gille, Sarah T.; Franks, Peter J. S.; Johnson, Kenneth S.; Pinkel, Robert; Girton, James B.</t>
  </si>
  <si>
    <t>When Mixed Layers Are Not Mixed. Storm-Driven Mixing and Bio-optical Vertical Gradients in Mixed Layers of the Southern Ocean</t>
  </si>
  <si>
    <t>Southern Ocean mixed layer; bio-optical vertical variability; deep Chl-a fluorescence maxima; phytoplankton growth; storm-driven mixing; storm timescales</t>
  </si>
  <si>
    <t>CHLOROPHYLL MAXIMUM LAYERS; IN-VIVO FLUORESCENCE; ANTARCTIC MODE WATER; GROWTH-RATES; SUBSURFACE CHLOROPHYLL; PHYTOPLANKTON BIOMASS; MARINE-PHYTOPLANKTON; PLANKTON PATCHINESS; BEAM ATTENUATION; ELEPHANT SEALS</t>
  </si>
  <si>
    <t>Mixed layers are defined to have homogeneous density, temperature, and salinity. However, bio-optical profiles may not always be fully homogenized within the mixed layer. The relative timescales of mixing and biological processes determine whether bio-optical gradients can form within a uniform density mixed layer. Vertical profiles of bio-optical measurements from biogeochemical Argo floats and elephant seal tags in the Southern Ocean are used to assess biological structure in the upper ocean. Within the hydrographically defined mixed layer, the profiles show significant vertical variance in chlorophyll-a (Chl-a) fluorescence and particle optical backscatter. Biological structure is assessed by fitting Chl-a fluorescence and particle backscatter profiles to functional forms (i.e., Gaussian, sigmoid, exponential, and their combinations). In the Southern Ocean, which characteristically has deep mixed layers, only 40% of nighttime bio-optical profiles were characterized by a sigmoid, indicating a well-mixed surface layer. Of the remaining 60% that showed structure, approximate to 40% had a deep fluorescence maximum below 20-m depth that correlated with particle backscatter. Furthermore, a significant fraction of these deep fluorescence maxima were found within the mixed layer (20-80%, depending on mixed-layer depth definition and season). Results suggest that the timescale between mixing events that homogenize the surface layer is often longer than biological timescales of restratification. We hypothesize that periods of quiescence between synoptic storms, which we estimate to be approximate to 3-5days (depending on season), allow bio-optical gradients to develop within mixed layers that remain homogeneous in density. Storms influence high-latitude oceans by stirring the upper ocean nearly continuously. This wind mixing is usually expected to homogenize properties within the upper layer of the ocean, known as the mixed layer. New water column observations from floats and elephant seal tag confirm homogenization of hydrographic properties that determine density of seawater (e.g., temperature and salinity); however, biogeochemical properties are not necessarily homogenized. Most of the time optical measurements of biological properties within the mixed layer show vertical structure, which is indicative of phytoplankton biomass. These vertical inhomogenities are ubiquitous throughout the Southern Ocean and may occur in all seasons, often close to the base of the mixed layer. Within the mixed layer, observations suggest that biological processes create inhomogenities faster than mixing can homogenize. We hypothesize that 3- to 5-day periods of quiescence between storm events are long enough to allow bio-optical structure to develop without perturbing the mixed layers' uniform density. This may imply that phytoplankton in the Southern Ocean are better adapted to the harsh environmental conditions than commonly thought.</t>
  </si>
  <si>
    <t>[Carranza, Magdalena M.; Gille, Sarah T.; Franks, Peter J. S.; Pinkel, Robert] Univ Calif San Diego, Scripps Inst Oceanog, La Jolla, CA 92093 USA; [Carranza, Magdalena M.] Natl Ctr Atmospher Res, Climate &amp; Global Dynam Div, POB 3000, Boulder, CO 80307 USA; [Johnson, Kenneth S.] Monterey Bay Aquarium Res Inst, Moss Landing, CA USA; [Girton, James B.] Univ Washington, Appl Phys Lab, Seattle, WA 98105 USA</t>
  </si>
  <si>
    <t>University of California System; University of California San Diego; Scripps Institution of Oceanography; National Center Atmospheric Research (NCAR) - USA; Monterey Bay Aquarium Research Institute; University of Washington; University of Washington Seattle</t>
  </si>
  <si>
    <t>Carranza, MM (corresponding author), Univ Calif San Diego, Scripps Inst Oceanog, La Jolla, CA 92093 USA.;Carranza, MM (corresponding author), Natl Ctr Atmospher Res, Climate &amp; Global Dynam Div, POB 3000, Boulder, CO 80307 USA.</t>
  </si>
  <si>
    <t>maucarranza@ucsd.edu</t>
  </si>
  <si>
    <t>; Johnson, Kenneth/F-9742-2011</t>
  </si>
  <si>
    <t>Carranza, Magdalena/0000-0002-1634-8234; Johnson, Kenneth/0000-0001-5513-5584; Gille, Sarah/0000-0001-9144-4368; Franks, Peter/0000-0003-1862-0171</t>
  </si>
  <si>
    <t>NASA NESFF fellowship [NNX12AN41H 001]; NASA [NNX08AI82G, NNX14A078G, NNX13AE44G, NNX17AH53G]; NSF [ARRA OCE0850350, ANT-0948338, OCE-1658001, OCE-1129564]; NSF's Southern Ocean Carbon and Climate Observations and Modeling (SOCCOM) Project under the NSF award [PLR-1425989]; NOAA; NASA [474906, NNX13AE44G, NNX08AI82G, 100288] Funding Source: Federal RePORTER</t>
  </si>
  <si>
    <t>NASA NESFF fellowship; NASA(National Aeronautics &amp; Space Administration (NASA)); NSF(National Science Foundation (NSF)); NSF's Southern Ocean Carbon and Climate Observations and Modeling (SOCCOM) Project under the NSF award; NOAA(National Oceanic Atmospheric Admin (NOAA) - USA); NASA(National Aeronautics &amp; Space Administration (NASA))</t>
  </si>
  <si>
    <t>This work was funded by the NASA NESFF fellowship (NNX12AN41H 001), by NASA (NNX08AI82G, NNX14A078G, NNX14A078G, NNX13AE44G and NNX17AH53G), and by NSF grants (ARRA OCE0850350, ANT-0948338 and OCE-1658001). This work was also sponsored by NSF's Southern Ocean Carbon and Climate Observations and Modeling (SOCCOM) Project under the NSF award PLR-1425989 with additional support from NOAA and NASA. Logistical support for this project in Antarctica was provided by the U.S. National Science Foundation through the U.S. Antarctic Program. We thank all the people involved in the calibration, deployment, and acquisition of subsurface Chl-a data used in this study and for making it available to the science community. Thanks to the DIMES project for the deployment of EM-APEX floats (NSF grant OCE-1129564), MBARI, and SOCCOM for collecting and making the float data freely available (http://soccom.princeton.edu/content/soccom-observations).Southern elephant seal data were downloaded from www.earth-syst-sci-data.net/5/15/2013/doi: 10.5194/essd-5-15-2013, and bio-optical data from biogeochemical Argo floats are available at http://www.mbari.org/chemsensor/floatviz.htm.CCMP Version-2.0 vector wind analyses are produced by Remote Sensing Systems and are available at www.remss.com/measurements/ccmp.We thank James Holte for his MATLAB code to estimate MLD, available at http://mixedlayer.ucsd.edu.The MATLAB function used to estimate sunrise and sunset times is available at http://mooring.ucsd.edu/software/matlab/doc/toolbox/geo/suncycle.html.Finally, we thank Emmanuel Boss for his input to an earlier draft of this manuscript and constructive comments from two anonymous reviewers that helped to improve the presentation of the manuscript.</t>
  </si>
  <si>
    <t>10.1029/2018JC014416</t>
  </si>
  <si>
    <t>Green Published, Bronze</t>
  </si>
  <si>
    <t>WOS:000451274900017</t>
  </si>
  <si>
    <t>Oliver, ECJ; Holbrook, NJ</t>
  </si>
  <si>
    <t>Oliver, Eric C. J.; Holbrook, Neil J.</t>
  </si>
  <si>
    <t>Variability and Long-Term Trends in the Shelf Circulation Off Eastern Tasmania</t>
  </si>
  <si>
    <t>boundary current; ocean model; East Australian Current; Zeehan Current; climate variability; marine heat waves</t>
  </si>
  <si>
    <t>AUSTRALIAN CURRENT; TEMPERATURE VARIABILITY; OCEAN; ADAPTATION; SEPARATION; BLOCKING; SYSTEM; WATER; MODE</t>
  </si>
  <si>
    <t>This study investigates trends and interannual variability of the marine climate across the continental shelf off eastern Tasmania for 1993-2016. This region is a hotspot for global warming and biodiversity. Eastern Tasmania lies at the boundary between two ocean currents (the East Australian Current Extension, or EAC Extension, and the Zeehan Current, ZC) leading to the local marine climate exhibiting trends and variability from both boundary currents. A numerical ocean model is used to provide high-resolution (approximate to 2km) estimates of the temperature, salinity, and circulation for the region. Results indicate significant positive trends in temperature, salinity, and southward flow over the shelf, consistent with an increasing EAC Extension. These trends are particularly strong in autumn, indicating a lengthening of the warm season. The interannual variability in the EAC Extension and ZC was quantified by a simple index, based on a modal analysis of surface circulation, indicating the relative dominance of each current. Strong EAC years were related to significantly more summertime marine heat wave days. Large-scale remote drivers of variability were considered, and we found weak but significant links with El Nino-Southern Oscillation and Tasman Sea Blocking. El Nino-Southern Oscillation was found to modulate the EAC Extension in summer with a El Nino leading to enhanced southward flow and warming over the shelf. Tasman Sea Blocking was found to drive enhanced southward surface flow, particularly in winter. Nonetheless, large-scale forcing modes explain less than 25% of the total variability in the EAC-ZC system indicating that most of the variability is internally generated. The near-surface waters off eastern Tasmania represent both a global warming and a biodiversity hotspot, and marine ecosystems there are under significant stress. The sensitivity of local ecosystems to both warming and transient marine heat wave events has been observed but spatiotemporal patterns of historical temperature and salinity variability are less well known. A numerical ocean model is used here to provide high-resolution estimates of the seawater temperatures, salinity, and circulation over the eastern Tasmanian continental shelf. We perform a systematic analysis of multidecadal-scale trends and interannual variability off eastern Tasmania over the 24-year period from 1993 to 2016. We find a significant increase in East Australian Current (EAC) Extension penetration into the region with an associated increase in temperature and salinity throughout the water column, particularly in summer and autumn. The variability of the circulation on the shelf is found to be dominated by the interplay of the EAC Extension and Zeehan Current, and an annual index is developed indicating the relative strength of these two currents over time. In both summer and winter we find that an anomalously strong EAC Extension (Zeehan Current) leads to an increased (decreased) probability of marine heat wave days.</t>
  </si>
  <si>
    <t>[Oliver, Eric C. J.] Dalhousie Univ, Dept Oceanog, Halifax, NS, Canada; [Oliver, Eric C. J.; Holbrook, Neil J.] Univ Tasmania, Inst Marine &amp; Antarctic Studies, Hobart, Tas, Australia; [Oliver, Eric C. J.] Univ Tasmania, Australian Res Council, Ctr Excellence Climate Syst Sci, Hobart, Tas, Australia; [Holbrook, Neil J.] Univ Tasmania, Australian Res Council, Ctr Excellence Climate Extremes, Hobart, Tas, Australia</t>
  </si>
  <si>
    <t>Dalhousie University; University of Tasmania; University of Tasmania; University of Tasmania</t>
  </si>
  <si>
    <t>Oliver, ECJ (corresponding author), Dalhousie Univ, Dept Oceanog, Halifax, NS, Canada.;Oliver, ECJ (corresponding author), Univ Tasmania, Inst Marine &amp; Antarctic Studies, Hobart, Tas, Australia.;Oliver, ECJ (corresponding author), Univ Tasmania, Australian Res Council, Ctr Excellence Climate Syst Sci, Hobart, Tas, Australia.</t>
  </si>
  <si>
    <t>eric.oliver@dal.ca</t>
  </si>
  <si>
    <t>Oliver, Eric/G-5118-2014; Holbrook, Neil/M-7544-2013</t>
  </si>
  <si>
    <t>Oliver, Eric/0000-0002-4006-2826; Holbrook, Neil/0000-0002-3523-6254</t>
  </si>
  <si>
    <t>Australian Research Council Centre (ARC) of Excellence for Climate System Science (ARCCSS) [CE110001028]; ARC Centre of Excellence for Climate Extremes (CLEX) [CE170100023]</t>
  </si>
  <si>
    <t>Australian Research Council Centre (ARC) of Excellence for Climate System Science (ARCCSS); ARC Centre of Excellence for Climate Extremes (CLEX)</t>
  </si>
  <si>
    <t>ECJO was supported by funding from the Australian Research Council Centre (ARC) of Excellence for Climate System Science (ARCCSS; grant CE110001028). N. J. H. acknowledges funding from the ARC Centre of Excellence for Climate Extremes (CLEX; grant CE170100023). This paper makes a contribution to NESP Earth Systems Science and Climate Change Hub Project 2.3 (component 2) on the predictability of ocean temperature extremes. The ETAS ocean model data are available through the IMAS data portal (data.imas.utas.edu.au). We would like to thank Andrew Marshall (Bureau of Meteorology) for providing the Tasman Sea Blocking index time series.</t>
  </si>
  <si>
    <t>10.1029/2018JC013994</t>
  </si>
  <si>
    <t>Bronze, Green Accepted</t>
  </si>
  <si>
    <t>WOS:000451274900022</t>
  </si>
  <si>
    <t>Begeman, CB; Tulaczyk, SM; Marsh, OJ; Mikucki, JA; Stanton, TP; Hodson, TO; Siegfried, MR; Powell, RD; Christianson, K; King, MA</t>
  </si>
  <si>
    <t>Begeman, Carolyn Branecky; Tulaczyk, Slawek M.; Marsh, Oliver J.; Mikucki, Jill A.; Stanton, Timothy P.; Hodson, Timothy O.; Siegfried, Matthew R.; Powell, Ross D.; Christianson, Knut; King, Matt A.</t>
  </si>
  <si>
    <t>Ocean Stratification and Low Melt Rates at the Ross Ice Shelf Grounding Zone</t>
  </si>
  <si>
    <t>ice shelf; Antarctica; double diffusion; grounding zone; ocean mixing; Ross Ice Shelf</t>
  </si>
  <si>
    <t>PINE ISLAND GLACIER; BOUNDARY-LAYER; DIFFUSIVE INTERFACE; THERMOHALINE CIRCULATION; TURBULENT HEAT; WEDDELL SEA; BENEATH; WATER; FLUXES; MODEL</t>
  </si>
  <si>
    <t>Plain Language Summary Ocean-driven melting of ice shelves is a primary mechanism for ice loss from Antarctica. However, due to the difficulty in accessing the sub-ice shelf ocean cavity, the relationship between ice shelf melting and ocean conditions is poorly understood, particularly near the grounding zone, where the ice transitions from grounded to floating. We present the first borehole oceanographic observations from the grounding zone of the Ross Ice Shelf, Antarctica's largest ice shelf by area. Contrary to predictions that tidal currents near grounding zones mix the water column, we found that Ross Ice Shelf waters were vertically stratified. Current velocities at middepth in the ocean cavity did not change significantly over measurement periods at two different parts of the tidal cycle. The observed stratification resulted in low melt rates near this portion of the grounding zone, inferred from phase-sensitive radar observations. These melt rates were generally &lt;10cm/year, which is lower than average for the Ross Ice Shelf (20cm/year). Melt rates may be higher at portions of the grounding zone that experience higher subglacial discharge or stronger tidal mixing. Stratification in the cavity at the borehole site was prone to diffusive convection as a result of ice shelf melting. Since diffusive convection influences vertical heat and salt fluxes differently than shear-driven turbulence, this process may affect ice shelf melting and merits further consideration in ocean models of sub-ice shelf circulation. Ice shelf melting is an important player in ice loss from the Antarctic Ice Sheet, affecting sea level rise. Ice shelf melting is controlled by ocean properties and processes, but sparse observations of the sub-ice shelf ocean cavity limit our understanding of these controls and thus limit our ability to predict sea level rise. This study presents rare ocean observations deep below the largest ice shelf by area, the Ross Ice Shelf, far from the open ocean. The observed ocean setting is surprisingly quiescent, and waters are cold, around -2 degrees C. This study also presents new, highly localized ice shelf melting measurements at the site that show that these ocean conditions lead to slow ice shelf melting of only centimeters per year. These observations reveal the ways in which the Ross Ice Shelf contrasts with rapidly melting ice shelves affected by warmer seawater elsewhere in West Antarctica. Thus, they adds nuance to our scientific understanding of ice-ocean interactions around the Antarctic continent.</t>
  </si>
  <si>
    <t>[Begeman, Carolyn Branecky; Tulaczyk, Slawek M.] Univ Calif Santa Cruz, Dept Earth &amp; Planetary Sci, Santa Cruz, CA 95064 USA; [Marsh, Oliver J.] Univ Canterbury, Gateway Antarctic, Christchurch, New Zealand; [Mikucki, Jill A.] Univ Tennessee, Dept Microbiol, Knoxville, TN 37996 USA; [Stanton, Timothy P.] US Naval Postgrad Sch, Dept Oceanog, Monterey, CA USA; [Hodson, Timothy O.; Powell, Ross D.] Northern Illinois Univ, Dept Geol &amp; Environm Geosci, De Kalb, IL USA; [Siegfried, Matthew R.] Stanford Univ, Dept Geophys, Stanford, CA 94305 USA; [Christianson, Knut] Univ Washington, Dept Earth &amp; Space Sci, Seattle, WA 98195 USA; [King, Matt A.] Univ Tasmania, Sch Land &amp; Food, Surveying &amp; Spatial Sci, Hobart, Tas, Australia</t>
  </si>
  <si>
    <t>University of California System; University of California Santa Cruz; University of Canterbury; University of Tennessee System; University of Tennessee Knoxville; United States Department of Defense; United States Navy; Naval Postgraduate School; Northern Illinois University; Stanford University; University of Washington; University of Washington Seattle; University of Tasmania</t>
  </si>
  <si>
    <t>Begeman, CB (corresponding author), Univ Calif Santa Cruz, Dept Earth &amp; Planetary Sci, Santa Cruz, CA 95064 USA.</t>
  </si>
  <si>
    <t>cbraneck@ucsc.edu</t>
  </si>
  <si>
    <t>King, Matt/B-4622-2008; Marsh, Oliver J/K-7436-2014; Tulaczyk, Slawek/O-7375-2018</t>
  </si>
  <si>
    <t>King, Matt/0000-0001-5611-9498; Tulaczyk, Slawek/0000-0002-9711-4332; Marsh, Oliver/0000-0001-7874-514X; Hodson, Timothy/0000-0003-0962-5130; Begeman, Carolyn/0000-0001-9828-1741</t>
  </si>
  <si>
    <t>U.S. National Science Foundation, Section for Antarctic Sciences, Antarctic Integrated System Science program as part of the interdisciplinary WISSARD project; Gordon and Betty Moore Foundation; National Aeronautics and Space Administration; U.S. National Oceanic and Atmospheric Administration; National Science Foundation Graduate Research Fellowship; Australian Research Council [FT110100207, SR140300001]; George Thompson Postdoctoral Fellowship; Stanford University; National Science Foundation (NSF); National Aeronautics and Space Administration (NASA) under NSF [EAR-0735156]; [NSF-ANT-0838885]</t>
  </si>
  <si>
    <t>U.S. National Science Foundation, Section for Antarctic Sciences, Antarctic Integrated System Science program as part of the interdisciplinary WISSARD project(National Science Foundation (NSF)); Gordon and Betty Moore Foundation(Gordon and Betty Moore Foundation); National Aeronautics and Space Administration(National Aeronautics &amp; Space Administration (NASA)); U.S. National Oceanic and Atmospheric Administration(National Oceanic Atmospheric Admin (NOAA) - USA); National Science Foundation Graduate Research Fellowship(National Science Foundation (NSF)); Australian Research Council(Australian Research Council); George Thompson Postdoctoral Fellowship; Stanford University(Stanford University); National Science Foundation (NSF)(National Science Foundation (NSF)); National Aeronautics and Space Administration (NASA) under NSF(National Aeronautics &amp; Space Administration (NASA));</t>
  </si>
  <si>
    <t>This material is based upon work supported by the U.S. National Science Foundation, Section for Antarctic Sciences, Antarctic Integrated System Science program as part of the interdisciplinary WISSARD project. Additional funding for instrumentation development was provided by grants from the Gordon and Betty Moore Foundation, the National Aeronautics and Space Administration (Astrobiology and Cryospheric Sciences programs), and the U.S. National Oceanic and Atmospheric Administration. We are particularly thankful to the entire drilling team from the University of Nebraska-Lincoln and the WISSARD traverse personnel for crucial technical and logistical support. The U.S. Antarctic Program enabled our fieldwork, and New York Air National Guard and Kenn Borek Air provided air support. We acknowledge Keith Nicholls and Hugh Corr of the British Antarctic Survey for design and loan of the ApRES instrument and Timour Radko for helpful comments on the analysis of the observed double-diffusive staircase. C. B. B. was supported by the National Science Foundation Graduate Research Fellowship. M. A. K. is a recipient of an Australian Research Council Future Fellowship (project FT110100207), and his research was supported under Australian Research Council's Special Research Initiative for Antarctic Gateway Partnership (Project ID SR140300001). M. R. S. was supported by NSF-ANT-0838885 and the George Thompson Postdoctoral Fellowship and Stanford University. This research is based on data services provided by the UNAVCO Facility with support from the National Science Foundation (NSF) and National Aeronautics and Space Administration (NASA) under NSF Cooperative Agreement EAR-0735156. The authors declare no competing financial interests. Basal melt rates and associated strain rates are available in the U.S. Antarctic Program Data Center, doi: 10.15784/601122. Current velocity data and CTD data are available in the National Centers for Environmental Information, Accession 0176082. GPS data are available in the UNAVCO Data Center, doi: 10.7283/T53R0RPD.</t>
  </si>
  <si>
    <t>10.1029/2018JC013987</t>
  </si>
  <si>
    <t>Green Accepted, Bronze</t>
  </si>
  <si>
    <t>WOS:000451274900027</t>
  </si>
  <si>
    <t>Vidya, PJ; Kurian, S</t>
  </si>
  <si>
    <t>Vidya, P. J.; Kurian, Siby</t>
  </si>
  <si>
    <t>Impact of 2015-2016 ENSO on the winter bloom and associated phytoplankton community shift in the northeastern Arabian Sea</t>
  </si>
  <si>
    <t>JOURNAL OF MARINE SYSTEMS</t>
  </si>
  <si>
    <t>ENSO; Winter convection; Phytoplankton pigments; Warm Core eddy; Mixed layer depth</t>
  </si>
  <si>
    <t>TROPICAL INDIAN-OCEAN; INTERANNUAL VARIATIONS; PRIMARY PRODUCTIVITY; EQUATORIAL PACIFIC; MESOSCALE EDDIES; COASTAL CURRENT; MONSOON; NORTHERN; CHLOROPHYLL; SEASONALITY</t>
  </si>
  <si>
    <t>The present study explores the impact of 2015-16 El-Nino Southern Oscillation (ENSO) on the winter phytoplankton bloom in the northeastern Arabian Sea (NEAS). In situ Chlorophyll a (Chia) from the bio-Argo float (2013-2016) and phytoplankton pigment data collected onboard R. V. Sindhu Sankalp (February 2013 and 2016) have been used to decipher the 2015-2016 ENSO modulated variability. During a normal winter, convective mixing deepens the mixed layer (ML) and increases the availability of nutrients in the euphoric zone. During the 2015-16 ENSO, the intensity of the convection (evaporation) was weaker than normal and this, in turn, weakened the convective mixing in the following winter. However, during the 2015-16 ENSO event, a warm core eddy deepened the ML further by pushing the nutracline downwards, thereby reducing the availability of nutrients. Changes in the physical condition during the 2015-16 ENSO altered the nutrient availability which in turn affected the Chla production and associated phytoplankton community structure. The Bio-Argo observations show 50% reduction in Chla during February 2016 compared to a normal year, which we attribute to the ENSO event of 2015-2016. Additionally, pigment data shows a reduction in the abundance of microplankton (diatoms and dinoflagellates) and an increase in abundance of picoplankton in the NEAS. Our results clearly indicate that 2015 ENSO played a dominant role in altering the phytoplankton community composition and in turn the productivity of the Arabian Sea.</t>
  </si>
  <si>
    <t>[Vidya, P. J.; Kurian, Siby] Natl Inst Oceanog, CSIR, Panaji 403004, Goa, India; [Vidya, P. J.] Natl Ctr Antarctic &amp; Ocean Res, Headland Sada 403804, Goa, India</t>
  </si>
  <si>
    <t>Council of Scientific &amp; Industrial Research (CSIR) - India; CSIR - National Institute of Oceanography (NIO); Ministry of Earth Sciences (MoES) - India; National Centre for Polar and Ocean Research (NCPOR)</t>
  </si>
  <si>
    <t>Vidya, PJ (corresponding author), Natl Inst Oceanog, CSIR, Panaji 403004, Goa, India.;Vidya, PJ (corresponding author), Natl Ctr Antarctic &amp; Ocean Res, Headland Sada 403804, Goa, India.</t>
  </si>
  <si>
    <t>pjvidya@gmail.com</t>
  </si>
  <si>
    <t>J, Vidya P/AEU-3393-2022</t>
  </si>
  <si>
    <t>CSIR-National Institute of Oceanography and Council of Scientific and Industrial Research (CSIR), New Delhi; CSIR [INDIAS-IDEA PSC 0108]; Ministry of Earth Sciences (SIBER-INDIA); DST-SERB</t>
  </si>
  <si>
    <t>CSIR-National Institute of Oceanography and Council of Scientific and Industrial Research (CSIR), New Delhi; CSIR(Council of Scientific &amp; Industrial Research (CSIR) - India); Ministry of Earth Sciences (SIBER-INDIA); DST-SERB(Department of Science &amp; Technology (India)Science Engineering Research Board (SERB), India)</t>
  </si>
  <si>
    <t>Authors thank the Director, CSIR-National Institute of Oceanography and Council of Scientific and Industrial Research (CSIR), New Delhi for all support and encouragement. We express our gratitude to Dr. Paul Guard, BMT, Brisbane, Australia for meticulously going through the manuscript and suggesting the English corrections. We sincerely thank the Editor Alberto Piola and the anonymous reviewer for his/her critical review and suggestions to improve the quality of the manuscript. We are also thankful to the chief scientists and participants of R. V. Sindhu Sankalp during the SSK-46 and SSK-87 cruises. Mr. Chndrasekhararao is acknowledged for his help in pigment analysis. PJV acknowledges DST-SERB for the fast track young scientist fellowship. SK acknowledges CSIR (INDIAS-IDEA PSC 0108) and Ministry of Earth Sciences (SIBER-INDIA) for the financial support. Details of the data sets used are mentioned in the Data and methods section. The NIO contribution number is 6249.</t>
  </si>
  <si>
    <t>0924-7963</t>
  </si>
  <si>
    <t>1879-1573</t>
  </si>
  <si>
    <t>J MARINE SYST</t>
  </si>
  <si>
    <t>J. Mar. Syst.</t>
  </si>
  <si>
    <t>10.1016/j.jmarsys.2018.06.005</t>
  </si>
  <si>
    <t>Geosciences, Multidisciplinary; Marine &amp; Freshwater Biology; Oceanography</t>
  </si>
  <si>
    <t>Geology; Marine &amp; Freshwater Biology; Oceanography</t>
  </si>
  <si>
    <t>GO0YT</t>
  </si>
  <si>
    <t>WOS:000439673300008</t>
  </si>
  <si>
    <t>Deng, HX; Ke, HW; Huang, P; Chen, XD; Cai, MG</t>
  </si>
  <si>
    <t>Deng, Hengxiang; Ke, Hongwei; Huang, Peng; Chen, Xiaodan; Cai, Minggang</t>
  </si>
  <si>
    <t>Ventilation time and anthropogenic CO2 in the Bering Sea and the Arctic Ocean based on carbon tetrachloride measurements</t>
  </si>
  <si>
    <t>JOURNAL OF OCEANOGRAPHY</t>
  </si>
  <si>
    <t>CCl4; Mean age; C-ant; Ventilation; Bering Sea; Arctic Ocean</t>
  </si>
  <si>
    <t>TRANSIENT TRACER; DEEP WATERS; CANADIAN BASIN; NORTH-ATLANTIC; MIXED-LAYER; WEDDELL SEA; STRAIT; CHLOROFLUOROCARBONS; CIRCULATION; EVOLUTION</t>
  </si>
  <si>
    <t>The Arctic Ocean is connected to the Pacific by the Bering Sea and the Bering Strait. During the 4th Chinese National Arctic Research Expedition, measurements of carbon tetrachloride (CCl4) were used to estimate ventilation time-scales and anthropogenic CO2 (C-ant) concentrations in the Arctic Ocean and Bering Sea based on the transit time distribution method. The profile distribution showed that there was a high-CCl4 tongue entering through the Canada Basin in the intermediate layer (27.6&lt;28), at latitudes between 78 and 85 degrees N, which may be related to the inflow of Atlantic water. Between stations B09 and B10, upwelling appeared to occur near the continental slope in the Bering Sea. The ventilation time scales (mean ages) for deep and bottom water in the Arctic Ocean (similar to 230-380years) were shorter than in the Bering Sea (similar to 430-970years). Higher mean ages show that ventilation processes are weaker in the intermediate water of the Bering Sea than in the Arctic Ocean. The mean C-ant column inventory in the upper 4000m was higher (60-82molm(-2)) in the Arctic Ocean compared to the Bering Sea (35-48molm(-2)).</t>
  </si>
  <si>
    <t>[Deng, Hengxiang; Ke, Hongwei; Huang, Peng; Chen, Xiaodan; Cai, Minggang] Xiamen Univ, Coll Ocean &amp; Earth Sci, Xiamen 361005, Peoples R China; [Ke, Hongwei; Cai, Minggang] Xiamen Univ, Fujian Prov Key Lab Coastal Ecol &amp; Environm Studi, Xiamen 361102, Peoples R China; [Cai, Minggang] Xiamen Univ, State Key Lab Marine Environm Sci, Xiamen 361102, Peoples R China</t>
  </si>
  <si>
    <t>Xiamen University; Xiamen University; Xiamen University</t>
  </si>
  <si>
    <t>Cai, MG (corresponding author), Xiamen Univ, Coll Ocean &amp; Earth Sci, Xiamen 361005, Peoples R China.;Cai, MG (corresponding author), Xiamen Univ, Fujian Prov Key Lab Coastal Ecol &amp; Environm Studi, Xiamen 361102, Peoples R China.;Cai, MG (corresponding author), Xiamen Univ, State Key Lab Marine Environm Sci, Xiamen 361102, Peoples R China.</t>
  </si>
  <si>
    <t>mgcai@xmu.edu.cn</t>
  </si>
  <si>
    <t>cai, minggang/G-3979-2010; Huang, Peng/E-8571-2017</t>
  </si>
  <si>
    <t>cai, minggang/0000-0003-2828-0529; Huang, Peng/0000-0001-7038-3869</t>
  </si>
  <si>
    <t>Chinese Arctic and Antarctic Administration; State Oceanic Administration of China</t>
  </si>
  <si>
    <t>We are grateful for the assistance of the crew of the R/V Snow Dragon in sample collection during the 4th Chinese Arctic Research Expedition to the Arctic, and for support from the Chinese Arctic and Antarctic Administration, and the State Oceanic Administration of China. We gratefully thank Dr. Toste Tanhua for providing useful information on the TTD calculation Matlab toolbox, and Miming Zhang in building and testing the instrument. Professor John Hodgkiss is thanked for his assistance with English.</t>
  </si>
  <si>
    <t>DORDRECHT</t>
  </si>
  <si>
    <t>VAN GODEWIJCKSTRAAT 30, 3311 GZ DORDRECHT, NETHERLANDS</t>
  </si>
  <si>
    <t>0916-8370</t>
  </si>
  <si>
    <t>1573-868X</t>
  </si>
  <si>
    <t>J OCEANOGR</t>
  </si>
  <si>
    <t>J. Oceanogr.</t>
  </si>
  <si>
    <t>10.1007/s10872-018-0471-3</t>
  </si>
  <si>
    <t>GS8ZA</t>
  </si>
  <si>
    <t>WOS:000444003000001</t>
  </si>
  <si>
    <t>Beszteri, B; Allen, C; Almandoz, GO; Armand, L; Barcena, MA; Cantzler, H; Crosta, X; Esper, O; Jordan, RW; Kauer, G; Klaas, C; Kloster, M; Leventer, A; Pike, J; Hernández, ASR</t>
  </si>
  <si>
    <t>Beszteri, Bank; Allen, Claire; Almandoz, Gaston O.; Armand, Leanne; Angeles Barcena, Maria; Cantzler, Hannelore; Crosta, Xavier; Esper, Oliver; Jordan, Richard W.; Kauer, Gerhard; Klaas, Christine; Kloster, Michael; Leventer, Amy; Pike, Jennifer; Rigual Hernandez, Andres S.</t>
  </si>
  <si>
    <t>QUANTITATIVE COMPARISON OF TAXA AND TAXON CONCEPTS IN THE DIATOM GENUS FRAGILARIOPSIS: A CASE STUDY ON USING SLIDE SCANNING, MULTIEXPERT IMAGE ANNOTATION, AND IMAGE ANALYSIS IN TAXONOMY</t>
  </si>
  <si>
    <t>JOURNAL OF PHYCOLOGY</t>
  </si>
  <si>
    <t>automatic diatom identification; Bacillariophyta; high throughput microscopy; image analysis; morphometrics; SHERPA; taxonomic agreement</t>
  </si>
  <si>
    <t>SOUTHERN-OCEAN SEDIMENTS; ANTARCTIC SEA-ICE; BIOGEOGRAPHY; INSTRUMENT; PROXY</t>
  </si>
  <si>
    <t>Semiautomated methods for microscopic image acquisition, image analysis, and taxonomic identification have repeatedly received attention in diatom analysis. Less well studied is the question whether and how such methods might prove useful for clarifying the delimitation of species that are difficult to separate for human taxonomists. To try to answer this question, three very similar Fragilariopsis species endemic to the Southern Ocean were targeted in this study: F. obliquecostata, F. ritscheri, and F. sublinearis. A set of 501 extended focus depth specimen images were obtained using a standardized, semiautomated microscopic procedure. Twelve diatomists independently identified these specimen images in order to reconcile taxonomic opinions and agree upon a taxonomic gold standard. Using image analyses, we then extracted morphometric features representing taxonomic characters of the target taxa. The discriminating ability of individual morphometric features was tested visually and statistically, and multivariate classification experiments were performed to test the agreement of the quantitatively defined taxa assignments with expert consensus opinion. Beyond an updated differential diagnosis of the studied taxa, our study also shows that automated imaging and image analysis procedures for diatoms are coming close to reaching a broad applicability for routine use.</t>
  </si>
  <si>
    <t>[Beszteri, Bank; Cantzler, Hannelore; Klaas, Christine; Kloster, Michael] Helmholtz Ctr Polar &amp; Marine Res, Alfred Wegener Inst, Sect Polar Biol Oceanog, Handelshafen 12, D-27570 Bremerhaven, Germany; [Allen, Claire] British Antarctic Survey, Madingley Rd, Cambridge CB3 0ET, England; [Almandoz, Gaston O.] Univ Nacl La Plata, Fac Ciencias Nat &amp; Museo, Div Ficol, Paseo Bosque S-N B1900FWA, La Plata, Buenos Aires, Argentina; [Armand, Leanne] Australian Natl Univ, Res Sch Earth Sci, Jaeger Bldg 4,142 Mills Rd, Acton, ACT 2601, Australia; [Angeles Barcena, Maria] Univ Salamanca, Dept Geol, E-37008 Salamanca, Spain; [Crosta, Xavier] Univ Bordeaux, CNRS, UMR 5805, EPOC, Allee Geoffroy St Hilaire, F-33615 Pessac, France; [Esper, Oliver] Helmholtz Ctr Polar &amp; Marine Res, Alfred Wegener Inst, Sect Marine Geol, Handelshafen 12, D-27570 Bremerhaven, Germany; [Jordan, Richard W.] Yamagata Univ, Fac Sci, Dept Earth &amp; Environm Sci, 1-4-12 Kojirakawa Machi, Yamagata 9908560, Japan; [Kauer, Gerhard] Univ Appl Sci, Bioinformat, Constantiapl 4, D-26723 Emden, Germany; [Leventer, Amy] Colgate Univ, Geol Dept, Hamilton, NY 13346 USA; [Pike, Jennifer] Cardiff Univ, Sch Earth &amp; Ocean Sci, Main Bldg,Pk Pl, Cardiff CF10 3AT, S Glam, Wales; [Rigual Hernandez, Andres S.] Univ Salamanca, Dept Geol, Area Paleontol, E-37008 Salamanca, Spain</t>
  </si>
  <si>
    <t>Helmholtz Association; Alfred Wegener Institute, Helmholtz Centre for Polar &amp; Marine Research; UK Research &amp; Innovation (UKRI); Natural Environment Research Council (NERC); NERC British Antarctic Survey; National University of La Plata; Museo La Plata; Australian National University; University of Salamanca; Centre National de la Recherche Scientifique (CNRS); Universite de Bordeaux; CNRS - National Institute for Earth Sciences &amp; Astronomy (INSU); Helmholtz Association; Alfred Wegener Institute, Helmholtz Centre for Polar &amp; Marine Research; Yamagata University; Colgate University; Cardiff University; University of Salamanca</t>
  </si>
  <si>
    <t>Beszteri, B (corresponding author), Helmholtz Ctr Polar &amp; Marine Res, Alfred Wegener Inst, Sect Polar Biol Oceanog, Handelshafen 12, D-27570 Bremerhaven, Germany.</t>
  </si>
  <si>
    <t>Bank.Beszteri@awi.de</t>
  </si>
  <si>
    <t>Armand, Leanne K/C-9004-2009; Pike, Jennifer/D-2589-2009; Rigual-Hernández, Andrés/E-2041-2018; Barcena, María Angeles/D-5839-2011; Beszteri, Bank/D-1961-2010</t>
  </si>
  <si>
    <t>Pike, Jennifer/0000-0001-9415-6003; Rigual-Hernández, Andrés/0000-0003-1521-3896; Barcena, María Angeles/0000-0001-8261-2286; Beszteri, Bank/0000-0002-6852-1588; Leventer, Amy/0000-0001-9401-0987; Almandoz, Gaston O./0000-0001-7931-582X; Klaas, Christine/0000-0002-6679-8970; Kloster, Michael/0000-0001-9244-4925; Jordan, Richard/0000-0002-8997-7349; Armand, Leanne/0000-0003-3995-308X</t>
  </si>
  <si>
    <t>DFG [BE4316/4-1 \ KA1655/3-1]; NSF [1143836]; University of Salamanca [ID2014/0019]; Scientific Committee on Antarctic Research (PAIS); International Arctic Science Committee; Palaeontological Association; Micropalaeontological Society in the organization of the 5th Polar Marine Diatom Workshop; Scientific Committee on Antarctic Research (AnT-ERA); NERC [bas0100030] Funding Source: UKRI; Directorate For Geosciences; Office of Polar Programs (OPP) [1143836] Funding Source: National Science Foundation</t>
  </si>
  <si>
    <t>DFG(German Research Foundation (DFG)); NSF(National Science Foundation (NSF)); University of Salamanca; Scientific Committee on Antarctic Research (PAIS); International Arctic Science Committee; Palaeontological Association; Micropalaeontological Society in the organization of the 5th Polar Marine Diatom Workshop; Scientific Committee on Antarctic Research (AnT-ERA); NERC(UK Research &amp; Innovation (UKRI)Natural Environment Research Council (NERC)); Directorate For Geosciences; Office of Polar Programs (OPP)(National Science Foundation (NSF)NSF - Directorate for Geosciences (GEO))</t>
  </si>
  <si>
    <t>Funding to Beszteri, Kloster and Kauer was provided by the DFG priority programme 1158 Antarctic Research with comparative investigations in Arctic ice areas under funding codes BE4316/4-1 vertical bar KA1655/3-1. Leventer was supported by NSF grant no. 1143836. Barcena was supported by University of Salamanca grant ID2014/0019, The Scientific Committee on Antarctic Research (PAIS and AnT-ERA), The International Arctic Science Committee, The Palaeontological Association and The Micropalaeontological Society in the organization of the 5th Polar Marine Diatom Workshop.</t>
  </si>
  <si>
    <t>0022-3646</t>
  </si>
  <si>
    <t>1529-8817</t>
  </si>
  <si>
    <t>J PHYCOL</t>
  </si>
  <si>
    <t>J. Phycol.</t>
  </si>
  <si>
    <t>10.1111/jpy.12767</t>
  </si>
  <si>
    <t>Plant Sciences; Marine &amp; Freshwater Biology</t>
  </si>
  <si>
    <t>GV5VD</t>
  </si>
  <si>
    <t>Green Published, Green Accepted, hybrid</t>
  </si>
  <si>
    <t>WOS:000446171600011</t>
  </si>
  <si>
    <t>Washam, P; Münchow, A; Nicholls, KW</t>
  </si>
  <si>
    <t>Washam, P.; Munchow, A.; Nicholls, K. W.</t>
  </si>
  <si>
    <t>A Decade of Ocean Changes Impacting the Ice Shelf of Petermann Gletscher, Greenland</t>
  </si>
  <si>
    <t>JOURNAL OF PHYSICAL OCEANOGRAPHY</t>
  </si>
  <si>
    <t>Ocean; Arctic; Ice shelves; Buoyancy; Ocean circulation; In situ oceanic observations</t>
  </si>
  <si>
    <t>NARES STRAIT; NORTH GREENLAND; GLACIER; CIRCULATION; WATERS; ATLANTIC; RETREAT; FJORD; VARIABILITY; CONNECTION</t>
  </si>
  <si>
    <t>Hydrographic data collected during five summer surveys between 2002 and 2015 reveal that the subsurface ocean near Petermann Gletscher, Greenland, warmed by 0.015 degrees +/- 0.013 degrees C yr(-1). New 2015-16 mooring data from beneath Petermann Gletscher's ice shelf imply a continued warming of 0.025 degrees +/- 0.013 degrees C yr(-1) with a modest seasonal signal. In 2015, we measured ocean temperatures of 0.28 degrees C near the grounding line of Petermann Gletscher's ice shelf, which drove submarine melting along the base of the glacier. The resultant meltwater contributed to ocean stratification, which forced a stronger geostrophic circulation at the ice shelf terminus compared with previous years. This increased both the freshwater flux away from the sub-ice shelf cavity and the heat flux into it. Net summertime geostrophic heat flux estimates into the sub-ice shelf cavity exceed the requirement for steady-state melting of Petermann Gletscher's ice shelf. Likewise, freshwater fluxes away from the glacier exceed the expected steady-state meltwater discharge. These results suggest that the warmer, more active ocean surrounding Petermann Gletscher forces non steady state melting of its ice shelf. When sustained, such melting thins the ice shelf.</t>
  </si>
  <si>
    <t>[Washam, P.; Munchow, A.] Univ Delaware, Coll Earth Ocean &amp; Environm, Newark, DE 19716 USA; [Nicholls, K. W.] British Antarctic Survey, Nat Environm Res Council, Cambridge, England</t>
  </si>
  <si>
    <t>University of Delaware; UK Research &amp; Innovation (UKRI); Natural Environment Research Council (NERC); NERC British Antarctic Survey</t>
  </si>
  <si>
    <t>Washam, P (corresponding author), Univ Delaware, Coll Earth Ocean &amp; Environm, Newark, DE 19716 USA.</t>
  </si>
  <si>
    <t>pwasham@udel.edu</t>
  </si>
  <si>
    <t>Muenchow, Andreas/J-8257-2012</t>
  </si>
  <si>
    <t>Muenchow, Andreas/0000-0001-8360-5686; Washam, Peter/0000-0001-8861-520X</t>
  </si>
  <si>
    <t>National Science Foundation (NSF); National Aeronautics and Space Administration (NASA); NASA [NNX15AL77G]; Jet Propulsion Laboratory; NSF [102843, 1604076]; NASA [798587, NNX15AL77G] Funding Source: Federal RePORTER; Directorate For Geosciences; Office of Polar Programs (OPP) [1604076] Funding Source: National Science Foundation; NERC [bas0100033] Funding Source: UKRI</t>
  </si>
  <si>
    <t>National Science Foundation (NSF)(National Science Foundation (NSF)); National Aeronautics and Space Administration (NASA)(National Aeronautics &amp; Space Administration (NASA)); NASA(National Aeronautics &amp; Space Administration (NASA)); Jet Propulsion Laboratory; NSF(National Science Foundation (NSF)); NASA(National Aeronautics &amp; Space Administration (NASA)); Directorate For Geosciences; Office of Polar Programs (OPP)(National Science Foundation (NSF)NSF - Directorate for Geosciences (GEO)); NERC(UK Research &amp; Innovation (UKRI)Natural Environment Research Council (NERC))</t>
  </si>
  <si>
    <t>We thank the editor and three anonymous reviewers for their insightful comments on the manuscript. Both the National Science Foundation (NSF) and National Aeronautics and Space Administration (NASA) supported this work over many years. We are grateful to crew and staff aboard the Canadian Coast Guard ship Henry Larsen in 2012 and the Swedish Ice Breaker Oden in 2015. Humfrey Melling of the Institute of Ocean Sciences in Canada and Alan Mix of Oregon State University generously shared time and resources at sea in 2012 and 2015, respectively. The 2015 bottom bathymetry data were kindly provided to us at sea in preliminary form by Martin Jakobsson of the University of Stockholm. Paul Anker and Mike Brian of the British Antarctic Survey provided critical support for hot water drilling and glacier traveling. The Ocean Weather Station was designed and built by David Huntley at the University of Delaware and funded by NASA Grant NNX15AL77G. AM was supported by a subcontract from Jet Propulsion Laboratory in 2015 and NSF Grants 102843 and 1604076 in 2012 and 2016, respectively.</t>
  </si>
  <si>
    <t>0022-3670</t>
  </si>
  <si>
    <t>1520-0485</t>
  </si>
  <si>
    <t>J PHYS OCEANOGR</t>
  </si>
  <si>
    <t>J. Phys. Oceanogr.</t>
  </si>
  <si>
    <t>10.1175/JPO-D-17-0181.1</t>
  </si>
  <si>
    <t>GX4QA</t>
  </si>
  <si>
    <t>WOS:000447718400002</t>
  </si>
  <si>
    <t>Craw, L; Qi, C; Prior, DJ; Goldsby, DL; Kim, D</t>
  </si>
  <si>
    <t>Craw, Lisa; Qi, Chao; Prior, David J.; Goldsby, David L.; Kim, Daeyeong</t>
  </si>
  <si>
    <t>Mechanics and microstructure of deformed natural anisotropic ice</t>
  </si>
  <si>
    <t>JOURNAL OF STRUCTURAL GEOLOGY</t>
  </si>
  <si>
    <t>Ice deformation; Glaciology; Ice microstructure; Grain boundary sliding; Crystallographic preferred orientations</t>
  </si>
  <si>
    <t>DYNAMIC RECRYSTALLIZATION; SUBGRAIN ROTATION; CALCITE MARBLE; TERTIARY CREEP; MARINE ICE; DEFORMATION; FLOW; ORIENTATION; IMPURITIES; STRESS</t>
  </si>
  <si>
    <t>We deformed coarse-grained (similar to 10 mm) natural ice in axial compression at - 30 degrees C, to an axial strain of 0.2, at three different angles to the existing strong crystallographic preferred orientation (CPO). We used three strain rates for each sample orientation. Cryo-electron backscatter diffraction (EBSD) maps show that after deformation there is a mixture of large (similar to 1-2 mm) relict grains, and finer (100-200 mu m) recrystallised grains. The fine grains form a connected network in all samples. The large grains define a very strong CPO with equivalent but weaker CPOs in the recrystallised grains. The final CPO changed completely from its original orientation. Lattice distortion and subgrains equivalent in size to recrystallised grains suggest a subgrain rotation recrystallisation process has generated the recrystallised fraction. We suggest that strain rates were higher in the connected network of recrystallised grains because of a significant component of grain boundary sliding (GBS) that enables large grains to rotate by a combination of glide on the basal plane and rigid rotation, to define a very strong CPO. GBS weakens the CPO in the finer grained regions. The patterns of mechanical behaviour and the resultant microstructures do not bear an obvious relationship to original CPO.</t>
  </si>
  <si>
    <t>[Craw, Lisa; Prior, David J.] Univ Otago, Dept Geol, Dunedin, New Zealand; [Qi, Chao; Goldsby, David L.] Univ Penn, Dept Earth &amp; Environm Sci, Philadelphia, PA 19104 USA; [Kim, Daeyeong] Korea Polar Res Inst, Div Polar Earth Syst Sci, Incheon, South Korea</t>
  </si>
  <si>
    <t>University of Otago; University of Pennsylvania; Korea Polar Research Institute (KOPRI)</t>
  </si>
  <si>
    <t>Craw, L (corresponding author), Univ Otago, Dept Geol, Dunedin, New Zealand.</t>
  </si>
  <si>
    <t>crali915@student.otago.ac.nz; david.prior@otago.ac.nz</t>
  </si>
  <si>
    <t>Kim, Daeyeong/H-4318-2018; Craw, Lisa/V-5681-2018</t>
  </si>
  <si>
    <t>Qi, Chao/0000-0001-7449-0434; Prior, David/0000-0002-4653-2112; Craw, Lisa/0000-0002-6809-3587; Kim, Daeyeong/0000-0003-4444-7851; Goldsby, David/0000-0002-9004-0086</t>
  </si>
  <si>
    <t>Todd Foundation; New Zealand Antarctic Research Institute; Trans-Antarctic Association; KOPRI project [PM18030 (20140409)]; Marsden Fund of the Royal Society of New Zealand [UOO052]; University of Otago Research Grant 2018</t>
  </si>
  <si>
    <t>Todd Foundation; New Zealand Antarctic Research Institute; Trans-Antarctic Association; KOPRI project(Korea Polar Research Institute of Marine Research Placement (KOPRI)); Marsden Fund of the Royal Society of New Zealand(Royal Society of New ZealandMarsden Fund (NZ)); University of Otago Research Grant 2018</t>
  </si>
  <si>
    <t>We are grateful to Marianne Negrini and Sheng Fan for help with the EBSD analysis, Travis Hager for assistance in the laboratory, Pat Langhorne for the use of her cold rooms, and Yeongcheol Han for ice sampling. This research was made possible by funding provided by the Todd Foundation, the New Zealand Antarctic Research Institute, the Trans-Antarctic Association, KOPRI project PM18030 (20140409), Marsden Fund UOO052 of the Royal Society of New Zealand, and a University of Otago Research Grant 2018.</t>
  </si>
  <si>
    <t>0191-8141</t>
  </si>
  <si>
    <t>J STRUCT GEOL</t>
  </si>
  <si>
    <t>J. Struct. Geol.</t>
  </si>
  <si>
    <t>10.1016/j.jsg.2018.07.014</t>
  </si>
  <si>
    <t>GU0GO</t>
  </si>
  <si>
    <t>WOS:000444928000011</t>
  </si>
  <si>
    <t>Eom, J; Seo, KW</t>
  </si>
  <si>
    <t>Eom, Jooyoung; Seo, Ki-Weon</t>
  </si>
  <si>
    <t>Application of the Empirical Orthogonal Functions on the GRACE Spherical Harmonic Solutions</t>
  </si>
  <si>
    <t>JOURNAL OF THE KOREAN EARTH SCIENCE SOCIETY</t>
  </si>
  <si>
    <t>empirical orthogonal functions; GRACE; Antarctica; Aliasing error; de-striping</t>
  </si>
  <si>
    <t>ICE MASS-LOSS; SEA-LEVEL; ANTARCTICA; ACCELERATION; GREENLAND; SHEET</t>
  </si>
  <si>
    <t>During the period of 2002 to 2017, the Gravity Recovery And Climate Experiment (GRACE) had observed time-varying gravity changes with unprecedented accuracy. The GRACE science data centers provide the monthly gravity solutions after removing the sub-monthly mass fluctuation using geophysical models. However, model misfit makes the solutions to be contaminated by aliasing errors, which exhibits peculiar north-south stripes. Two conventional filters are used to reduce the errors, but signals with similar spatial patterns to the errors are also removed during the filtering procedure. This would be particularly problematic for estimating the ice mass changes in Western Antarctic Ice Sheet (WAIS) and Antarctic Peninsula (AP) due to their similar spatial pattern to the elongated north-south direction. In this study, we introduce an alternative filter to remove aliasing errors using the Empirical Orthogonal Functions (EOF) analysis. EOF can decompose data into different modes, and thus is useful to separate signals from noise. Therefore, the aliasing errors are effectively suppressed through EOF method. In particular, the month-to-month mass changes in WAIS and AP, which have been significantly contaminated by aliasing errors, can be recovered using EOF method.</t>
  </si>
  <si>
    <t>[Eom, Jooyoung] Kyungpook Natl Univ, Dept Earth Sci Educ, Daegu 41566, South Korea; [Seo, Ki-Weon] Seoul Natl Univ, Dept Earth Sci Educ, Seoul 08826, South Korea</t>
  </si>
  <si>
    <t>Kyungpook National University; Seoul National University (SNU)</t>
  </si>
  <si>
    <t>Seo, KW (corresponding author), Seoul Natl Univ, Dept Earth Sci Educ, Seoul 08826, South Korea.</t>
  </si>
  <si>
    <t>seokiweon@snu.ac.kr</t>
  </si>
  <si>
    <t>Seo, Ki-weon/AAH-7729-2021</t>
  </si>
  <si>
    <t>Seo, Ki-weon/0000-0001-5523-4996</t>
  </si>
  <si>
    <t>Korea Institute of Marine Science and Technology Promotion (KIMST) [KIMST20140410]</t>
  </si>
  <si>
    <t>Korea Institute of Marine Science and Technology Promotion (KIMST)</t>
  </si>
  <si>
    <t>This study was supported by Korea Institute of Marine Science and Technology Promotion (KIMST) researchgrant KIMST20140410.</t>
  </si>
  <si>
    <t>KOREAN EARTH SCIENCE SOC</t>
  </si>
  <si>
    <t>CHEONG-WON-GUN</t>
  </si>
  <si>
    <t>KOREAN EARTH SCIENCE SOC, CHEONG-WON-GUN, 00000, SOUTH KOREA</t>
  </si>
  <si>
    <t>1225-6692</t>
  </si>
  <si>
    <t>2287-4518</t>
  </si>
  <si>
    <t>J KOR EARTH SCI SOC</t>
  </si>
  <si>
    <t>J. Kor. Earth Sci. Soc.</t>
  </si>
  <si>
    <t>10.5467/JKESS.2018.39.5.473</t>
  </si>
  <si>
    <t>HC8PG</t>
  </si>
  <si>
    <t>WOS:000452065600005</t>
  </si>
  <si>
    <t>Gan, HM; Austin, C; Linton, S</t>
  </si>
  <si>
    <t>Gan, Han Ming; Austin, Christopher; Linton, Stuart</t>
  </si>
  <si>
    <t>Transcriptome-Guided Identification of Carbohydrate Active Enzymes (CAZy) from the Christmas Island Red Crab, Gecarcoidea natalis and a Vote for the Inclusion of Transcriptome-Derived Crustacean CAZys in Comparative Studies</t>
  </si>
  <si>
    <t>MARINE BIOTECHNOLOGY</t>
  </si>
  <si>
    <t>Transcriptome; Cellulase; Crustacean; GH5_10; Hemicellulase; Endo-beta-1,4-mannase</t>
  </si>
  <si>
    <t>GECARCINID LAND CRAB; RAIN-FOREST; DIETARY ASSIMILATION; ANTARCTIC SPRINGTAIL; MAXIMUM-LIKELIHOOD; MOLECULAR-CLONING; BETA-GLUCOSIDASE; BLUE MUSSEL; ENDO-BETA-1,4-GLUCANASE; PURIFICATION</t>
  </si>
  <si>
    <t>The Christmas Island red crab, Gecarcoidea natalis, is an herbivorous land crab that consumes mostly fallen leaf litter. In order to subsist, G. natalis would need to have developed specialised digestive enzymes capable of supplying significant amounts of metabolisable sugars from this diet. To gain insights into the carbohydrate metabolism of G. natalis, a transcriptome assembly was performed, with a specific focus on identifying transcripts coding for carbohydrate active enzyme (CAZy) using in silico approaches. Transcriptome sequencing of the midgut gland identified 70 CAZy-coding transcripts with varying expression values. At least three newly discovered putative GH9 endo--1,4-glucanase (classic cellulase) transcripts were highly expressed in the midgut gland in addition to the previously characterised GH9 and GH16 (-1,3-glucanase) transcripts, and underscoring the utility of whole transcriptome in uncovering new CAZy-coding transcripts. A highly expressed transcript coding for GH5_10 previously missed by conventional screening of cellulase activity was inferred to be a novel endo--1,4-mannase in G. natalis with in silico support from homology modelling and amino acid alignment with other functionally validated GH5_10 proteins. Maximum likelihood tree reconstruction of the GH5_10 proteins demonstrates the phylogenetic affiliation of the G. natalis GH5_10 transcript to that of other decapods, supporting endogenous expression. Surprisingly, crustacean-derived GH5_10 transcripts were near absent in the current CAZy database and yet mining of the transcriptome shotgun assembly (TSA) recovered more than 100 crustacean GH5_10s in addition to several other biotechnological relevant CAZys, underscoring the unappreciated potential of the TSA database as a valuable resource for crustacean CAZys.</t>
  </si>
  <si>
    <t>[Gan, Han Ming; Austin, Christopher; Linton, Stuart] Deakin Univ, Sch Life &amp; Environm Sci, Ctr Integrat Ecol, Geelong, Vic 3220, Australia; [Gan, Han Ming; Austin, Christopher] Monash Univ Malaysia, Sch Sci, Jalan Lagoon Selatan, Bandar Sunway 47500, Selangor, Malaysia; [Gan, Han Ming; Austin, Christopher] Monash Univ Malaysia, Genom Facil, Trop &amp; Med Biol Platform, Jalan Lagoon Selatan, Bandar Sunway 47500, Selangor, Malaysia</t>
  </si>
  <si>
    <t>Deakin University; Monash University; Monash University Malaysia; Monash University; Monash University Malaysia</t>
  </si>
  <si>
    <t>Linton, S (corresponding author), Deakin Univ, Sch Life &amp; Environm Sci, Ctr Integrat Ecol, Geelong, Vic 3220, Australia.</t>
  </si>
  <si>
    <t>stuart.linton@deakin.edu.au</t>
  </si>
  <si>
    <t>Austin, Christopher M/J-4527-2012; Gan, Han Ming/AAF-9519-2019</t>
  </si>
  <si>
    <t>Austin, Christopher M/0000-0003-1848-6267; Gan, Han Ming/0000-0001-7987-738X; Linton, Stuart/0000-0002-8292-7816</t>
  </si>
  <si>
    <t>1436-2228</t>
  </si>
  <si>
    <t>1436-2236</t>
  </si>
  <si>
    <t>MAR BIOTECHNOL</t>
  </si>
  <si>
    <t>Mar. Biotechnol.</t>
  </si>
  <si>
    <t>10.1007/s10126-018-9836-2</t>
  </si>
  <si>
    <t>Biotechnology &amp; Applied Microbiology; Marine &amp; Freshwater Biology</t>
  </si>
  <si>
    <t>GT2ET</t>
  </si>
  <si>
    <t>WOS:000444297400010</t>
  </si>
  <si>
    <t>Wang, YT; Hou, YH; Wang, YF; Zheng, L; Xu, XL; Pan, K; Li, RQ; Wang, QF</t>
  </si>
  <si>
    <t>Wang, Yatong; Hou, Yanhua; Wang, Yifan; Zheng, Lu; Xu, Xianlei; Pan, Kang; Li, Rongqi; Wang, Quanfu</t>
  </si>
  <si>
    <t>A Novel Cold-Adapted Leucine Dehydrogenase from Antarctic Sea-Ice Bacterium Pseudoalteromonas sp ANT178</t>
  </si>
  <si>
    <t>MARINE DRUGS</t>
  </si>
  <si>
    <t>leucine dehydrogenase; cold-adapted; Antarctic bacterium; sea-ice; homology modeling</t>
  </si>
  <si>
    <t>L-TERT-LEUCINE; THERMOSTABLE LEUCINE; ALANINE DEHYDROGENASES; HALOPHILIC THERMOPHILE; QUATERNARY STRUCTURE; BACILLUS-SPHAERICUS; MOLECULAR-CLONING; GENE CLONING; SP ANT506; PURIFICATION</t>
  </si>
  <si>
    <t>l-tert-leucine and its derivatives are useful as pharmaceutical active ingredients, in which leucine dehydrogenase (LeuDH) is the key enzyme in their enzymatic conversions. In the present study, a novel cold-adapted LeuDH, psleudh, was cloned from psychrotrophic bacteria Pseudoalteromonas sp. ANT178, which was isolated from Antarctic sea-ice. Bioinformatics analysis of the gene psleudh showed that the gene was 1209 bp in length and coded for a 42.6 kDa protein containing 402 amino acids. PsLeuDH had conserved Phe binding site and NAD(+) binding site, and belonged to a member of the Glu/Leu/Phe/Val dehydrogenase family. Homology modeling analysis results suggested that PsLeuDH exhibited more glycine residues, reduced proline residues, and arginine residues, which might be responsible for its catalytic efficiency at low temperature. The recombinant PsLeuDH (rPsLeuDH) was purified a major band with the high specific activity of 275.13 U/mg using a Ni-NTA affinity chromatography. The optimum temperature and pH for rPsLeuDH activity were 30 degrees C and pH 9.0, respectively. Importantly, rPsLeuDH retained at least 40% of its maximum activity even at 0 degrees C. Moreover, the activity of rPsLeuDH was the highest in the presence of 2.0 M NaCl. Substrate specificity and kinetic studies of rPsLeuDH demonstrated that l-leucine was the most suitable substrate, and the catalytic activity at low temperatures was ensured by maintaining a high k(cat) value. The results of the current study would provide insight into Antarctic sea-ice bacterium LeuDH, and the unique properties of rPsLeuDH make it a promising candidate as a biocatalyst in medical and pharmaceutical industries.</t>
  </si>
  <si>
    <t>[Wang, Yatong; Hou, Yanhua; Wang, Yifan; Zheng, Lu; Xu, Xianlei; Pan, Kang; Li, Rongqi; Wang, Quanfu] Harbin Inst Technol, Sch Marine Sci &amp; Technol, Weihai 264209, Peoples R China</t>
  </si>
  <si>
    <t>Harbin Institute of Technology</t>
  </si>
  <si>
    <t>Wang, QF (corresponding author), Harbin Inst Technol, Sch Marine Sci &amp; Technol, Weihai 264209, Peoples R China.</t>
  </si>
  <si>
    <t>wangyatong199311@163.com; marry7718@163.com; daid01@126.com; zhenglu0206@126.com; 17863108956@163.com; m15662319228@163.com; l1263769417@163.com; wangquanfuhit@hit.edu.cn</t>
  </si>
  <si>
    <t>li, rongqi/IYJ-6624-2023; wang, yatong/KDN-3824-2024; wang, yi fan/L-1193-2018; wang, quan fu/K-9703-2018</t>
  </si>
  <si>
    <t>wang, yi fan/0000-0001-7360-2422; wang, ya tong/0000-0003-0863-5935; wang, quan fu/0000-0002-3885-5464</t>
  </si>
  <si>
    <t>National Natural Science Foundation of China [41876149, 31100037] Funding Source: Medline; Natural Science Foundation of Shandong Province [ZR2017MC046] Funding Source: Medline; Key Research and Development Plan of Shandong Province [2018GHY115021] Funding Source: Medline</t>
  </si>
  <si>
    <t>National Natural Science Foundation of China(National Natural Science Foundation of China (NSFC)); Natural Science Foundation of Shandong Province(Natural Science Foundation of Shandong Province); Key Research and Development Plan of Shandong Province</t>
  </si>
  <si>
    <t>MDPI</t>
  </si>
  <si>
    <t>BASEL</t>
  </si>
  <si>
    <t>ST ALBAN-ANLAGE 66, CH-4052 BASEL, SWITZERLAND</t>
  </si>
  <si>
    <t>1660-3397</t>
  </si>
  <si>
    <t>MAR DRUGS</t>
  </si>
  <si>
    <t>Mar. Drugs</t>
  </si>
  <si>
    <t>10.3390/md16100359</t>
  </si>
  <si>
    <t>Chemistry, Medicinal; Pharmacology &amp; Pharmacy</t>
  </si>
  <si>
    <t>Pharmacology &amp; Pharmacy</t>
  </si>
  <si>
    <t>GY7TZ</t>
  </si>
  <si>
    <t>Green Published, gold, Green Submitted</t>
  </si>
  <si>
    <t>WOS:000448819600017</t>
  </si>
  <si>
    <t>Abdelkrim, J; Aznar-Cormano, L; Fedosov, AE; Kantor, YI; Lozouet, P; Phuong, MA; Zaharias, P; Puillandre, N</t>
  </si>
  <si>
    <t>Abdelkrim, Jawad; Aznar-Cormano, Laetitia; Fedosov, Alexander E.; Kantor, Yuri I.; Lozouet, Pierre; Phuong, Mark A.; Zaharias, Paul; Puillandre, Nicolas</t>
  </si>
  <si>
    <t>Exon-Capture-Based Phylogeny and Diversification of the Venomous Gastropods (Neogastropoda, Conoidea)</t>
  </si>
  <si>
    <t>MOLECULAR BIOLOGY AND EVOLUTION</t>
  </si>
  <si>
    <t>exon-capture; Conoidea; phylogeny; supertree</t>
  </si>
  <si>
    <t>MOLECULAR PHYLOGENY; READ ALIGNMENT; SYSTEMATICS; EVOLUTION; INFERENCE; RADULA; GENUS; TREE; CLASSIFICATION; MORPHOLOGY</t>
  </si>
  <si>
    <t>Transcriptome-based exon capture methods provide an approach to recover several hundred markers from genomic DNA, allowing for robust phylogenetic estimation at deep timescales. We applied this method to a highly diverse group of venomous marine snails, Conoidea, for which published phylogenetic trees remain mostly unresolved for the deeper nodes. We targeted 850 protein coding genes (678,322 bp) in ca. 120 samples, spanning all (except one) known families of Conoidea and a broad selection of non-Conoidea neogastropods. The capture was successful for most samples, although capture efficiency decreased when DNA libraries were of insufficient quality and/or quantity (dried samples or low starting DNA concentration) and when targeting the most divergent lineages. An average of 75.4% of proteins was recovered, and the resulting tree, reconstructed using both supermatrix (IQ-tree) and supertree (Astral-II, combined with the Weighted Statistical Binning method) approaches, are almost fully supported. A reconstructed fossil-calibrated tree dates the origin of Conoidea to the Lower Cretaceous. We provide descriptions for two new families. The phylogeny revealed in this study provides a robust framework to reinterpret changes in Conoidea anatomy through time. Finally, we used the phylogeny to test the impact of the venom gland and radular type on diversification rates. Our analyses revealed that repeated losses of the venom gland had no effect on diversification rates, while families with a breadth of radula types showed increases in diversification rates, thus suggesting that trophic ecology may have an impact on the evolution of Conoidea.</t>
  </si>
  <si>
    <t>[Abdelkrim, Jawad; Aznar-Cormano, Laetitia] Museum Natl Hist Nat, OMSI, UMS 2700, Paris, France; [Abdelkrim, Jawad; Aznar-Cormano, Laetitia; Zaharias, Paul; Puillandre, Nicolas] Sorbonne Univ, CNRS, Museum Natl Hist Nat, Inst Systemat Evolut Biodivers ISYEB,EPHE, 57 Rue Cuvier,CP 26, F-75005 Paris, France; [Fedosov, Alexander E.; Kantor, Yuri I.] Russian Acad Sci, AN Severtzov Inst Ecol &amp; Evolut, Leninski Prospect 33, Moscow 119071, Russia; [Lozouet, Pierre] Museum Natl Hist Nat, Direct Collect, 55 Rue Buffon, F-75005 Paris, France; [Phuong, Mark A.] Univ Calif Los Angeles, Dept Ecol &amp; Evolutionary Biol, Los Angeles, CA 90095 USA</t>
  </si>
  <si>
    <t>Centre National de la Recherche Scientifique (CNRS); CNRS - Institute of Ecology &amp; Environment (INEE); Museum National d'Histoire Naturelle (MNHN); Universite PSL; Ecole Pratique des Hautes Etudes (EPHE); Centre National de la Recherche Scientifique (CNRS); Sorbonne Universite; Museum National d'Histoire Naturelle (MNHN); Russian Academy of Sciences; Saratov Scientific Center of the Russian Academy of Sciences; Severtsov Institute of Ecology &amp; Evolution; Museum National d'Histoire Naturelle (MNHN); University of California System; University of California Los Angeles</t>
  </si>
  <si>
    <t>Puillandre, N (corresponding author), Sorbonne Univ, CNRS, Museum Natl Hist Nat, Inst Systemat Evolut Biodivers ISYEB,EPHE, 57 Rue Cuvier,CP 26, F-75005 Paris, France.</t>
  </si>
  <si>
    <t>puillandre@mnhn.fr</t>
  </si>
  <si>
    <t>Zaharias, Paul/GRF-0442-2022; Kantor, Yuri/HKW-8238-2023; Zaharias, Paul/U-8144-2019; Puillandre, Nicolas/C-9208-2012; Kantor, Yuri/D-5259-2014; Fedosov, Alexander/J-5400-2015</t>
  </si>
  <si>
    <t>Zaharias, Paul/0000-0003-3550-2636; Kantor, Yuri/0000-0002-3209-4940; Zaharias, Paul/0000-0003-3550-2636; Kantor, Yuri/0000-0002-3209-4940; Fedosov, Alexander/0000-0002-8035-1403</t>
  </si>
  <si>
    <t>Total Foundation; Prince Albert II of Monaco Foundation; Stavros Niarchos Foundation; Richard Lounsbery Foundation; Vinci Entrepose Contracting; Fondation EDF; European Regional Development Fund (ERDF); Philippines Bureau of Fisheries and Aquatic Research (BFAR); French Ministry of Foreign Affairs, Fonds Pacifique; Government of New Caledonia; Western Australian Museum; Russian-Vietnamese Tropical Center; Office of Naval Research; Australian Antarctic Division [53]; Japanese Science Foundation; French polar institute IPEV (ICOTA programme); French polar institute IPEV (REVOLTA programme); CNRS; MNHN; ANR (White Project ANTFLOCKs USAR) [07-BLAN-0213-01]; Service de Systematique Moleculaire [UMS 2700 CNRS-MNHN]; CONOTAX project - French National Research Agency [ANR-13-JSV7-0013-01]; Ministry of Science and Technology, Taiwan [MOST 102-2923-B-002-001-MY3]; French National Research Agency [ANR 12-ISV7-0005-01]; Russian Science Foundation [16-14-10118]; Russian Science Foundation [16-14-10118] Funding Source: Russian Science Foundation</t>
  </si>
  <si>
    <t>Total Foundation(Total SA); Prince Albert II of Monaco Foundation; Stavros Niarchos Foundation; Richard Lounsbery Foundation; Vinci Entrepose Contracting; Fondation EDF(Electricite de France (EDF)); European Regional Development Fund (ERDF)(European Union (EU)); Philippines Bureau of Fisheries and Aquatic Research (BFAR); French Ministry of Foreign Affairs, Fonds Pacifique; Government of New Caledonia; Western Australian Museum; Russian-Vietnamese Tropical Center; Office of Naval Research(Office of Naval Research); Australian Antarctic Division; Japanese Science Foundation; French polar institute IPEV (ICOTA programme); French polar institute IPEV (REVOLTA programme); CNRS(Centre National de la Recherche Scientifique (CNRS)); MNHN; ANR (White Project ANTFLOCKs USAR)(Agence Nationale de la Recherche (ANR)); Service de Systematique Moleculaire; CONOTAX project - French National Research Agency(Agence Nationale de la Recherche (ANR)); Ministry of Science and Technology, Taiwan(Ministry of Science and Technology, Taiwan); French National Research Agency(Agence Nationale de la Recherche (ANR)); Russian Science Foundation(Russian Science Foundation (RSF)); Russian Science Foundation(Russian Science Foundation (RSF))</t>
  </si>
  <si>
    <t>The material in this article originates from numerous shore-based expeditions and deep sea cruises, conducted, respectively, by MNHN and Pro-Natura International (PNI) as part of the Our Planet Reviewed programme (ATIMO VATAE, MAINBAZA, INHACA 2011, GUYANE, PAPUA NIUGINI, KAVIENG 2014) and/or by MNHN and Institut de Recherche pour le Developpement (IRD) as part of the Tropical Deep-Sea Benthos programme (AURORA 2007, TAIWAN 2013, DongSha 2014, NANHAI 2014, BIOPAPUA, SALOMONBOA 3, CONCALIS, EXBODI, NORFOLK 2, TERRASSES). Scientific partners included the University of Papua New Guinea (UPNG); National Fisheries College, Kavieng; Institut d'Halieutique et Sciences Marines (IH.SM), Universite de Tulear, Madagascar; Universidade Eduardo Mondlane, Maputo; the Madagascar bureau of the Wildlife Conservation Society (WCS); and Instituto Espanol de Oceanografia (IOE). Funders and sponsors included the Total Foundation, Prince Albert II of Monaco Foundation, Stavros Niarchos Foundation, Richard Lounsbery Foundation, Vinci Entrepose Contracting, Fondation EDF, European Regional Development Fund (ERDF), the Philippines Bureau of Fisheries and Aquatic Research (BFAR), the French Ministry of Foreign Affairs, Fonds Pacifique and the Government of New Caledonia. Additional field work included PANGLAO 2004 (a joint project of MNHN and University of San Carlos, Cebu City); KARUBENTHOS 2012 (a joint project of MNHN with Parc National de la Guadeloupe and Universite des Antilles); sampling in Western Australia arranged by Hugh Morrison, with support of the Western Australian Museum; and sampling in Congo arranged by Bernard Thomassin. Collection of material in Vietnam was supported by the Russian-Vietnamese Tropical Center. The Office of Naval Research funded the ONR expedition onboard R/V Vidal Gormaz from Chilean Navy. Angelika Brandt was the head of expedition Kurambio. We are thankful to the staff of the Tropical Center for assistance in organization of the field sampling and loan of some laboratory equipment. The CAML-CEAMARC cruises of RSV Aurora Australis and TRV Umitaka Maru (IPY project no. 53) were supported by the Australian Antarctic Division, the Japanese Science Foundation, the French polar institute IPEV (ICOTA and REVOLTA programmes), the CNRS, the MNHN and the ANR (White Project ANTFLOCKs USAR no.07-BLAN-0213-01 directed by Guillaume Lecointre). All expeditions operated under the regulations then in force in the countries in question and satisfy the conditions set by the Nagoya Protocol for access to genetic resources. The authors would like to thank Philippe Maestrati, Virginie Heros, Barbara Buge, and Julien Brisset for their help in curating the vouchers; Javier Sellanes, Enrico Schwabe, Serge Gofas, Juan Horro, Peter Stahlschmidt, and Rafael Zardoya for their help in collecting some samples, Adnan Moussalli, and Frank Koehler for having provided the Mitridae transcriptome, and Gavin Malcolm, Yves Terryn, Manuel Tenorio, and Eric Monnier, among others, for their help in identifying the samples. This work was supported by the Service de Systematique Moleculaire (UMS 2700 CNRS-MNHN), the CONOTAX project funded by the French National Research Agency (grant number ANR-13-JSV7-0013-01), the bilateral cooperation research funding from the Ministry of Science and Technology, Taiwan (grant number MOST 102-2923-B-002-001-MY3) and the French National Research Agency (grant number ANR 12-ISV7-0005-01) and the Russian Science Foundation (grant number 16-14-10118, PI Yu. Kantor).</t>
  </si>
  <si>
    <t>0737-4038</t>
  </si>
  <si>
    <t>1537-1719</t>
  </si>
  <si>
    <t>MOL BIOL EVOL</t>
  </si>
  <si>
    <t>Mol. Biol. Evol.</t>
  </si>
  <si>
    <t>10.1093/molbev/msy144</t>
  </si>
  <si>
    <t>Biochemistry &amp; Molecular Biology; Evolutionary Biology; Genetics &amp; Heredity</t>
  </si>
  <si>
    <t>HD5JY</t>
  </si>
  <si>
    <t>Green Submitted, Bronze, Green Published</t>
  </si>
  <si>
    <t>WOS:000452566800002</t>
  </si>
  <si>
    <t>Anacona, PI; Norton, K; Mackintosh, A; Escobar, F; Allen, S; Mazzorana, B; Schaefer, M</t>
  </si>
  <si>
    <t>Anacona, Pablo Iribarren; Norton, Kevin; Mackintosh, Andrew; Escobar, Fernando; Allen, Simon; Mazzorana, Bruno; Schaefer, Marius</t>
  </si>
  <si>
    <t>Dynamics of an outburst flood originating from a small and high-altitude glacier in the Arid Andes of Chile</t>
  </si>
  <si>
    <t>NATURAL HAZARDS</t>
  </si>
  <si>
    <t>Andes; Cold-based glacier; GLOF; RAMMS; LAHARZ</t>
  </si>
  <si>
    <t>DEBRIS FLOWS; MASS-BALANCE; DAMMED LAKES; CHECK DAMS; SWISS ALPS; DRY ANDES; MODEL; AVALANCHE; ASTER; VOLCANO</t>
  </si>
  <si>
    <t>Glacial lake outburst floods (GLOFs) are common where highly dynamic temperate glaciers exist, since seasonal changes in ice-conduit dynamics can start rapid lake drainages. Lakes dammed by cold-based glaciers, however, are less common and GLOFs from these glaciers have been rarely reported. Understanding both the origin and the failure mechanisms of lakes dammed by cold-based glaciers and subsequent flood processes is essential for territorial planning. We study a remarkable GLOF triggered by the failure of a subglacial lake in the Manflas Valley, Arid Andes of Chile, in 1985 providing insights into the lake's origin, clarifying the failure mechanism and modelling the GLOF event-related dynamics. To identify the factors that contributed to the lake formation and failure, we analysed remotely sensed images, meteorological and topographic data. The GLOF dynamics were reconstructed using empirical (LAHARZ and MSF) and physical models (RAMMS). The obtained results were compared with field data of flow extent, depth and velocity. We show that the failed lake (4x106m(3)) formed in a low-slope (10 degrees) area and that extreme (90th percentile) annual precipitation before the GLOF contributed to the lake filling and probably to the dam collapse. The lake likely drained rapidly after mechanical failure of the ice-dam producing a high energy sediment-laden flow. We show the challenges of modelling large flows over long distances (dozens of kilometres) especially when flows change between Newtonian and Non-Newtonian phases. A GLOF can still endanger the Manflas Valley since a remnant of the lake of about 220.000m(3) exists and economic assets are located along the1985 GLOF path.</t>
  </si>
  <si>
    <t>[Anacona, Pablo Iribarren; Mazzorana, Bruno] Univ Austral Chile, Fac Ciencias, Inst Ciencias Tierra, Valdivia, Chile; [Norton, Kevin; Mackintosh, Andrew] Victoria Univ Wellington, Sch Geog Environm &amp; Earth Sci, Wellington, New Zealand; [Mackintosh, Andrew] Victoria Univ Wellington, Antarctic Res Ctr, Wellington, New Zealand; [Escobar, Fernando] Direcc Gen Aguas, Santiago, Chile; [Allen, Simon] Univ Zurich, Dept Geog, Zurich, Switzerland; [Mazzorana, Bruno] Millennium Nucleus CYCLO, Valdivia, Chile; [Schaefer, Marius] Univ Austral Chile, Fac Ciencias, Inst Ciencias Fis &amp; Matemat, Valdivia, Chile</t>
  </si>
  <si>
    <t>Universidad Austral de Chile; Victoria University Wellington; Victoria University Wellington; University of Zurich; Universidad Austral de Chile</t>
  </si>
  <si>
    <t>Anacona, PI (corresponding author), Univ Austral Chile, Fac Ciencias, Inst Ciencias Tierra, Valdivia, Chile.</t>
  </si>
  <si>
    <t>pablo.iribarren@uach.cl</t>
  </si>
  <si>
    <t>Schaefer, Marius/HNR-3586-2023; Norton, Kevin/F-1606-2011</t>
  </si>
  <si>
    <t>Norton, Kevin/0000-0002-7995-6464; Allen, Simon/0000-0002-4809-649X; Schaefer, Marius/0000-0002-7508-8786; Mackintosh, Andrew/0000-0002-6430-4711</t>
  </si>
  <si>
    <t>Becas Chile; RCUK-CONICYT Project [MR-N026462-1]; Iniciativa Cientifica Milenio (ICM) [NC160025]</t>
  </si>
  <si>
    <t>Becas Chile; RCUK-CONICYT Project; Iniciativa Cientifica Milenio (ICM)</t>
  </si>
  <si>
    <t>We greatly appreciate the logistic support of Hacienda Manflas and Hales, Nolberto, Cornelio and Silvio for their assistance in the 2013 field work. We also thank Shelley MacDonnell and Marion Reveillet for their help in the 2018 expedition. This work was funded by Becas Chile and the RCUK-CONICYT Project MR-N026462-1 Glacial Hazards in Chile: processes, assessment, mitigation and risk management strategies''. Bruno Mazzorana has been supported by the Iniciativa Cientifica Milenio (ICM) through Grant NC160025 Millennium Nucleus CYCLO-The Seismic Cycle Along Subduction Zones''. We sincerely thank the constructive criticism of two reviewers.</t>
  </si>
  <si>
    <t>0921-030X</t>
  </si>
  <si>
    <t>1573-0840</t>
  </si>
  <si>
    <t>NAT HAZARDS</t>
  </si>
  <si>
    <t>Nat. Hazards</t>
  </si>
  <si>
    <t>10.1007/s11069-018-3376-y</t>
  </si>
  <si>
    <t>Geosciences, Multidisciplinary; Meteorology &amp; Atmospheric Sciences; Water Resources</t>
  </si>
  <si>
    <t>Geology; Meteorology &amp; Atmospheric Sciences; Water Resources</t>
  </si>
  <si>
    <t>GU2PN</t>
  </si>
  <si>
    <t>WOS:000445112300006</t>
  </si>
  <si>
    <t>Marzloff, MP; Oliver, ECJ; Barrett, NS; Holbrook, NJ; James, L; Wotherspoon, SJ; Johnson, CR</t>
  </si>
  <si>
    <t>Marzloff, Martin Pierre; Oliver, Eric C. J.; Barrett, Neville S.; Holbrook, Neil J.; James, Lainey; Wotherspoon, Simon J.; Johnson, Craig R.</t>
  </si>
  <si>
    <t>Differential vulnerability to climate change yields novel deep-reef communities</t>
  </si>
  <si>
    <t>NATURE CLIMATE CHANGE</t>
  </si>
  <si>
    <t>MARINE; BIODIVERSITY; RESILIENCE; VELOCITY; SHIFT</t>
  </si>
  <si>
    <t>The effects of climate-driven ocean change on reef habitat-forming species are diverse(1,2) and can be deleterious to the structure and functioning of seafloor communities(3-5). Although responses of shallow coral- or seaweed-based reef communities to environmental changes are a focus of ecological research in the coastal zone(1,4-6), the ecology of habitat-forming organisms on deeper mesophotic reefs remains poorly known. These reefs are typically highly biodiverses(7,8) and productive as a result of massive nutrient recycling(9). Based on seafloor imagery obtained from an autonomous underwater vehicle(8), we related change in community composition on deep reefs (30-90 m) across a latitudinal gradient (25-45 degrees S) in southeastern Australia to high-resolution environmental and oceanographic data, and predicted future changes using downscaled climate change projections for the 2060s(10-12). This region is recognized as a global hotspot for ocean warming(13). The models show an overall tropicalization trend in these deep temperate reef communities, but different functional groups associate differentially to environmental drivers and display a diversity of responses to projected ocean change. We predict the emergence of novel deep-reef assemblages by the 2060s that have no counterpart on reefs today, which is likely to underpin shifts in biodiversity and ecosystem functioning.</t>
  </si>
  <si>
    <t>[Marzloff, Martin Pierre; Oliver, Eric C. J.; Barrett, Neville S.; Holbrook, Neil J.; James, Lainey; Wotherspoon, Simon J.; Johnson, Craig R.] Univ Tasmania, Inst Marine &amp; Antarctic Studies, Hobart, Tas, Australia; [Marzloff, Martin Pierre] IFREMER, Ctr Bretagne, DYNECO Res Unit, Benth &amp; Coastal Ecol Lab LEBCO, Plouzane, France; [Oliver, Eric C. J.] Dalhousie Univ, Dept Oceanog, Halifax, NS, Canada; [Holbrook, Neil J.] Univ Tasmania, Australian Res Council Ctr Excellence Climate Ext, Hobart, Tas, Australia; [Wotherspoon, Simon J.] Australian Antarctic Div, Kingston, Tas, Australia</t>
  </si>
  <si>
    <t>University of Tasmania; Universite de Bretagne Occidentale; Ifremer; Dalhousie University; University of Tasmania; Australian Antarctic Division</t>
  </si>
  <si>
    <t>Marzloff, MP (corresponding author), Univ Tasmania, Inst Marine &amp; Antarctic Studies, Hobart, Tas, Australia.;Marzloff, MP (corresponding author), IFREMER, Ctr Bretagne, DYNECO Res Unit, Benth &amp; Coastal Ecol Lab LEBCO, Plouzane, France.</t>
  </si>
  <si>
    <t>Martin.Marzloff@ifremer.fr</t>
  </si>
  <si>
    <t>Wotherspoon, Simon J/B-2390-2013; Marzloff, Martin/AAY-3833-2020; Barrett, Neville/J-7593-2014; Holbrook, Neil/M-7544-2013; Oliver, Eric/G-5118-2014</t>
  </si>
  <si>
    <t>Wotherspoon, Simon J/0000-0002-6947-4445; Marzloff, Martin/0000-0002-8152-4273; Barrett, Neville/0000-0002-6167-1356; Holbrook, Neil/0000-0002-3523-6254; Oliver, Eric/0000-0002-4006-2826</t>
  </si>
  <si>
    <t>Australian Research Council Super Science project [FS110200029]; IMOS; IMAS; DPI NSW; National Environmental Research Program Marine Biodiversity Hub; Australian Research Council [FS110200029] Funding Source: Australian Research Council</t>
  </si>
  <si>
    <t>Australian Research Council Super Science project(Australian Research Council); IMOS; IMAS; DPI NSW; National Environmental Research Program Marine Biodiversity Hub; Australian Research Council(Australian Research Council)</t>
  </si>
  <si>
    <t>M.P.M. and E.C.J.O. were supported by fellowships on an Australian Research Council Super Science project (FS110200029) granted to C.R.J., N.S.B. and N.J.H. We acknowledge IMOS for funding the AUV monitoring programme, and IMAS, DPI NSW, and the National Environmental Research Program Marine Biodiversity Hub, a collaborative partnership supported through the Australian Government's National Environmental Science Programme, for facilitating many of the deployments. We thank S. Williams, A. Friedman and the Australian Centre for Field Robotics (University of Sydney) for their support in terms of accessing and scoring the AUV imagery. We are grateful to R. Matear and M. Chamberlain of CSIRO Marine and Atmospheric Research (Hobart, Australia) for helpful discussions and access to the OFAM model simulations (providing ocean projections for the 2060s), supported by the Western Australian Marine Science Institution Node 2 'Climate processes, predictability and impacts in a warming Indian Ocean' led by M. Feng.</t>
  </si>
  <si>
    <t>NATURE PORTFOLIO</t>
  </si>
  <si>
    <t>BERLIN</t>
  </si>
  <si>
    <t>HEIDELBERGER PLATZ 3, BERLIN, 14197, GERMANY</t>
  </si>
  <si>
    <t>1758-678X</t>
  </si>
  <si>
    <t>1758-6798</t>
  </si>
  <si>
    <t>NAT CLIM CHANGE</t>
  </si>
  <si>
    <t>Nat. Clim. Chang.</t>
  </si>
  <si>
    <t>+</t>
  </si>
  <si>
    <t>10.1038/s41558-018-0278-7</t>
  </si>
  <si>
    <t>Environmental Sciences; Environmental Studies; Meteorology &amp; Atmospheric Sciences</t>
  </si>
  <si>
    <t>Science Citation Index Expanded (SCI-EXPANDED); Social Science Citation Index (SSCI)</t>
  </si>
  <si>
    <t>GV2NO</t>
  </si>
  <si>
    <t>Green Submitted</t>
  </si>
  <si>
    <t>WOS:000445927700017</t>
  </si>
  <si>
    <t>Jenkins, A; Shoosmith, D; Dutrieux, P; Jacobs, S; Kim, TW; Lee, SH; Ha, HK; Stammerjohn, S</t>
  </si>
  <si>
    <t>Jenkins, Adrian; Shoosmith, Deb; Dutrieux, Pierre; Jacobs, Stan; Kim, Tae Wan; Lee, Sang Hoon; Ha, Ho Kyung; Stammerjohn, Sharon</t>
  </si>
  <si>
    <t>West Antarctic Ice Sheet retreat in the Amundsen Sea driven by decadal oceanic variability</t>
  </si>
  <si>
    <t>NATURE GEOSCIENCE</t>
  </si>
  <si>
    <t>PINE ISLAND GLACIER; CIRCUMPOLAR DEEP-WATER; SHELF; EMBAYMENT; CIRCULATION; MELTWATER; PACIFIC; INFLOW; SECTOR; IMPACT</t>
  </si>
  <si>
    <t>Mass loss from the Amundsen Sea sector of the West Antarctic Ice Sheet has increased in recent decades, suggestive of sustained ocean forcing or an ongoing, possibly unstable, response to a past climate anomaly. Lengthening satellite records appear to be incompatible with either process, however, revealing both periodic hiatuses in acceleration and intermittent episodes of thinning. Here we use ocean temperature, salinity, dissolved-oxygen and current measurements taken from 2000 to 2016 near the Dotson Ice Shelf to determine temporal changes in net basal melting. A decadal cycle dominates the ocean record, with melt changing by a factor of about four between cool and warm extremes via a nonlinear relationship with ocean temperature. A warm phase that peaked around 2009 coincided with ice-shelf thinning and retreat of the grounding line, which re-advanced during a post-2011 cool phase. These observations demonstrate how discontinuous ice retreat is linked with ocean variability, and that the strength and timing of decadal extremes is more influential than changes in the longer-term mean state. The nonlinear response of melting to temperature change heightens the sensitivity of Amundsen Sea ice shelves to such variability, possibly explaining the vulnerability of the ice sheet in that sector, where subsurface ocean temperatures are relatively high.</t>
  </si>
  <si>
    <t>[Jenkins, Adrian; Shoosmith, Deb] British Antarctic Survey, Nat Environm Res Council, Cambridge, England; [Dutrieux, Pierre; Jacobs, Stan] Columbia Univ, Lamont Doherty Earth Observ, Palisades, NY USA; [Kim, Tae Wan; Lee, Sang Hoon] Korea Polar Res Inst, Incheon, South Korea; [Ha, Ho Kyung] Inha Univ, Dept Ocean Sci, Incheon, South Korea; [Stammerjohn, Sharon] Univ Colorado, Inst Arctic &amp; Alpine Res, Boulder, CO 80309 USA</t>
  </si>
  <si>
    <t>UK Research &amp; Innovation (UKRI); Natural Environment Research Council (NERC); NERC British Antarctic Survey; Columbia University; Korea Polar Research Institute (KOPRI); Inha University; University of Colorado System; University of Colorado Boulder</t>
  </si>
  <si>
    <t>Jenkins, A (corresponding author), British Antarctic Survey, Nat Environm Res Council, Cambridge, England.</t>
  </si>
  <si>
    <t>ajen@bas.ac.uk</t>
  </si>
  <si>
    <t>Ha, Ho Kyung/HCH-4138-2022; Jenkins, Adrian/IUN-2406-2023; Kim, Tae-Wan/JGM-9981-2023; Dutrieux, Pierre/GVS-2890-2022</t>
  </si>
  <si>
    <t>Kim, Tae-Wan/0000-0001-5257-7256; Dutrieux, Pierre/0000-0002-8066-934X; Jenkins, Adrian/0000-0002-9117-0616</t>
  </si>
  <si>
    <t>UK Natural Environment Research Council (NERC); NERC's iSTAR Programme [NE/J005770/11]; NSF [1643285, ANT06-32282, 16-44159]; Korea Polar Research Institute [KOPRI PE17060]; National Science Foundation Office of Polar Programs [0838975, 1443569]; Directorate For Geosciences; Office of Polar Programs (OPP) [1643285] Funding Source: National Science Foundation; Office of Polar Programs (OPP); Directorate For Geosciences [0838975, 1443569] Funding Source: National Science Foundation; NERC [NE/R016038/1, NE/J005746/1, NE/J005770/1, bas0100033] Funding Source: UKRI</t>
  </si>
  <si>
    <t>UK Natural Environment Research Council (NERC)(UK Research &amp; Innovation (UKRI)Natural Environment Research Council (NERC)); NERC's iSTAR Programme; NSF(National Science Foundation (NSF)); Korea Polar Research Institute(Korea Polar Research Institute of Marine Research Placement (KOPRI)); National Science Foundation Office of Polar Programs(National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 NERC(UK Research &amp; Innovation (UKRI)Natural Environment Research Council (NERC))</t>
  </si>
  <si>
    <t>We are grateful to all cruise participants who assisted in the collection of the data. A.J. and D.S. were supported by core funding from the UK Natural Environment Research Council (NERC) to the British Antarctic Survey's Polar Oceans Program. P.D. was supported by funding from NERC's iSTAR Programme through grant NE/J005770/11 and NSF grant 1643285. S.J.'s support included NSF grants ANT06-32282 and 16-44159. Support for S.H.L. and T.W.K. was provided by the Korea Polar Research Institute grant KOPRI PE17060. S.S. was supported by National Science Foundation Office of Polar Programs collaborative grants 0838975 and 1443569.</t>
  </si>
  <si>
    <t>NATURE PUBLISHING GROUP</t>
  </si>
  <si>
    <t>75 VARICK ST, 9TH FLR, NEW YORK, NY 10013-1917 USA</t>
  </si>
  <si>
    <t>1752-0894</t>
  </si>
  <si>
    <t>1752-0908</t>
  </si>
  <si>
    <t>NAT GEOSCI</t>
  </si>
  <si>
    <t>Nat. Geosci.</t>
  </si>
  <si>
    <t>10.1038/s41561-018-0207-4</t>
  </si>
  <si>
    <t>GV4RX</t>
  </si>
  <si>
    <t>Y</t>
  </si>
  <si>
    <t>N</t>
  </si>
  <si>
    <t>WOS:000446089100010</t>
  </si>
  <si>
    <t>Seip, KL; Gron, O; Wang, H</t>
  </si>
  <si>
    <t>Seip, Knut L.; Gron, Oyvind; Wang, Hui</t>
  </si>
  <si>
    <t>Carbon dioxide precedes temperature change during short-term pauses in multi-millennial palaeoclimate records</t>
  </si>
  <si>
    <t>PALAEOGEOGRAPHY PALAEOCLIMATOLOGY PALAEOECOLOGY</t>
  </si>
  <si>
    <t>MAJOR GLACIATION CYCLES; VOSTOK ICE CORE; ATMOSPHERIC CO2; CLIMATE-CHANGE; LAST; VARIABILITY; ORIGIN</t>
  </si>
  <si>
    <t>In Antarctica, ice-core temperature has traditionally been regarded as a leading variable to carbon dioxide, CO2 during the last 400,000 years before present (B.P.). This finding is in contrast to most reports on global mean surface temperature and atmospheric CO2 for the last 150 years. However, previous techniques for establishing leading or lagging (LL) relations between paired global warming variables have required that the time series show constant frequency (stationarity). Herein, we show that on orbital and multi-millennial time scales, the Vostok Antarctic ice core displays 9 periods of 8.7 kyr 5 kyr during which CO2 becomes a leading variable to temperature. Six of the 9 periods were associated with short-term pauses occurring during 4 major glaciation-deglaciation periods. We find that CO2 also leads temperature during short pauses in the major cyclic pattern of the Greenland time series. In the latter series, there are also two contrasting cycle developments. In the first contrasting cycle developments, lasting from 103.5 to 79 ka, there is an in-phase relation between CO2 and temperature, with a slope of 0.75. In the second contrasting cycle developments, lasting from 61.5 to 43.5 ka, there is an out-of-phase relation with a slope of 0.67. In addition, the latter shows a see-saw pattern between Arctic and Antarctic temperatures.</t>
  </si>
  <si>
    <t>[Seip, Knut L.; Gron, Oyvind] Oslomet Oslo Metropolitan Univ, Pilestredet 35, N-0130 Oslo, Norway; [Wang, Hui] NOAA, NWS, NCEP, Climate Predict Ctr,NCWCP, 5830 Univ Res Court, College Pk, MD 20740 USA</t>
  </si>
  <si>
    <t>Oslo Metropolitan University (OsloMet); National Oceanic Atmospheric Admin (NOAA) - USA</t>
  </si>
  <si>
    <t>Seip, KL (corresponding author), Oslomet Oslo Metropolitan Univ, Pilestredet 35, N-0130 Oslo, Norway.</t>
  </si>
  <si>
    <t>knut.lehre.seip@OsloMet.no; oyvind.gron@OsloMet.no; hui.wang@noaa.gov</t>
  </si>
  <si>
    <t>0031-0182</t>
  </si>
  <si>
    <t>1872-616X</t>
  </si>
  <si>
    <t>PALAEOGEOGR PALAEOCL</t>
  </si>
  <si>
    <t>Paleogeogr. Paleoclimatol. Paleoecol.</t>
  </si>
  <si>
    <t>10.1016/j.palaeo.2018.06.021</t>
  </si>
  <si>
    <t>Geography, Physical; Geosciences, Multidisciplinary; Paleontology</t>
  </si>
  <si>
    <t>Physical Geography; Geology; Paleontology</t>
  </si>
  <si>
    <t>GP6AU</t>
  </si>
  <si>
    <t>WOS:000440960100008</t>
  </si>
  <si>
    <t>Morales-Lange, B; González-Aravena, M; Font, A; Guzmán, F; Mercado, L</t>
  </si>
  <si>
    <t>Morales-Lange, Byron; Gonzalez-Aravena, Marcelo; Font, Alejandro; Guzman, Fanny; Mercado, Luis</t>
  </si>
  <si>
    <t>Detection of peroxiredoxin-like protein in Antarctic sea urchin (Sterechinus neumayeri) under heat stress and induced with pathogen-associated molecular pattern from Vibrio anguillarum</t>
  </si>
  <si>
    <t>POLAR BIOLOGY</t>
  </si>
  <si>
    <t>Heat stress; Sterechinus neumayeri; Prx; Anti-oxidant; Antarctica</t>
  </si>
  <si>
    <t>BIVALVE LATERNULA-ELLIPTICA; ECHINODERM IMMUNITY; TEMPERATURE; EXPRESSION; ROLES; FISH</t>
  </si>
  <si>
    <t>Antarctic marine organisms have developed in an environment of low temperatures and high levels of stability. Consequently, these species have lost the ability to adapt to sudden changes in temperature. Rising ocean temperatures could make the Antarctic sea urchin Sterechinus neumayeri vulnerable to pathogens, triggering responses that increase oxidative stress. In order to understand how the immune system reacts, we can analyze the expression of anti-oxidant molecules such as the peroxiredoxins (Prxs). Prxs are an anti-oxidant protein family with conserved catalytic redox-active cysteine residues. In S. neumayeri, one full-length cDNA of the gene that encodes Prx (Sn-Prx) was characterized. The Sn-Prx cDNA contains a 786-bp open reading frame, which encodes 262 amino acids, including two conserved cysteine residues that are characteristic of the typical 2-Cys subgroup of the Prx family. An in silico analysis was performed to establish epitope molecules, which were then chemically synthesized and used to obtain antibodies. The antibodies were validated by indirect ELISA against a synthetic peptide and western blot against S. neumayeri proteins. In different tissues, the expression of Sn-Prx protein was increased after Vibrio anguillarum challenge. Heat stress also increased expression of Sn-Prx in coelomocytes after 7days, but the availability of the protein decreased in digestive gland tissues after 2 and 3weeks of heat stress. This may indicate the involvement of Prx in antioxidant response in S. neumayeri. The evidence presented in this study proposes anti-Prx antibody as an experimental evaluation tool that can be used to establish a baseline of the ability of S. neumayeri antioxidant response.</t>
  </si>
  <si>
    <t>[Morales-Lange, Byron; Mercado, Luis] Pontificia Univ Catolica Valparaiso, Fac Ciencias, Inst Biol, Grp Marcadores Inmunol Organismos Acuat,Lab Genet, Ave Univ 330,Campus Curauma, Valparaiso, Chile; [Gonzalez-Aravena, Marcelo; Font, Alejandro; Mercado, Luis] Inst Antartico Chileno, Dept Cient, Lab Biorrecursos Antarticos, Punta Arenas, Chile; [Guzman, Fanny; Mercado, Luis] Nucleo Biotecnol Curauma, Av Univ 330,Campus Curauma, Valparaiso, Chile</t>
  </si>
  <si>
    <t>González-Aravena, M (corresponding author), Inst Antartico Chileno, Dept Cient, Lab Biorrecursos Antarticos, Punta Arenas, Chile.</t>
  </si>
  <si>
    <t>mgonzalez@inach.cl</t>
  </si>
  <si>
    <t>González, Marcelo/ABF-1450-2020; Guzman, Fanny fg/K-5592-2013; Morales Lange, Byron/JMC-7999-2023</t>
  </si>
  <si>
    <t>Morales Lange, Byron/0000-0002-2807-5800; Mercado, Luis/0000-0003-3883-5188; Gonzalez, Marcelo/0000-0001-9986-9504</t>
  </si>
  <si>
    <t>Fondo Nacional de Desarrollo Cientifico y Tecnologico [1131001]</t>
  </si>
  <si>
    <t>Fondo Nacional de Desarrollo Cientifico y Tecnologico(Comision Nacional de Investigacion Cientifica y Tecnologica (CONICYT)CONICYT FONDECYT)</t>
  </si>
  <si>
    <t>This study was supported by Fondo Nacional de Desarrollo Cientifico y Tecnologico 1131001 (2013-2015). BM is a fellow of Advanced Human Capital Formation of CONICYT, Chile (21151176).</t>
  </si>
  <si>
    <t>0722-4060</t>
  </si>
  <si>
    <t>1432-2056</t>
  </si>
  <si>
    <t>POLAR BIOL</t>
  </si>
  <si>
    <t>Polar Biol.</t>
  </si>
  <si>
    <t>10.1007/s00300-018-2346-x</t>
  </si>
  <si>
    <t>Biodiversity Conservation; Ecology</t>
  </si>
  <si>
    <t>Biodiversity &amp; Conservation; Environmental Sciences &amp; Ecology</t>
  </si>
  <si>
    <t>GU3WX</t>
  </si>
  <si>
    <t>WOS:000445212100013</t>
  </si>
  <si>
    <t>Aracena, C; González, HE; Garcés-Vargas, J; Lange, CB; Pantoja, S; Muñoz, F; Teca, E; Tejos, E</t>
  </si>
  <si>
    <t>Aracena, Claudia; Gonzalez, Humberto E.; Garces-Vargas, Jose; Lange, Carina B.; Pantoja, Silvio; Munoz, Francisca; Teca, Elisabeth; Tejos, Eduardo</t>
  </si>
  <si>
    <t>Influence of summer conditions on surface water properties and phytoplankton productivity in embayments of the South Shetland Islands</t>
  </si>
  <si>
    <t>South Shetland Islands; Antarctica; Chlorophyll-a; Net primary production; Biogenic silica; Nutrients; Phytoplankton</t>
  </si>
  <si>
    <t>KING-GEORGE-ISLAND; SIZE-FRACTIONATED PHYTOPLANKTON; CIRCUMPOLAR DEEP-WATER; ANTARCTIC PENINSULA; ELEPHANT-ISLAND; ICE CAP; BIOGENIC SILICA; COASTAL WATERS; ANNULAR MODE; POTTER COVE</t>
  </si>
  <si>
    <t>Phytoplankton productivity in glaciomarine embayments of the West Antarctic Peninsula is constrained because of extensive thermohaline variability, which is due to seasonal sea-ice and glacial melting. To determine whether or not this affects the biology of the water column, we explored the influence of surface water properties on phytoplankton productivity in four embayments of the South Shetland Islands (SSI) during late summer of 2013. We analyzed hydrographic, climatic, and primary productivity satellite data (wind velocity, sea-ice cover, and chlorophyll-a), in situ CTD measurements of physical and chemical characteristics, new estimates of net primary production (NPP), and surface water samples for chlorophyll-a, nutrients, biogenic silica, and plankton composition. Sea-ice cover at the SSI was similar to 20% during February. Long-term satellite wind data (2010-2015) showed that during February 2013 the average wind velocity was similar to 2ms(-1) higher than the long-term mean with two low sea surface temperature events occurring simultaneously at all sites. The CTD profiles did not show vertical salinity changes, although salinity was highly correlated with the percentage of integrated nanoplankton Chl-a, which represented&gt;50% of the total integrated Chl-a in all the embayments. Phytoplankton was the major contributor to the integrated carbon biomass of the upper water column, where centric diatoms predominated. The contribution of microzooplankton and bacterioplankton at the different sites explained NPP values and the trophic mode at each site. Specifically, NPP at Fildes Bay exhibited an autotrophic productivity mode in contrast to Collins Bay, where both heterotrophic and autotrophic modes alternated, mainly due to weekly changes in community respiration rates.</t>
  </si>
  <si>
    <t>[Aracena, Claudia] Univ Magallanes, Ctr Invest GAIA Antartica, Ave Bulnes 01855,Casilla 113 D, Punta Arenas, Chile; [Gonzalez, Humberto E.; Garces-Vargas, Jose; Teca, Elisabeth] Univ Austral Chile, Inst Ciencias Marinas &amp; Limnol, Campus Isla Teja,Edificio Emilio Pugin, Valdivia, Chile; [Gonzalez, Humberto E.; Garces-Vargas, Jose; Lange, Carina B.] Univ Austral Chile, Ctr FONDAP Invest Dinam Ecosistemas Marinos Altas, Campus Isla Teja,Edificio Emilio Pugin, Valdivia, Chile; [Lange, Carina B.; Pantoja, Silvio] Univ Concepcion, Ctr COPAS Sur Austral, Casilla 160-C, Concepcion, Chile; [Lange, Carina B.; Pantoja, Silvio] Univ Concepcion, Dept Oceanog, Casilla 160-C, Concepcion, Chile; [Munoz, Francisca] Plancton Andino SpA, Terraplen 869, Puerto Varas, Chile; [Tejos, Eduardo] Univ Catolica Santisima Concepcion, Dept Quim Ambiental, Lab Estudios Ambientales, Casilla 297, Concepcion, Chile</t>
  </si>
  <si>
    <t>Universidad de Magallanes; Universidad Austral de Chile; Universidad Austral de Chile; Universidad de Concepcion; Universidad de Concepcion; Universidad Catolica de la Santisima Concepcion</t>
  </si>
  <si>
    <t>Aracena, C (corresponding author), Univ Magallanes, Ctr Invest GAIA Antartica, Ave Bulnes 01855,Casilla 113 D, Punta Arenas, Chile.</t>
  </si>
  <si>
    <t>claudia.aracena@umag.cl</t>
  </si>
  <si>
    <t>Lange, Carina/AHC-2015-2022; Garces-Vargas, Jose JGV/F-8219-2013; González, Humberto E./A-4039-2008</t>
  </si>
  <si>
    <t>Lange, Carina/0000-0002-2916-4207; Tejos, Eduardo/0009-0007-1528-1908; Aracena Perez, Claudia Mileni/0000-0002-6558-9093; Garces-Vargas, Jose/0000-0002-6542-9348</t>
  </si>
  <si>
    <t>FONDECYT-INACH [3130356]; Center COPAS Sur-Austral CONICYT [PIA PFB31]; Center COPAS Sur-Austral FONDAP-IDEAL [15150003]; Nucleo Milenio Paleoclima del Hemisferio Sur [NC120066]; DID-UACh [S-2015-28]</t>
  </si>
  <si>
    <t>FONDECYT-INACH; Center COPAS Sur-Austral CONICYT; Center COPAS Sur-Austral FONDAP-IDEAL; Nucleo Milenio Paleoclima del Hemisferio Sur; DID-UACh</t>
  </si>
  <si>
    <t>We acknowledge the financial support of this work to several projects and centers: FONDECYT-INACH 3130356, DID-UACh S-2015-28, Centers COPAS Sur-Austral CONICYT PIA PFB31 and FONDAP-IDEAL 15150003, and Nucleo Milenio Paleoclima del Hemisferio Sur NC120066. C. Aracena acknowledges the Institute of Marine and Limnological Sciences (ICML-UACh) and the Department of Oceanography of the University of Concepcion for welcoming her to the laboratory facilities. C. Aracena also thanks Dr. Jose Luis Iriarte for providing technical personnel and equipment for fieldwork. Special thanks to Dr. Cristian Rodrigo, Dr. Javier Arata and to the Antarctic Chilean Institute (INACH) personnel for logistic and scientific support during fieldwork. We thank the captain and crew of the vessel AP 41 AQUILES for a very successful cruise. We sincerely thank Lilian Nunez, Alejandro Avila, and Victor Acuna for laboratory work. Our special thanks to Dr. Irene Schloss for her valuable comments and suggestions to our work.</t>
  </si>
  <si>
    <t>10.1007/s00300-018-2338-x</t>
  </si>
  <si>
    <t>WOS:000445212100018</t>
  </si>
  <si>
    <t>Li, T; Shokr, M; Liu, Y; Cheng, X; Li, T; Wang, F; Hui, FM</t>
  </si>
  <si>
    <t>Li, Tian; Shokr, Mohammed; Liu, Yan; Cheng, Xiao; Li, Teng; Wang, Fang; Hui, Fengming</t>
  </si>
  <si>
    <t>Monitoring the tabular icebergs C28A and C28B calved from the Mertz Ice Tongue using radar remote sensing data</t>
  </si>
  <si>
    <t>REMOTE SENSING OF ENVIRONMENT</t>
  </si>
  <si>
    <t>Mertz Ice Tongue; Antarctic icebergs; Iceberg calving and melting; CryoSat-2; ENVISAT ASAR</t>
  </si>
  <si>
    <t>SEA-ICE; ANTARCTIC ICEBERGS; SOUTHERN-OCEAN; WEDDELL SEA; BREAK-UP; ROSS SEA; SHELF; THICKNESS; TRACKING; CIRCULATION</t>
  </si>
  <si>
    <t>We analyzed the evolution processes of two tabular icebergs, C28A and C28B, originating from iceberg C28, using continuous multisource radar remote sensing data. The monitoring began during the calving of iceberg C28 from the Mertz Ice Tongue in February 2010 and ended in April 2012. The evolution of the iceberg area was determined from ENVISAT ASAR images, and the freeboard change was derived from CryoSat-2 profiles. Two patterns of iceberg area decreases are observed during iceberg drifting. In austral summer (from October to next March), iceberg area shows a gradual decrease and it is interpreted to represent edge wasting, sidewall melting and wave erosion, the gradual decrease of the area of C28A occurred at rates between 8.1 km(2)/month and 16.5 km(2)/month. In austral winter (from April to September), iceberg area has several discrete decreases (sudden drop) while it remained constant for most of the time, and it is interpreted to be large rift calving primarily caused by ocean swell and basal melting. Calving area of the two studied icebergs is observed to be greater in the winter. The freeboard decreased at different rates at different locations on the same iceberg (between -0.02 +/- 0.22 and -0.82 +/- 0.28 m/month for C28A and C28B), suggesting a laterally inhomogeneous melting of icebergs. The average rate of change of the C28B freeboard during its 22-month grounding period was -0.03 +/- 0.01 m/month, which is considerably smaller than the -0.76 +/- 0.23 m/month observed when it was freely drifting in the ocean. The cold-water regime surrounding the iceberg can help the iceberg maintain a stable state. This study reveals the potential use of radar remote sensing when monitoring Antarctic icebergs.</t>
  </si>
  <si>
    <t>[Li, Tian; Liu, Yan; Cheng, Xiao; Li, Teng; Hui, Fengming] Beijing Normal Univ, Coll Global Change &amp; Earth Syst Sci, State Key Lab Remote Sensing Sci, Beijing 100875, Peoples R China; [Li, Tian; Liu, Yan; Cheng, Xiao; Li, Teng; Hui, Fengming] Joint Ctr Global Change &amp; China Green Dev, Beijing 100875, Peoples R China; [Shokr, Mohammed] Environm Canada, Sci &amp; Technol Branch, Toronto, ON M3H 5T4, Canada; [Wang, Fang] Heilongjiang Acad Agr Sci, Remote Sensing Tech Ctr, Harbin 150086, Heilongjiang, Peoples R China; [Wang, Fang] Harbin Normal Univ, Harbin 150086, Heilongjiang, Peoples R China</t>
  </si>
  <si>
    <t>Beijing Normal University; Environment &amp; Climate Change Canada; Heilongjiang Academy of Agricultural Sciences; Harbin Normal University</t>
  </si>
  <si>
    <t>Cheng, X (corresponding author), Beijing Normal Univ, Coll Global Change &amp; Earth Syst Sci, State Key Lab Remote Sensing Sci, Beijing 100875, Peoples R China.</t>
  </si>
  <si>
    <t>xcheng@bnu.edu.cn</t>
  </si>
  <si>
    <t>Li, Teng/E-9284-2018; Liu）, 刘岩（Yan/AAT-5481-2020; Wang, Fang/CAF-7918-2022</t>
  </si>
  <si>
    <t>Li, Tian/0000-0002-1577-4004; Li, Teng/0000-0002-5620-3662</t>
  </si>
  <si>
    <t>Strategic Priority Research Program of the Chinese Academy of Sciences [XDA19070202]; National Natural Science Foundation of China [41676182, 41406211]; Fundamental Research Funds for the Central Universities [312231103]; Academic Research Project of Heilongjiang Academy of Agricultural Sciences [2017BZ08]</t>
  </si>
  <si>
    <t>Strategic Priority Research Program of the Chinese Academy of Sciences(Chinese Academy of Sciences); National Natural Science Foundation of China(National Natural Science Foundation of China (NSFC)); Fundamental Research Funds for the Central Universities(Fundamental Research Funds for the Central Universities); Academic Research Project of Heilongjiang Academy of Agricultural Sciences</t>
  </si>
  <si>
    <t>We thank the European Space Agency for providing the ENVISAT ASAR data and CryoSat-2 data, the British Antarctic Survey for providing the Bedmap-2 dataset, Brigham Young University for their iceberg route tracking data, and Dr. Xianwei Wang for providing thickness map of iceberg C28. We thank Prof. T.A. Scambos, whose comments substantially improved the manuscript. This research is supported by the Strategic Priority Research Program of the Chinese Academy of Sciences (grant number XDA19070202), the National Natural Science Foundation of China (grant numbers 41676182, 41406211), the Fundamental Research Funds for the Central Universities (grant number 312231103), and the Academic Research Project of Heilongjiang Academy of Agricultural Sciences (grant number 2017BZ08).</t>
  </si>
  <si>
    <t>0034-4257</t>
  </si>
  <si>
    <t>1879-0704</t>
  </si>
  <si>
    <t>REMOTE SENS ENVIRON</t>
  </si>
  <si>
    <t>Remote Sens. Environ.</t>
  </si>
  <si>
    <t>10.1016/j.rse.2018.07.028</t>
  </si>
  <si>
    <t>Environmental Sciences; Remote Sensing; Imaging Science &amp; Photographic Technology</t>
  </si>
  <si>
    <t>Environmental Sciences &amp; Ecology; Remote Sensing; Imaging Science &amp; Photographic Technology</t>
  </si>
  <si>
    <t>GV3JL</t>
  </si>
  <si>
    <t>WOS:000445990100043</t>
  </si>
  <si>
    <t>Klocker, A</t>
  </si>
  <si>
    <t>Klocker, Andreas</t>
  </si>
  <si>
    <t>Opening the window to the Southern Ocean: The role of jet dynamics</t>
  </si>
  <si>
    <t>SCIENCE ADVANCES</t>
  </si>
  <si>
    <t>ANTARCTIC CIRCUMPOLAR CURRENT; ATMOSPHERIC CO2; INTERMEDIATE WATER; NORTH-ATLANTIC; OVERTURNING CIRCULATION; INTERGLACIAL CHANGES; ABRUPT CHANGES; FRESH-WATER; TRANSPORT; IMPACT</t>
  </si>
  <si>
    <t>The surface waters of the Southern Ocean act as a control valve through which climatically important tracers such as heat, freshwater, and CO2 are transferred between the atmosphere and the ocean. The process that transports these tracers through the surface mixed layer into the ocean interior is known as ocean ventilation. Changes in ocean ventilation are thought to be important for both rapid transitions of the ocean's global overturning circulation during the last deglaciation and the uptake and storage of excess heat and CO2 as a consequence of anthropogenic climate change. I show how the interaction between Southern Ocean jets, topographic features, and ocean stratification can lead to rapid changes in Southern Ocean ventilation as a function of wind stress. For increasing winds, this interaction leads from a state in which tracers are confined to the surface mixed layer to a state in which tracers fill the ocean interior. For sufficiently high winds, the jet dynamics abruptly change, allowing the tracer to ventilate a water mass known as Antarctic Intermediate Water in the mid-depth Southern Ocean. Abrupt changes in Antarctic Intermediate Water ventilation have played a major role in rapid climate transitions in Earth's past, and combined with the results presented here, this would suggest that jet dynamics could play a prominent role in contributing to, or even triggering, rapid transitions of the global climate system.</t>
  </si>
  <si>
    <t>[Klocker, Andreas] Univ Tasmania, Inst Marine &amp; Antarctic Studies, Hobart, Tas, Australia; [Klocker, Andreas] Univ Tasmania, Australian Res Council Ctr Excellence Climate Sys, Hobart, Tas, Australia; [Klocker, Andreas] Univ Tasmania, Antarctic Climate &amp; Ecosyst Cooperat Res Ctr, Hobart, Tas, Australia</t>
  </si>
  <si>
    <t>University of Tasmania; University of Tasmania; University of Tasmania; Antarctic Climate &amp; Ecosystems Cooperative Research Centre (ACE CRC)</t>
  </si>
  <si>
    <t>Klocker, A (corresponding author), Univ Tasmania, Inst Marine &amp; Antarctic Studies, Hobart, Tas, Australia.;Klocker, A (corresponding author), Univ Tasmania, Australian Res Council Ctr Excellence Climate Sys, Hobart, Tas, Australia.;Klocker, A (corresponding author), Univ Tasmania, Antarctic Climate &amp; Ecosyst Cooperat Res Ctr, Hobart, Tas, Australia.</t>
  </si>
  <si>
    <t>andreas.klocker@utas.edu.au</t>
  </si>
  <si>
    <t>Klocker, Andreas/E-4632-2011</t>
  </si>
  <si>
    <t>Klocker, Andreas/0000-0002-2038-7922</t>
  </si>
  <si>
    <t>Australian Research Council Discovery Early Career Researcher Award [DE140100076]; Australian Government; Australian Research Council [DE140100076] Funding Source: Australian Research Council</t>
  </si>
  <si>
    <t>Australian Research Council Discovery Early Career Researcher Award(Australian Research Council); Australian Government(Australian Government); Australian Research Council(Australian Research Council)</t>
  </si>
  <si>
    <t>A.K. was supported by an Australian Research Council Discovery Early Career Researcher Award (DE140100076). This research was undertaken with the assistance of resources from the National Computational Infrastructure, which is supported by the Australian Government.</t>
  </si>
  <si>
    <t>AMER ASSOC ADVANCEMENT SCIENCE</t>
  </si>
  <si>
    <t>1200 NEW YORK AVE, NW, WASHINGTON, DC 20005 USA</t>
  </si>
  <si>
    <t>2375-2548</t>
  </si>
  <si>
    <t>SCI ADV</t>
  </si>
  <si>
    <t>Sci. Adv.</t>
  </si>
  <si>
    <t>eaao4719</t>
  </si>
  <si>
    <t>10.1126/sciadv.aao4719</t>
  </si>
  <si>
    <t>GZ2MY</t>
  </si>
  <si>
    <t>gold, Green Published, Green Accepted</t>
  </si>
  <si>
    <t>WOS:000449221200002</t>
  </si>
  <si>
    <t>Mishev, A; Usoskin, I; Raukunen, O; Paassilta, M; Valtonen, E; Kocharov, L; Vainio, R</t>
  </si>
  <si>
    <t>Mishev, A.; Usoskin, I.; Raukunen, O.; Paassilta, M.; Valtonen, E.; Kocharov, L.; Vainio, R.</t>
  </si>
  <si>
    <t>First Analysis of Ground-Level Enhancement (GLE) 72 on 10 September 2017: Spectral and Anisotropy Characteristics</t>
  </si>
  <si>
    <t>SOLAR PHYSICS</t>
  </si>
  <si>
    <t>Solar cosmic rays; Energetic particles; Protons</t>
  </si>
  <si>
    <t>SOLAR ENERGETIC PARTICLES; NEUTRON MONITOR; COSMIC-RAYS; PROTON EVENTS; OCTOBER 22; ACCELERATION; FLARES; TRANSMISSIVITY; COMPUTATIONS; INJECTION</t>
  </si>
  <si>
    <t>Using data obtained with neutron monitors and space-borne instruments, we analyzed the second ground-level enhancement (GLE) of Solar Cycle 24, namely the event of 10 September 2017 (GLE 72), and derived the spectral and angular characteristics of associated GLE particles. We employed a new neutron-monitor yield function and a recently proposed model based on an optimization procedure. The method consists of simulating particle propagation in a model magnetosphere in order to derive the cutoff rigidity and neutron-monitor asymptotic directions. Subsequently, the rigidity spectrum and anisotropy of GLE particles are obtained in their dynamical evolution during the event on the basis of an inverse-problem solution. The derived angular distribution and spectra are discussed briefly.</t>
  </si>
  <si>
    <t>[Mishev, A.; Usoskin, I.] Univ Oulu, Space Climate Res Unit, Oulu, Finland; [Mishev, A.; Usoskin, I.; Kocharov, L.] Univ Oulu, Sodankyla Geophys Observ, Oulu Unit, Oulu, Finland; [Raukunen, O.; Paassilta, M.; Valtonen, E.; Vainio, R.] Univ Turku, Dept Phys &amp; Astron, Turku, Finland</t>
  </si>
  <si>
    <t>University of Oulu; University of Oulu; University of Turku</t>
  </si>
  <si>
    <t>Mishev, A (corresponding author), Univ Oulu, Space Climate Res Unit, Oulu, Finland.;Mishev, A (corresponding author), Univ Oulu, Sodankyla Geophys Observ, Oulu Unit, Oulu, Finland.</t>
  </si>
  <si>
    <t>alexander.mishev@oulu.fi; ilya.usoskin@oulu.fi</t>
  </si>
  <si>
    <t>Raukunen, Osku/KCZ-0679-2024; Vainio, Rami/A-5590-2009; Usoskin, Ilya/E-5089-2014</t>
  </si>
  <si>
    <t>Vainio, Rami/0000-0002-3298-2067; Raukunen, Osku/0000-0001-8346-5281; Mishev, Alexander/0000-0002-7184-9664; Usoskin, Ilya/0000-0001-8227-9081</t>
  </si>
  <si>
    <t>Academy of Finland [272157, 267186]; French-Italian Concordia Station (IPEV program) [n903]; French-Italian Concordia Station (PNRA Project) [LTCPAA PNRA14 00091]; project CRIPA; project CRIPA-X [304435]; Finnish Antarctic Research Program (FINNARP); Academy of Finland (AKA) [267186] Funding Source: Academy of Finland (AKA); Austrian Science Fund (FWF) [N903] Funding Source: Austrian Science Fund (FWF)</t>
  </si>
  <si>
    <t>Academy of Finland(Research Council of Finland); French-Italian Concordia Station (IPEV program); French-Italian Concordia Station (PNRA Project); project CRIPA; project CRIPA-X; Finnish Antarctic Research Program (FINNARP); Academy of Finland (AKA); Austrian Science Fund (FWF)(Austrian Science Fund (FWF))</t>
  </si>
  <si>
    <t>This work was supported by the Academy of Finland (project No. 272157, Center of Excellence ReSoLVE and project No. 267186). Operation of the DOMC/DOMB NM was possible due to support of the French-Italian Concordia Station (IPEV program n903 and PNRA Project LTCPAA PNRA14 00091), projects CRIPA and CRIPA-X No. 304435 and Finnish Antarctic Research Program (FINNARP). We acknowledge NMDB and all of the colleagues and PIs from the neutron monitor stations who kindly provided the data used in this analysis, namely Alma Ata, Apatity, Athens, Baksan, Dome C, Dourbes, Forth Smith, Inuvik, Irkutsk, Jang Bogo, Jungfraujoch, Kerguelen, Lomnicky Stit, Magadan, Mawson, Mexico City, Moscow, Nain, Newark, Oulu, Peawanuck, Potchefstroom, Rome, South Pole, Terre Adelie, Thule, Tixie.</t>
  </si>
  <si>
    <t>0038-0938</t>
  </si>
  <si>
    <t>1573-093X</t>
  </si>
  <si>
    <t>SOL PHYS</t>
  </si>
  <si>
    <t>Sol. Phys.</t>
  </si>
  <si>
    <t>10.1007/s11207-018-1354-x</t>
  </si>
  <si>
    <t>Astronomy &amp; Astrophysics</t>
  </si>
  <si>
    <t>GW0HH</t>
  </si>
  <si>
    <t>WOS:000446543700001</t>
  </si>
  <si>
    <t>Dietl, GP; Nagel-Myers, J; Aronson, RB</t>
  </si>
  <si>
    <t>Dietl, Gregory P.; Nagel-Myers, Judith; Aronson, Richard B.</t>
  </si>
  <si>
    <t>Indirect effects of climate change altered the cannibalistic behaviour of shell-drilling gastropods in Antarctica during the Eocene</t>
  </si>
  <si>
    <t>ROYAL SOCIETY OPEN SCIENCE</t>
  </si>
  <si>
    <t>cannibalism; climate change; consumer-resource interactions; durophagy; drilling predation; indirect effects</t>
  </si>
  <si>
    <t>LA MESETA FORMATION; SEYMOUR ISLAND; TEMPERATURE-DEPENDENCE; PREDATION; BIVALVES</t>
  </si>
  <si>
    <t>The fossil record from Seymour Island, Antarctic Peninsula, provides a record of biotic response to the onset of global climatic cooling during the Eocene. Using drilling traces-small, round holes preserved on prey shells-we examined the effect of a cooling pulse 41 Ma on the cannibalistic behaviour of predatory naticid gastropods. We predicted that cannibalistic attacks would decline in response to the cooling climate, reflecting reduced activity levels, energy requirements and constraints on the chemically aided drilling process of the naticids. Surprisingly, however, cannibalism frequencies did not change. This counterintuitive result is best explained by a sharp reduction in durophagous (shell-crushing) predation in shallow-benthic communities in Antarctica that also occurred as the climate cooled. Reduced durophagous predation may have created a less-risky environment for foraging naticids, stimulating cannibalistic behaviour. The change in the top-down control exerted by shell-crushing predators on naticids may have counteracted the direct, negative effects of declining temperatures on the predatory performance of naticids. Our results suggest that the long-term consequences of climate change cannot be predicted solely from its direct effects on predation, because the temperature can have large indirect effects on consumer-resource interactions, especially where risk-effects dominate.</t>
  </si>
  <si>
    <t>[Dietl, Gregory P.] Paleontol Res Inst, Ithaca, NY 14850 USA; [Dietl, Gregory P.] Cornell Univ, Dept Earth &amp; Atmospher Sci, Ithaca, NY 14853 USA; [Nagel-Myers, Judith] St Lawrence Univ, Dept Geol, Canton, NY 13617 USA; [Aronson, Richard B.] Florida Inst Technol, Dept Ocean Engn &amp; Marine Sci, Melbourne, FL 32901 USA</t>
  </si>
  <si>
    <t>Cornell University; Saint Lawrence University; Florida Institute of Technology</t>
  </si>
  <si>
    <t>Dietl, GP (corresponding author), Paleontol Res Inst, Ithaca, NY 14850 USA.;Dietl, GP (corresponding author), Cornell Univ, Dept Earth &amp; Atmospher Sci, Ithaca, NY 14853 USA.</t>
  </si>
  <si>
    <t>gpd3@cornell.edu</t>
  </si>
  <si>
    <t>Dietl, Gregory/0000-0003-1571-0868; Aronson, Richard/0000-0003-0383-3844</t>
  </si>
  <si>
    <t>U.S. National Science Foundation [ANT-0838846, ANT-1141877]; Directorate For Geosciences; Office of Polar Programs (OPP) [1141877] Funding Source: National Science Foundation</t>
  </si>
  <si>
    <t>U.S. National Science Foundation(National Science Foundation (NSF)); Directorate For Geosciences; Office of Polar Programs (OPP)(National Science Foundation (NSF)NSF - Directorate for Geosciences (GEO))</t>
  </si>
  <si>
    <t>This study was supported by grants ANT-0838846 and ANT-1141877 to R.B.A. from the U.S. National Science Foundation.</t>
  </si>
  <si>
    <t>ROYAL SOC</t>
  </si>
  <si>
    <t>6-9 CARLTON HOUSE TERRACE, LONDON SW1Y 5AG, ENGLAND</t>
  </si>
  <si>
    <t>2054-5703</t>
  </si>
  <si>
    <t>ROY SOC OPEN SCI</t>
  </si>
  <si>
    <t>R. Soc. Open Sci.</t>
  </si>
  <si>
    <t>10.1098/rsos.181446</t>
  </si>
  <si>
    <t>HB5BU</t>
  </si>
  <si>
    <t>WOS:000451073300071</t>
  </si>
  <si>
    <t>Hoffman, JI; Bauer, E; Paijmans, AJ; Humble, E; Beckmann, LM; Kubetschek, C; Christaller, F; Kröcker, N; Fuchs, B; Moreras, A; Shihlomule, YD; Bester, MN; Cleary, AC; De Bruyn, PJN; Forcada, J; Goebel, ME; Goldsworthy, SD; Guinet, C; Hoelzel, AR; Lydersen, C; Kovacs, KM; Lowther, A</t>
  </si>
  <si>
    <t>Hoffman, J., I; Bauer, E.; Paijmans, A. J.; Humble, E.; Beckmann, L. M.; Kubetschek, C.; Christaller, F.; Kroecker, N.; Fuchs, B.; Moreras, A.; Shihlomule, Y. D.; Bester, M. N.; Cleary, A. C.; De Bruyn, P. J. N.; Forcada, J.; Goebel, M. E.; Goldsworthy, S. D.; Guinet, C.; Hoelzel, A. R.; Lydersen, C.; Kovacs, K. M.; Lowther, A.</t>
  </si>
  <si>
    <t>A global cline in a colour polymorphism suggests a limited contribution of gene flow towards the recovery of a heavily exploited marine mammal</t>
  </si>
  <si>
    <t>colour polymorphism; melanocortin 1 receptor gene; population structure; fur seal; pinniped</t>
  </si>
  <si>
    <t>ANTARCTIC FUR SEALS; MELANOCORTIN 1 RECEPTOR; ARCTOCEPHALUS-GAZELLA; POPULATION-STRUCTURE; ISLAND; INFERENCE; FIDELITY</t>
  </si>
  <si>
    <t>Evaluating how populations are connected by migration is important for understanding species resilience because gene flow can facilitate recovery from demographic declines. We therefore investigated the extent to which migration may have contributed to the global recovery of the Antarctic fur seal (Arctocephalus gazella), a circumpolar distributed marine mammal that was brought to the brink of extinction by the sealing industry in the eighteenth and nineteenth centuries. It is widely believed that animals emigrating from South Georgia, where a relict population escaped sealing, contributed to the re-establishment of formerly occupied breeding colonies across the geographical range of the species. To investigate this, we interrogated a genetic polymorphism (S291F) in the melanocortin 1 receptor gene, which is responsible for a cream-coloured phenotype that is relatively abundant at South Georgia and which appears to have recently spread to localities as far afield as Marion Island in the sub-Antarctic Indian Ocean. By sequencing a short region of this gene in 1492 pups from eight breeding colonies, we showed that S291F frequency rapidly declines with increasing geographical distance from South Georgia, consistent with locally restricted gene flow from South Georgia mainly to the South Shetland Islands and Bouvetoya. The S291F allele was not detected farther afield, suggesting that although emigrants from South Georgia may have been locally important, they are unlikely to have played a major role in the recovery of geographically more distant populations.</t>
  </si>
  <si>
    <t>[Hoffman, J., I; Bauer, E.; Paijmans, A. J.; Humble, E.; Beckmann, L. M.; Kubetschek, C.; Christaller, F.; Kroecker, N.; Fuchs, B.; Moreras, A.] Bielefeld Univ, Dept Anim Behav, D-33501 Bielefeld, Germany; [Hoffman, J., I; Forcada, J.] British Antarctic Survey, Madingley Rd, Cambridge CB3 0ET, England; [Shihlomule, Y. D.; Bester, M. N.; De Bruyn, P. J. N.] Univ Pretoria, Mammal Res Inst, Dept Zool &amp; Entomol, Private Bag X20, ZA-0028 Hatfield, South Africa; [Cleary, A. C.; Lydersen, C.; Kovacs, K. M.; Lowther, A.] Norwegian Polar Res Inst, Fram Ctr, N-9296 Tromso, Norway; [Goebel, M. E.] NOAA, Antarctic Ecosyst Res Div, Southwest Fisheries Sci Ctr, Natl Marine Fisheries, 8901 La Jolla Shores Dr, La Jolla, CA 92037 USA; [Goldsworthy, S. D.] South Australian Res &amp; Dev Inst, 2 Hamra Ave, West Beach, SA 5024, Australia; [Guinet, C.] CNRS, CEBC, F-79360 Villiers En Bois, France; [Guinet, C.] Univ La Rochelle, UMR 7372, F-79360 Villiers En Bois, France; [Hoelzel, A. R.] Univ Durham, Dept Biosci, South Rd, Durham DH1 3LE, England</t>
  </si>
  <si>
    <t>University of Bielefeld; UK Research &amp; Innovation (UKRI); Natural Environment Research Council (NERC); NERC British Antarctic Survey; University of Pretoria; Norwegian Polar Institute; National Oceanic Atmospheric Admin (NOAA) - USA; South Australian Research &amp; Development Institute (SARDI); Centre National de la Recherche Scientifique (CNRS); Centre National de la Recherche Scientifique (CNRS); CNRS - Institute of Ecology &amp; Environment (INEE); La Rochelle Universite; Durham University</t>
  </si>
  <si>
    <t>Hoffman, JI (corresponding author), Bielefeld Univ, Dept Anim Behav, D-33501 Bielefeld, Germany.;Hoffman, JI (corresponding author), British Antarctic Survey, Madingley Rd, Cambridge CB3 0ET, England.</t>
  </si>
  <si>
    <t>j_i_hoffman@hotmail.com</t>
  </si>
  <si>
    <t>Bester, Marthán N/E-5387-2010; Lowther, Andrew/T-2511-2019; Forcada, Jaume/GYU-0677-2022; Paijmans, A.J./AAW-2280-2021; de Bruyn, P. J. Nico/E-4176-2010; Hoffman, Joseph/K-7725-2012</t>
  </si>
  <si>
    <t>Lowther, Andrew/0000-0003-4294-3157; Paijmans, A.J./0000-0002-5481-7337; de Bruyn, P. J. Nico/0000-0002-9114-9569; Moreras, Angela/0000-0002-5287-9075; Shihlomule, Yinhla/0000-0003-1775-9438; Hoffman, Joseph/0000-0001-5895-8949; Goldsworthy, Simon/0000-0003-4988-9085; Beckmann, Lara Maleen/0000-0002-5085-451X</t>
  </si>
  <si>
    <t>Deutsche Forschungsgemeinschaft (DFG) [HO 5122/3-1]; DFG as part of the SFB TRR [212]; Norwegian Antarctic Research Expeditions; National Research Foundation (NRF) for Marion Island research; NERC [bas0100035] Funding Source: UKRI</t>
  </si>
  <si>
    <t>Deutsche Forschungsgemeinschaft (DFG)(German Research Foundation (DFG)); DFG as part of the SFB TRR; Norwegian Antarctic Research Expeditions; National Research Foundation (NRF) for Marion Island research; NERC(UK Research &amp; Innovation (UKRI)Natural Environment Research Council (NERC))</t>
  </si>
  <si>
    <t>J.I.H., E.B., A.J.P., E.H., L.M.B., C.K., F.C., N.K., B.F. and A.M. were funded by Deutsche Forschungsgemeinschaft (DFG) standard grant no. (HO 5122/3-1) and this research was also partly funded by the DFG as part of the SFB TRR 212 (NC3, project A01). A.C.C., C.L., K.M.K. and A.L. were funded by projects from the Norwegian Antarctic Research Expeditions. The Department of Science and Technology of South Africa provided funding through the National Research Foundation (NRF) for Marion Island research. Support for the publication fee was provided by the DFG and the Open Access Publication Funds of Bielefeld University.</t>
  </si>
  <si>
    <t>10.1098/rsos.181227</t>
  </si>
  <si>
    <t>Green Published, gold, Green Submitted, Green Accepted</t>
  </si>
  <si>
    <t>WOS:000451073300064</t>
  </si>
  <si>
    <t>Kahle, EC; Holme, C; Jones, TR; Gkinis, V; Steig, EJ</t>
  </si>
  <si>
    <t>Kahle, Emma C.; Holme, Christian; Jones, Tyler R.; Gkinis, Vasileios; Steig, Eric J.</t>
  </si>
  <si>
    <t>A Generalized Approach to Estimating Diffusion Length of Stable Water Isotopes From Ice-Core Data</t>
  </si>
  <si>
    <t>JOURNAL OF GEOPHYSICAL RESEARCH-EARTH SURFACE</t>
  </si>
  <si>
    <t>water isotopes; diffusion length; firn; ice core; paleoclimate</t>
  </si>
  <si>
    <t>CONTINUOUS-FLOW ANALYSIS; RING-DOWN SPECTROSCOPY; POLAR FIRN; CLIMATE; CALIBRATION; DELTA-O-18; DELTA-H-2; RATIOS</t>
  </si>
  <si>
    <t>Diffusion of water vapor in the porous firn layer of ice sheets damps high-frequency variations in water-isotope profiles. Through spectral analysis, the amount of diffusion can be quantified as thediffusion length, the mean cumulative diffusive displacement of water molecules relative to their original location at time of deposition. In this study, we use two types of ice-core data, obtained from either continuous-flow analysis or discrete sampling, to separate diffusional effects occurring in the ice sheet from those arising through analytical processes in the laboratory. In both Greenlandic and Antarctic ice cores, some characteristics of the power spectral density of a data set depend on the water-isotope measurement process. Due to these spectral characteristics, currently established approaches for diffusion estimation do not work equally well for newer, continuously measured data sets with lower instrument noise levels. We show how smoothing within the continuous-flow analysis system can explain these spectral differences. We propose two new diffusion-estimation techniques, which can be applied to either continuously or discretely measured data sets. We evaluate these techniques and demonstrate their viability for future use. The results of this study have the potential to improve climate interpretation of ice-core records as well as models of firn densification and diffusion.</t>
  </si>
  <si>
    <t>[Kahle, Emma C.; Steig, Eric J.] Univ Washington, Dept Earth &amp; Space Sci, Seattle, WA 98195 USA; [Holme, Christian; Gkinis, Vasileios] Niels Bohr Inst, Ctr Ice &amp; Climate, Copenhagen, Denmark; [Jones, Tyler R.] Univ Colorado, Inst Arctic &amp; Alpine Res, Boulder, CO 80309 USA</t>
  </si>
  <si>
    <t>University of Washington; University of Washington Seattle; University of Copenhagen; Niels Bohr Institute; University of Colorado System; University of Colorado Boulder</t>
  </si>
  <si>
    <t>Kahle, EC (corresponding author), Univ Washington, Dept Earth &amp; Space Sci, Seattle, WA 98195 USA.</t>
  </si>
  <si>
    <t>eckahle@uw.edu</t>
  </si>
  <si>
    <t>Steig, Eric J/G-9088-2015; Gkinis, Vasileios/E-8185-2011; Holme, Christian/J-5051-2015</t>
  </si>
  <si>
    <t>Gkinis, Vasileios/0000-0002-5910-1549; Kahle, Emma/0000-0001-8216-564X; JONES, TYLER/0000-0003-1871-2105; Holme, Christian/0000-0003-2155-489X</t>
  </si>
  <si>
    <t>National Science Foundation [1443105, 1443328]; European Research Council under the European Union's Seventh Framework Programme (FP7/2007-2013) [610055]; Directorate For Geosciences; Office of Polar Programs (OPP) [1141839] Funding Source: National Science Foundation</t>
  </si>
  <si>
    <t>National Science Foundation(National Science Foundation (NSF)); European Research Council under the European Union's Seventh Framework Programme (FP7/2007-2013); Directorate For Geosciences; Office of Polar Programs (OPP)(National Science Foundation (NSF)NSF - Directorate for Geosciences (GEO))</t>
  </si>
  <si>
    <t>The research leading to these results was funded by the National Science Foundation grant 1443105 and 1443328 as well as by the European Research Council under the European Union's Seventh Framework Programme (FP7/2007-2013) grant agreement 610055 as part of the ice2ice project. The authors would like to thank Christo Buizert for initial insights into the spectral characteristics of continuous-flow ice-core data as well as Gerard Roe for useful discussions on the evaluations of fitting techniques. By the time of publication, the data used in this paper from the South Pole ice core will be accessible at the NSF Antarctic database (http://www.usap-data.org).All other data used in this study have been previously published (Gkinis, 2011; Gkinis et al., 2011, 2014; Holme et al., 2018; Jones, Cuffey, et al., 2017; Oerter et al., 2004; Steig et al., 2013; Svensson et al., 2015). The MATLAB code used for the diffusion analysis techniques is accessible at https://github.com/emmakahle/diffusion_length_estimate.git.</t>
  </si>
  <si>
    <t>2169-9003</t>
  </si>
  <si>
    <t>2169-9011</t>
  </si>
  <si>
    <t>J GEOPHYS RES-EARTH</t>
  </si>
  <si>
    <t>J. Geophys. Res.-Earth Surf.</t>
  </si>
  <si>
    <t>10.1029/2018JF004764</t>
  </si>
  <si>
    <t>HB0QN</t>
  </si>
  <si>
    <t>WOS:000450722200003</t>
  </si>
  <si>
    <t>Sandhu, JK; Rae, IJ; Freeman, MP; Forsyth, C; Gkioulidou, M; Reeves, GD; Spence, HE; Jackman, CM; Lam, MM</t>
  </si>
  <si>
    <t>Sandhu, J. K.; Rae, I. J.; Freeman, M. P.; Forsyth, C.; Gkioulidou, M.; Reeves, G. D.; Spence, H. E.; Jackman, C. M.; Lam, M. M.</t>
  </si>
  <si>
    <t>Energization of the Ring Current by Substorms</t>
  </si>
  <si>
    <t>JOURNAL OF GEOPHYSICAL RESEARCH-SPACE PHYSICS</t>
  </si>
  <si>
    <t>MAGNETOSPHERIC ION COMPOSITION; PARKER-SCKOPKE RELATION; PLASMA SHEET; INNER MAGNETOSPHERE; GEOMAGNETIC STORMS; ELECTRIC-FIELDS; ENERGY DENSITY; PARTICLE-ACCELERATION; CYCLOTRON WAVES; RADIATION BELT</t>
  </si>
  <si>
    <t>The substorm process releases large amounts of energy into the magnetospheric system, although where the energy is transferred to and how it is partitioned remains an open question. In this study, we address whether the substorm process contributes a significant amount of energy to the ring current. The ring current is a highly variable region, and understanding the energization processes provides valuable insight into how substorm-ring current coupling may contribute to the generation of storm conditions and provide a source of energy for wave driving. In order to quantify the energy input into the ring current during the substorm process, we analyze Radiation Belt Storm Probes Ion Composition Experiment and Helium Oxygen Proton Electron ion flux measurements for H+, O+, and He+. The energy content of the ring current is estimated and binned spatially for L and magnetic local time. The results are combined with an independently derived substorm event list to perform a statistical analysis of variations in the ring current energy content with substorm phase. We show that the ring current energy is significantly higher in the expansion phase compared to the growth phase, with the energy enhancement persisting into the substorm recovery phase. The characteristics of the energy enhancement suggest the injection of energized ions from the tail plasma sheet following substorm onset. The local time variations indicate a loss of energetic H+ ions in the afternoon sector, likely due to wave-particle interactions. Overall, we find that the average energy input into the ring current is similar to 9% of the previously reported energy released during substorms. Plain Language Summary The Earth's near-space environment is populated by energetic charged particles, whose motion is largely controlled by the global geomagnetic field. This region, known as the magnetosphere, is highly dynamic and variable, strongly coupled to the solar wind (a continuous stream of charged particles outflowing from the Sun). At times, the Earth's magnetic field can become highly distorted and release a large amount of energy into the magnetospheric system. This process is termed a substorm, and the release of energy has significant consequences for the structure of the region and the characteristics of the plasma within it. The amount of energy that is transferred to the magnetospheric particle population remains to be fully understood. In this study, we use spacecraft measurements of highly energetic particles observed by the Van Allen Probes between 2012 and 2017. Using a statistical approach, we quantify the magnitude of the energy input into the particle population due to a typical substorm. Furthermore, we investigate the location of the energy enhancements, providing an insight into how energy is transported throughout the magnetospheric system.</t>
  </si>
  <si>
    <t>[Sandhu, J. K.; Rae, I. J.; Forsyth, C.] UCL, Mullard Space Sci Lab, Dept Space &amp; Climate Phys, London, England; [Freeman, M. P.] British Antarctic Survey, Cambridge, England; [Gkioulidou, M.] Johns Hopkins Univ, Appl Phys Lab, Baltimore, MD 21218 USA; [Reeves, G. D.] Los Alamos Natl Lab, Los Alamos, NM USA; [Spence, H. E.] Univ New Hampshire, Inst Study Earth Oceans &amp; Space, Durham, NH 03824 USA; [Jackman, C. M.; Lam, M. M.] Univ Southampton, Dept Phys &amp; Astron, Southampton, Hants, England</t>
  </si>
  <si>
    <t>University of London; University College London; UK Research &amp; Innovation (UKRI); Natural Environment Research Council (NERC); NERC British Antarctic Survey; Johns Hopkins University; Johns Hopkins University Applied Physics Laboratory; United States Department of Energy (DOE); Los Alamos National Laboratory; University System Of New Hampshire; University of New Hampshire; University of Southampton</t>
  </si>
  <si>
    <t>Sandhu, JK (corresponding author), UCL, Mullard Space Sci Lab, Dept Space &amp; Climate Phys, London, England.</t>
  </si>
  <si>
    <t>j.sandhu@ucl.ac.uk</t>
  </si>
  <si>
    <t>Gkioulidou, Matina/G-9009-2015; Reeves, Geoffrey/E-8101-2011; Sandhu, Jasmine/AAM-9919-2021; Sandhu, Jasmine/AAU-5657-2020; Spence, Harlan E/A-1942-2011; Rae, Jonathan/D-8132-2013; Freeman, Mervyn/E-5687-2019; Forsyth, Colin/E-4159-2010</t>
  </si>
  <si>
    <t>Gkioulidou, Matina/0000-0001-9979-2164; Reeves, Geoffrey/0000-0002-7985-8098; Sandhu, Jasmine/0000-0001-6089-426X; Spence, Harlan E/0000-0002-2526-2205; Rae, Jonathan/0000-0002-2637-4786; Jackman, Caitriona/0000-0003-0635-7361; Freeman, Mervyn/0000-0002-8653-8279; Lam, Mai Mai/0000-0002-0274-6119; Forsyth, Colin/0000-0002-0026-8395</t>
  </si>
  <si>
    <t>STFC [ST/N0007722/1]; NERC [NE/L007177/1, NE/L007495/1, IRF NE/N014480/1]; JHU/APL [131803, NNN06AA01C]; Energetic Particle, Composition, and Thermal Plasma (RBSP-ECT) investigation under NASA's Prime [NAS5-01072]; NERC [NE/L006456/1, NE/N014480/1, NE/L007495/1, NE/L007177/1, bas0100031] Funding Source: UKRI; Natural Environment Research Council [NE/L006456/1] Funding Source: researchfish</t>
  </si>
  <si>
    <t>STFC(UK Research &amp; Innovation (UKRI)Science &amp; Technology Facilities Council (STFC)); NERC(UK Research &amp; Innovation (UKRI)Natural Environment Research Council (NERC)); JHU/APL; Energetic Particle, Composition, and Thermal Plasma (RBSP-ECT) investigation under NASA's Prime; NERC(UK Research &amp; Innovation (UKRI)Natural Environment Research Council (NERC)); Natural Environment Research Council(UK Research &amp; Innovation (UKRI)Natural Environment Research Council (NERC))</t>
  </si>
  <si>
    <t>J.K.S. is supported by STFC consolidated grant ST/N0007722/1 and NERC grant NE/L007495/1. I.J.R. is supported by STFC consolidated grant ST/N0007722/1 and NERC grant NE/L007495/1. C.F. is supported by NERC IRF NE/N014480/1. M.G. was supported by JHU/APL subcontract 131803 to the New Jersey Institute of Technology under NASA Prime contract NNN06AA01C. C.M.J. and M.M.L. were supported by NERC grant NE/L007177/1. The RBSPICE data used in this study are available from http://rbspice.ftecs.com. Processing and analysis of the HOPE data was supported by Energetic Particle, Composition, and Thermal Plasma (RBSP-ECT) investigation funded under NASA's Prime contract no. NAS5-01072. All RBSP-ECT data are publicly available at the Web site http://www.RBSP-ect.lanl.gov/</t>
  </si>
  <si>
    <t>2169-9380</t>
  </si>
  <si>
    <t>2169-9402</t>
  </si>
  <si>
    <t>J GEOPHYS RES-SPACE</t>
  </si>
  <si>
    <t>J. Geophys. Res-Space Phys.</t>
  </si>
  <si>
    <t>10.1029/2018JA025766</t>
  </si>
  <si>
    <t>HB4QF</t>
  </si>
  <si>
    <t>Green Published, Green Accepted, Green Submitted, hybrid</t>
  </si>
  <si>
    <t>WOS:000451038700005</t>
  </si>
  <si>
    <t>Woodger, LA; Millan, RM; Li, Z; Sample, JG</t>
  </si>
  <si>
    <t>Woodger, L. A.; Millan, R. M.; Li, Z.; Sample, J. G.</t>
  </si>
  <si>
    <t>Impact of Background Magnetic Field for EMIC Wave-Driven Electron Precipitation</t>
  </si>
  <si>
    <t>ION-CYCLOTRON WAVES; PITCH-ANGLE SCATTERING; VAN ALLEN PROBES; RELATIVISTIC ELECTRONS; GEOMAGNETIC STORMS; ENERGY-SPECTRA; MAGNETOSPHERE; PLASMAPAUSE; SIMULATION; LOSSES</t>
  </si>
  <si>
    <t>Wave-particle interaction between relativistic electrons and electromagnetic ion cyclotron (EMIC) waves is a highly debated loss process contributing to the dynamics of Earth's radiation belts. Theoretical studies show that EMIC waves can result in strong loss of relativistic electrons in the radiation belts (Summers &amp; Thorne, 2003, https://doi.org/10.1029/2002JA009489). However, many of these studies have not been validated by observations. Li et al. (2014, https://doi.org/10.1002/2014GL062273) modeled the relativistic electron precipitation observed by Balloon Array for Radiation belt Relativistic Electron Losses (BARREL) in a single-event case study based on a quasi-linear diffusion model and observations by Van Allen Probes and GOES 13. We expand upon that study to investigate the localization of the precipitation region and the effectiveness of EMIC waves as an electron loss mechanism. The model results of BARREL 1I observations on 17 January 2013 show that as the BARREL balloon drifts in local time to regions that map to lower equatorial magnetic field strength, the flux of precipitating electrons increases and peaks at lower energy. The hypothesis that the energy of the precipitating electrons is controlled by background magnetic field strength is further tested by considering observations from balloon campaigns conducted from 2000 to 2014, including BARREL. Consistent with theory for wave-particle interaction between relativistic electrons and EMIC waves, we find observationally that stronger equatorial magnetic field strength generally correlates with more energetic electron precipitation and further conclude that magnetic field strength can drive the localization and distribution of precipitating electrons.</t>
  </si>
  <si>
    <t>[Woodger, L. A.; Millan, R. M.; Li, Z.] Dartmouth Coll, Dept Phys &amp; Astron, Hanover, NH 03755 USA; [Sample, J. G.] Montana State Univ, Dept Phys, Bozeman, MT 59717 USA</t>
  </si>
  <si>
    <t>Dartmouth College; Montana State University System; Montana State University Bozeman</t>
  </si>
  <si>
    <t>Woodger, LA (corresponding author), Dartmouth Coll, Dept Phys &amp; Astron, Hanover, NH 03755 USA.</t>
  </si>
  <si>
    <t>leslie.woodger@dartmouth.edu</t>
  </si>
  <si>
    <t>Sample, John/0000-0002-9516-9292; Woodger, Leslie/0000-0001-9173-0970</t>
  </si>
  <si>
    <t>NASA [NNX08AM58G, NNX13AD65G]; National Environmental Research Council (NERC)/British Antarctic Survey; South African National Antarctic Program (SANAP); Energetic Particle, Composition, and Thermal Plasma (RBSP-ECT) investigation [NAS5-01072]; NASA Heliophysics Guest Investigator program [NNX07AG48G]; NSF Geospace Environment Modeling program [ATM0902591]; NASA [NNX13AD65G, 475678, NNX08AM58G, 94485] Funding Source: Federal RePORTER</t>
  </si>
  <si>
    <t>NASA(National Aeronautics &amp; Space Administration (NASA)); National Environmental Research Council (NERC)/British Antarctic Survey; South African National Antarctic Program (SANAP); Energetic Particle, Composition, and Thermal Plasma (RBSP-ECT) investigation; NASA Heliophysics Guest Investigator program(National Aeronautics &amp; Space Administration (NASA)); NSF Geospace Environment Modeling program; NASA(National Aeronautics &amp; Space Administration (NASA))</t>
  </si>
  <si>
    <t>The authors acknowledge NASA grant NNX08AM58G and the BARREL team for use of BARREL data. BARREL data used in this paper can be obtained through the SPEDAS software package and at CDAWeb website. The authors would like to thank the National Environmental Research Council (NERC)/British Antarctic Survey and the South African National Antarctic Program (SANAP) for their support and collaboration during the BARREL balloon campaigns. We would like to thank the Van Allen Probes teams for data provided by NASA grant NNX13AD65G, Energetic Particle, Composition, and Thermal Plasma (RBSP-ECT) investigation funded under NASA's contract no. NAS5-01072. Van Allen Probes particle data from HOPE, MagEIS, and REPT are available through the ECT Science and Data Operations website (https://rbsp-ect.lanl.gov/science/DataDirectories.php). The Plasmapause Test Particle Simulation data are supported and available through the ECT Science and Data Operations website. The simulation data are further supported by the NASA Heliophysics Guest Investigator program under NNX07AG48G and the NSF Geospace Environment Modeling program under ATM0902591. Van Allen Probes EMFISIS data can be found on the University of Iowa EMFISIS website Data Index page (https://emfisis.physics.uiowa.edu/data/index). Van Allen Probes EFW data are available at the RBSP/EFW Data website hosted by University of Minnesota (http://www.space.umn.edu/rbspefw-data/). The authors thank GOES (Space Environment Center, H. Singer) for magnetometer data. Magnetometer data used in this study were obtained from NOAA's National Centers for Environmental Information (https://www.ngdc.noaa.gov/stp/satellite/goes/dataaccess.html) and can also be found at CDAWeb website.</t>
  </si>
  <si>
    <t>10.1029/2018JA025315</t>
  </si>
  <si>
    <t>WOS:000451038700028</t>
  </si>
  <si>
    <t>Otovic, S; Riley, M; Hay, I; McKinlay, J; van den Hoff, J; Wienecke, B</t>
  </si>
  <si>
    <t>Otovic, Sasa; Riley, Madalyn; Hay, Ian; McKinlay, John; van den Hoff, John; Wienecke, Barbara</t>
  </si>
  <si>
    <t>THE ANNUAL CYCLE OF SOUTHERN GIANT PETRELS MACRONECTES GIGANTEUS IN EAST ANTARCTICA</t>
  </si>
  <si>
    <t>MARINE ORNITHOLOGY</t>
  </si>
  <si>
    <t>We report the first results from a 3-year study of the annual cycle of Southern Giant Petrels Macronectes giganteus in two colonies in East Antarctica. We tested the utility of a system of automated cameras that monitored and recorded events in the colonies year-round. Based on the collected images. we determined a detailed phenology of breeding events and activities throughout winter. The timing of some portions of the annual cycle (e.g., laying dates) were similar, whereas other aspects of the annual cycle differed between locations (e.g., pair formation and length of the non-brooding guard phase). Comparisons with other breeding locations throughout the species' range showed that lay dates vary with latitude but are synchronous at each site.</t>
  </si>
  <si>
    <t>[Otovic, Sasa; Riley, Madalyn] IMAS, 20 Castray Esplanade, Battery Point, Tas 7001, Australia; [Hay, Ian; McKinlay, John; van den Hoff, John; Wienecke, Barbara] Australian Antarctic Div, 203 Channel Highway, Kingston, Tas 7050, Australia</t>
  </si>
  <si>
    <t>Australian Antarctic Division</t>
  </si>
  <si>
    <t>Wienecke, B (corresponding author), Australian Antarctic Div, 203 Channel Highway, Kingston, Tas 7050, Australia.</t>
  </si>
  <si>
    <t>barbara.wienecke@aad.gov.au</t>
  </si>
  <si>
    <t>Australian Antarctic Division [3154, 4088]</t>
  </si>
  <si>
    <t>The development and procurement of the nest cameras was possible through the establishment of a non-science project (3154) and AAS Project 4088 supported through the Australian Antarctic Division. The commitment by Upper Atmosphere Physics engineers and expeditioners at Davis station to download and service the Hawker Island cameras, and expeditioners at Casey station to assist in deployment and retrieval of the cameras at Nelly Island, is gratefully acknowledged. Helen Achurch provided much valuable advice on use of the software and in accessing data from the Australian Antarctic Data Centre. Two referees commented on the manuscript; their advice was gratefully received.</t>
  </si>
  <si>
    <t>AFRICAN SEABIRD GROUP</t>
  </si>
  <si>
    <t>RHODES GIFT</t>
  </si>
  <si>
    <t>P. O. BOX 34113, RHODES GIFT, SOUTH AFRICA</t>
  </si>
  <si>
    <t>1018-3337</t>
  </si>
  <si>
    <t>2074-1235</t>
  </si>
  <si>
    <t>MAR ORNITHOL</t>
  </si>
  <si>
    <t>Mar. Ornithol.</t>
  </si>
  <si>
    <t>Marine &amp; Freshwater Biology; Ornithology</t>
  </si>
  <si>
    <t>Marine &amp; Freshwater Biology; Zoology</t>
  </si>
  <si>
    <t>GW3YX</t>
  </si>
  <si>
    <t>WOS:000446847400006</t>
  </si>
  <si>
    <t>Casaux, R; Bertolin, ML</t>
  </si>
  <si>
    <t>Casaux, R.; Bertolin, M. L.</t>
  </si>
  <si>
    <t>FORAGING PATTERNS OF THE ANTARCTIC SHAG PHALACROCORAX BRANSFIELDENSIS AT HARMONY POINT, ANTARCTICA</t>
  </si>
  <si>
    <t>During the 1995 and 1996 summer seasons, the foraging patterns of the Antarctic Shag Phalacrocorax bransfieldensis were studied by direct observation at Harmony Point. Nelson Island. South Shetland Islands. During pre-laying and incubation, individuals of both sexes usually foraged once a day-females early in the morning and males when their partners returned to their nests. Due to increasing energy requirements at the nest, rearing individuals increased the daily time invested in foraging activities, displaying more-but shorter-foraging trips. The reduction in the duration of the foraging trips through the breeding season suggests that Antarctic shags budget their activities to buffer variable food abundance or energy requirements at their nests. Here, we discuss the possibility of using the foraging parameters measured in this study in ecosystem monitoring programs.</t>
  </si>
  <si>
    <t>[Casaux, R.; Bertolin, M. L.] Inst Antartico Argentino, Av 25 Mayo 1143, RA-1650 Buenos Aires, DF, Argentina; [Casaux, R.] CONICET UNPSJB, Ctr Invest Esquel Montana &amp; Estepa Patagon, Roca 780, RA-9200 Esquel, Chubut, Argentina</t>
  </si>
  <si>
    <t>Instituto Antartico Argentino</t>
  </si>
  <si>
    <t>Casaux, R (corresponding author), Inst Antartico Argentino, Av 25 Mayo 1143, RA-1650 Buenos Aires, DF, Argentina.;Casaux, R (corresponding author), CONICET UNPSJB, Ctr Invest Esquel Montana &amp; Estepa Patagon, Roca 780, RA-9200 Esquel, Chubut, Argentina.</t>
  </si>
  <si>
    <t>pipocasaux@infovia.com.ar</t>
  </si>
  <si>
    <t>Laboratorio de Investigaciones en Ecologia y Sistematica Animal (LIESA) [144]</t>
  </si>
  <si>
    <t>Laboratorio de Investigaciones en Ecologia y Sistematica Animal (LIESA)</t>
  </si>
  <si>
    <t>We thank A. Baroni, M. Favero and P. Silva for their help in the field and V. Mattioli who helped with preparation of the manuscript. This is a contribution of the Laboratorio de Investigaciones en Ecologia y Sistematica Animal (LIESA) No 144. D. Ainley and D. Gremillet provided helpful comments on the manuscript.</t>
  </si>
  <si>
    <t>WOS:000446847400011</t>
  </si>
  <si>
    <t>Bland, EC; Heino, E; Kosch, MJ; Partamies, N</t>
  </si>
  <si>
    <t>Bland, Emma C.; Heino, Erkka; Kosch, Michael J.; Partamies, Noora</t>
  </si>
  <si>
    <t>SuperDARN Radar-Derived HF Radio Attenuation During the September 2017 Solar Proton Events</t>
  </si>
  <si>
    <t>SPACE WEATHER-THE INTERNATIONAL JOURNAL OF RESEARCH AND APPLICATIONS</t>
  </si>
  <si>
    <t>POLAR-CAP ABSORPTION; NETWORK SUPERDARN; SPACE WEATHER; BACKSCATTER; IONOSPHERE; RIOMETER; CUTLASS; DEPENDENCE; MORPHOLOGY; WAVES</t>
  </si>
  <si>
    <t>Two solar proton events in September 2017 had a significant impact on the operation of the Super Dual Auroral Radar Network (SuperDARN), a global network of high-frequency (HF) radars designed for observing F region ionospheric plasma convection. Strong polar cap absorption caused near-total loss of radar backscatter, which prevented the primary SuperDARN data products from being determined for a period of several days. During this interval, the high-latitude and polar cap radars measured unusually low levels of background atmospheric radio noise. We demonstrate that these background noise measurements can be used to observe the spatial and temporal evolution of the polar cap absorption region, using an approach similar to riometry. We find that the temporal evolution of the SuperDARN radar-derived HF attenuation closely follows that of the cosmic noise absorption measured by a riometer. Attenuation of the atmospheric noise up to 10 dB at 12 MHz is measured within the northern polar cap, and up to 14 dB in the southern polar cap, which is consistent with the observed backscatter loss. Additionally, periods of enhanced attenuation lasting 2-4 hr are detected by the midlatitude radars in response to M- and X-class solar flares. Our results demonstrate that SuperDARN's routine measurements of atmospheric radio noise can be used to monitor 8- to 20-MHz radio attenuation from middle to polar latitudes, which may be used to supplement riometer data and also to investigate the causes of SuperDARN backscatter loss during space weather events. Plain Language Summary Solar proton events are known to cause widespread disruption to high-frequency (HF) radio communications in the high-latitude and polar regions. We demonstrate that SuperDARN HF radars may be used to monitor HF radio wave attenuation during solar proton events using routine measurements of the background radio noise. These background noise measurements are produced as part of the radar data processing, but they are not normally used for science applications. We focus on two solar proton events, which occurred in September 2017, and find that the measured radio attenuation is confined to the polar cap and exhibits temporal and spatial properties that are characteristic of polar cap absorption events. The attenuation measured by the Rankin Inlet SuperDARN radar agrees well with measurements from a nearby riometer, indicating that reasonable estimates of the HF radio attenuation can be obtained from SuperDARN radars despite the high day-to-day variability of the atmospheric radio noise. Our technique may also prove useful for determining the reasons for backscatter loss, particularly when riometer data are not available.</t>
  </si>
  <si>
    <t>[Bland, Emma C.; Partamies, Noora] Birkeland Ctr Space Sci, Bergen, Norway; [Bland, Emma C.; Heino, Erkka; Partamies, Noora] Univ Ctr Svalbard, Dept Arctic Geophys, Longyearbyen, Norway; [Heino, Erkka] Univ Tromso, Dept Phys &amp; Technol, Tromso, Norway; [Kosch, Michael J.] Univ Lancaster, Phys Dept, Lancaster, England; [Kosch, Michael J.] South African Natl Space Agcy, Hermanus, South Africa; [Kosch, Michael J.] Univ Western Cape, Dept Phys &amp; Astron, Bellville, South Africa</t>
  </si>
  <si>
    <t>University Centre Svalbard (UNIS); UiT The Arctic University of Tromso; Lancaster University; University of the Western Cape</t>
  </si>
  <si>
    <t>Bland, EC (corresponding author), Birkeland Ctr Space Sci, Bergen, Norway.;Bland, EC (corresponding author), Univ Ctr Svalbard, Dept Arctic Geophys, Longyearbyen, Norway.</t>
  </si>
  <si>
    <t>emmab@unis.no</t>
  </si>
  <si>
    <t>Bland, Emma/JAC-6039-2023; Partamies, Noora/G-3408-2014</t>
  </si>
  <si>
    <t>Bland, Emma/0000-0002-0252-0400; Kosch, Michael Jurgen/0000-0003-2846-3915; Heino, Erkka/0000-0002-8627-9318</t>
  </si>
  <si>
    <t>Research Council of Norway/CoE [223252/F50]; Canadian Space Agency; NERC [NE/K01207X/1] Funding Source: UKRI</t>
  </si>
  <si>
    <t>Research Council of Norway/CoE; Canadian Space Agency(Canadian Space Agency); NERC(UK Research &amp; Innovation (UKRI)Natural Environment Research Council (NERC))</t>
  </si>
  <si>
    <t>This study was supported by the Research Council of Norway/CoE under contract 223252/F50. The SuperDARN data were obtained from the British Antarctic Survey data mirror (https://www.bas.ac.uk/project/superdarn).SuperDARN is a collection of radars funded by the national scientific funding agencies of Australia, Canada, China, France, Japan, Norway, South Africa, United Kingdom, and United States of America. The GO Canada (previously NORSTAR) riometer array is operated by the University of Calgary with financial support from the Canadian Space Agency. All riometer data are openly available from data.phys.ucalgary.ca. The authors also acknowledge NOAA for the GOES proton flux data (https://www.ngdc.noaa.gov/stp/satellite/goes/dataaccess.html).</t>
  </si>
  <si>
    <t>1542-7390</t>
  </si>
  <si>
    <t>SPACE WEATHER</t>
  </si>
  <si>
    <t>Space Weather</t>
  </si>
  <si>
    <t>10.1029/2018SW001916</t>
  </si>
  <si>
    <t>Astronomy &amp; Astrophysics; Geochemistry &amp; Geophysics; Meteorology &amp; Atmospheric Sciences</t>
  </si>
  <si>
    <t>HA6TY</t>
  </si>
  <si>
    <t>WOS:000450414100002</t>
  </si>
  <si>
    <t>Glauert, SA; Horne, RB; Meredith, NP</t>
  </si>
  <si>
    <t>Glauert, S. A.; Horne, R. B.; Meredith, N. P.</t>
  </si>
  <si>
    <t>A 30-Year Simulation of the Outer Electron Radiation Belt</t>
  </si>
  <si>
    <t>EARTHS INNER MAGNETOSPHERE; RELATIVISTIC ELECTRONS; GEOMAGNETIC STORMS; PITCH-ANGLE; GEOSYNCHRONOUS ORBIT; SCATTERING LOSS; ACCELERATION; DIFFUSION; CHORUS; DYNAMICS</t>
  </si>
  <si>
    <t>As society becomes more reliant on satellite technology, it is becoming increasingly important to understand the radiation environment throughout the Van Allen radiation belts. Historically most satellites have operated in low Earth orbit or geostationary orbit (GEO), but there are now over 100 satellites in medium Earth orbit (MEO). Additionally, satellites using electric orbit raising to reach GEO may spend hundreds of days on orbits that pass through the heart of the radiation belts. There is little long-term data on the high-energy electron flux, responsible for internal charging in satellites, available for MEO. Here we simulate the electron flux between the outer edge of the inner belt and GEO for 30 years. We present a method that converts the &gt;2-MeV flux measured at GEO by the Geostationary Operational Environmental Satellites spacecraft into a differential flux spectrum to provide an outer boundary condition. The resulting simulation is validated using independent measurements made by the Galileo In-Orbit Validation Element-B spacecraft; correlation coefficients are in the range 0.72 to 0.88, and skill scores are between 0.6 and 0.8 for a range of L* and energies. The results show a clear solar cycle variation and filling of the slot region during active conditions and that the worst case spectrum overlaps that derived independently for the limiting extreme event. The simulation provides a resource that can be used by satellite designers to understand the MEO environment, by space insurers to help resolve the cause of anomalies and by satellite operators to plan for the environmental extremes.</t>
  </si>
  <si>
    <t>[Glauert, S. A.; Horne, R. B.; Meredith, N. P.] British Antarctic Survey, Cambridge, England</t>
  </si>
  <si>
    <t>UK Research &amp; Innovation (UKRI); Natural Environment Research Council (NERC); NERC British Antarctic Survey</t>
  </si>
  <si>
    <t>Glauert, SA (corresponding author), British Antarctic Survey, Cambridge, England.</t>
  </si>
  <si>
    <t>sagl@bas.ac.uk</t>
  </si>
  <si>
    <t>Meredith, Nigel P/C-5806-2018; Horne, Richard B/U-3764-2019</t>
  </si>
  <si>
    <t>Horne, Richard B/0000-0002-0412-6407; Meredith, Nigel/0000-0001-5032-3463</t>
  </si>
  <si>
    <t>Natural Environment Research Council (NERC) Highlight Topic grant [NE/P01738X/1]; National and Public Good activity grant [NE/R016445/1]; European Union [606716 SPACESTORM]; NERC [bas0100031, NE/R016445/1, NE/P01738X/1] Funding Source: UKRI</t>
  </si>
  <si>
    <t>Natural Environment Research Council (NERC) Highlight Topic grant(UK Research &amp; Innovation (UKRI)Natural Environment Research Council (NERC)); National and Public Good activity grant; European Union(European Union (EU)); NERC(UK Research &amp; Innovation (UKRI)Natural Environment Research Council (NERC))</t>
  </si>
  <si>
    <t>We would like to thank Hugh Evans from ESTEC for useful discussions and for providing the GIOVE-B SREM data and the ROSETTA SREM response functions. Also, the Giove-B team at ESA and the EU for embarking the SREM and supporting the provi sion of the data. This research was supported by the Natural Environment Research Council (NERC) Highlight Topic grant NE/P01738X/1 (Rad-Sat), the National and Public Good activity grant NE/R016445/1, and the European Union Seventh Framework Programme (FP7/2007-433 2013) under grant agreement 606716 SPACESTORM. The GOES data were obtained from the NOAA data archive (http://satdat.ngdc.noaa.gov/sem/goes/data/new_avg/).The Kp index and the 27-day sunspot number were obtained from the OMNIWeb service provided by the Space Physics Data Facility at the Goddard Space Flight Center (http://omniweb.gsfc.nasa.gov/).The results and data shown in this paper can be downloaded from the UK Polar Data Centre at https://data.bas.ac.uk/(https://doi.org/10.5285/a8c58ad1-6cb6-42a8-8020-2f5c5e4c658f).</t>
  </si>
  <si>
    <t>10.1029/2018SW001981</t>
  </si>
  <si>
    <t>hybrid, Green Accepted</t>
  </si>
  <si>
    <t>WOS:000450414100005</t>
  </si>
  <si>
    <t>Barichievy, C; Angeler, DG; Eason, T; Garmestani, AS; Nash, KL; Stow, CA; Sundstrom, S; Allen, CR</t>
  </si>
  <si>
    <t>Barichievy, Chris; Angeler, David G.; Eason, Tarsha; Garmestani, Ahjond S.; Nash, Kirsty L.; Stow, Craig A.; Sundstrom, Shana; Allen, Craig R.</t>
  </si>
  <si>
    <t>A method to detect discontinuities in census data</t>
  </si>
  <si>
    <t>ECOLOGY AND EVOLUTION</t>
  </si>
  <si>
    <t>discontinuities; discontinuity detector; ecosystem management; resilience</t>
  </si>
  <si>
    <t>CROSS-SCALE RESILIENCE; ECOLOGICAL RESILIENCE; SIZE DISTRIBUTIONS; COMPLEX-SYSTEMS; BODY-SIZE; FUNCTIONAL RICHNESS; ECOSYSTEMS; PATTERNS; GEOMORPHOLOGY; ORGANIZATION</t>
  </si>
  <si>
    <t>The distribution of pattern across scales has predictive power in the analysis of complex systems. Discontinuity approaches remain a fruitful avenue of research in the quest for quantitative measures of resilience because discontinuity analysis provides an objective means of identifying scales in complex systems and facilitates delineation of hierarchical patterns in processes, structure, and resources. However, current discontinuity methods have been considered too subjective, too complicated and opaque, or have become computationally obsolete; given the ubiquity of discontinuities in ecological and other complex systems, a simple and transparent method for detection is needed. In this study, we present a method to detect discontinuities in census data based on resampling of a neutral model and provide the R code used to run the analyses. This method has the potential for advancing basic and applied ecological research.</t>
  </si>
  <si>
    <t>[Barichievy, Chris] Zool Soc London, Regents Pk, London, England; [Barichievy, Chris] Univ Cape Town, Inst Communities &amp; Wildlife Africa, Cape Town, South Africa; [Angeler, David G.] Swedish Univ Agr Sci, Dept Aquat Sci &amp; Assessment, Uppsala, Sweden; [Eason, Tarsha; Garmestani, Ahjond S.] US EPA, Off Res &amp; Dev, Natl Risk Management Res Lab, Cincinnati, OH 45268 USA; [Nash, Kirsty L.] Ctr Marine Socioecol, Hobart, Tas, Australia; [Nash, Kirsty L.] Univ Tasmania, Inst Marine &amp; Antarctic Studies, Hobart, Tas, Australia; [Stow, Craig A.] NOAA, Great Lakes Environm Res Lab, 2205 Commonwealth Blvd, Ann Arbor, MI 48105 USA; [Sundstrom, Shana] Univ Nebraska, Sch Nat Resources, Lincoln, NE USA; [Allen, Craig R.] Univ Nebraska, US Geol Survey, Nebraska Cooperat Fish &amp; Wildlife Res Unit, Lincoln, NE USA</t>
  </si>
  <si>
    <t>Zoological Society of London; University of Cape Town; Swedish University of Agricultural Sciences; United States Environmental Protection Agency; University of Tasmania; National Oceanic Atmospheric Admin (NOAA) - USA; University of Nebraska System; University of Nebraska Lincoln; University of Nebraska System; University of Nebraska Lincoln; United States Department of the Interior; United States Geological Survey</t>
  </si>
  <si>
    <t>Barichievy, C (corresponding author), Zool Soc London, Regents Pk, London, England.</t>
  </si>
  <si>
    <t>cbarichievy@gmail.com</t>
  </si>
  <si>
    <t>Allen, Craig R/J-4464-2012; Nash, Kirsty L/B-5456-2015; Garmestani, Ahjond/AAJ-3695-2020; Stow, Craig/AAG-8109-2020</t>
  </si>
  <si>
    <t>Nash, Kirsty L/0000-0003-0976-3197; Garmestani, Ahjond/0000-0001-5678-7293; Eason, Tarsha/0000-0001-9881-3293; Sundstrom, Shana/0000-0003-0823-8008; Stow, Craig/0000-0001-6171-7855</t>
  </si>
  <si>
    <t>United States Geological Survey; Nebraska Game and Parks Commission; United States Fish and Wildlife Service; Wildlife Management Institute; University of Nebraska Lincoln</t>
  </si>
  <si>
    <t>United States Geological Survey(United States Geological Survey); Nebraska Game and Parks Commission; United States Fish and Wildlife Service(US Fish &amp; Wildlife Service); Wildlife Management Institute; University of Nebraska Lincoln</t>
  </si>
  <si>
    <t>United States Geological Survey; Nebraska Game and Parks Commission; University of Nebraska Lincoln; United States Fish and Wildlife Service; Wildlife Management Institute</t>
  </si>
  <si>
    <t>2045-7758</t>
  </si>
  <si>
    <t>ECOL EVOL</t>
  </si>
  <si>
    <t>Ecol. Evol.</t>
  </si>
  <si>
    <t>10.1002/ece3.4297</t>
  </si>
  <si>
    <t>Ecology; Evolutionary Biology</t>
  </si>
  <si>
    <t>Environmental Sciences &amp; Ecology; Evolutionary Biology</t>
  </si>
  <si>
    <t>GY7PA</t>
  </si>
  <si>
    <t>Green Published, gold, Green Accepted</t>
  </si>
  <si>
    <t>WOS:000448803000005</t>
  </si>
  <si>
    <t>Matul, A; Barash, MS; Khusid, TA; Behera, P; Tiwari, M</t>
  </si>
  <si>
    <t>Matul, Alexander; Barash, Max S.; Khusid, Tatyana A.; Behera, Padmasini; Tiwari, Manish</t>
  </si>
  <si>
    <t>Paleoenvironment Variability during Termination I at the Reykjanes Ridge, North Atlantic</t>
  </si>
  <si>
    <t>GEOSCIENCES</t>
  </si>
  <si>
    <t>global warming and environmental change; Late Quaternary paleoenvironments; Termination I; sea-water paleotemperature; marine microfossils; North Atlantic; stable isotopes</t>
  </si>
  <si>
    <t>SURFACE SEDIMENTS; FORAMINIFERA; DEGLACIATION; HEMISPHERE; CLIMATE; SEA; PHYTODETRITUS; RADIOLARIANS; TEMPERATURE; CIRCULATION</t>
  </si>
  <si>
    <t>The micropaleontological study (radiolarians and foraminifera) of the sediment core AMK-340, Reykjanes Ridge, North Atlantic, combined with the radiocarbon dating and oxygen and carbon isotopic record, provided data for the reconstruction of the summer paleotemperature across the upper 100 meters water depth range, and paleoenvironments during the Termination I in the age interval of 14.5-8 ka. The response of the main microfossil species to the paleoceanographic changes within the BOlling-AllerOd (BA) warming, the Younger Dryas (YD) cold event and final transition to the warm Holocene, was different. The BA warming was well captured by the radiolarian and benthic foraminiferal records, but not the planktic one. The high abundances of the cold-water radiolarian species Amphimelissa setosa as a Greenland/Iceland Sea indicator marked a cooling at the end of the BA and at the start of the YD at 13.2-12.3 ka. The micropaleontological and isotopic data together with the paleotemperature estimates for the Reykjanes Ridge at 60 degrees N document that, after the warm BA, the middle YD ca. 12.5-12.2 ka was the next significant step toward the Holocene warming. The start of the Holocene interglacial conditions was reflected in large representation of the microfossils being indicators of the open boreal North Atlantic environments indicating increasing warmth.</t>
  </si>
  <si>
    <t>[Matul, Alexander; Barash, Max S.; Khusid, Tatyana A.] Russian Acad Sci, Shirshov Inst Oceanol, Nahimovskiy Prospekt 36, Moscow 117997, Russia; [Behera, Padmasini; Tiwari, Manish] Natl Ctr Antarctic &amp; Ocean Res, Vasco Da Gama 403804, Goa, India</t>
  </si>
  <si>
    <t>Russian Academy of Sciences; Shirshov Institute of Oceanology; Ministry of Earth Sciences (MoES) - India; National Centre for Polar and Ocean Research (NCPOR)</t>
  </si>
  <si>
    <t>Matul, A (corresponding author), Russian Acad Sci, Shirshov Inst Oceanol, Nahimovskiy Prospekt 36, Moscow 117997, Russia.</t>
  </si>
  <si>
    <t>amatul@mail.ru; barashms@yandex.ru; tkhusid@mail.ru; pbehera@ncaor.gov.in; manish@ncaor.gov.in</t>
  </si>
  <si>
    <t>; Matul, Alexander/O-9399-2015</t>
  </si>
  <si>
    <t>Tiwari, Manish/0000-0003-3143-1658; Matul, Alexander/0000-0002-4321-5891</t>
  </si>
  <si>
    <t>Russian Science Foundation [16-47-02009]; Department of Science and Technology of the Ministry of Science and Technology of India [16-47-02009]; National Centre for Antarctic and Ocean Research (NCAOR), Goa, Ministry of Earth Sciences; Russian Agency of the Scientific Organization [0149-2018-0016]; Russian Science Foundation [16-47-02009] Funding Source: Russian Science Foundation</t>
  </si>
  <si>
    <t>Russian Science Foundation(Russian Science Foundation (RSF)); Department of Science and Technology of the Ministry of Science and Technology of India; National Centre for Antarctic and Ocean Research (NCAOR), Goa, Ministry of Earth Sciences; Russian Agency of the Scientific Organization; Russian Science Foundation(Russian Science Foundation (RSF))</t>
  </si>
  <si>
    <t>This research was funded by the Russian Science Foundation and Department of Science and Technology of the Ministry of Science and Technology of India, Joint Project No. 16-47-02009. The funds for the same were extended by National Centre for Antarctic and Ocean Research (NCAOR), Goa, Ministry of Earth Sciences. Funding of the work on the initial micropaleontological data was from the Russian Agency of the Scientific Organization, Project No 0149-2018-0016 for the Shirshov Institute of Oceanology, Moscow, Russia.</t>
  </si>
  <si>
    <t>2076-3263</t>
  </si>
  <si>
    <t>Geosciences</t>
  </si>
  <si>
    <t>10.3390/geosciences8100375</t>
  </si>
  <si>
    <t>GY4QN</t>
  </si>
  <si>
    <t>Green Submitted, gold</t>
  </si>
  <si>
    <t>WOS:000448548800021</t>
  </si>
  <si>
    <t>Sayers, CM</t>
  </si>
  <si>
    <t>Sayers, Colin M.</t>
  </si>
  <si>
    <t>Elastic anisotropy of polycrystalline ice with transversely isotropic and orthotropic symmetry</t>
  </si>
  <si>
    <t>GEOPHYSICAL JOURNAL INTERNATIONAL</t>
  </si>
  <si>
    <t>Ice; glaciology; anisotropy; elastic stiffness; fabric; crystal orientation distribution function; ice physics; polycrystal</t>
  </si>
  <si>
    <t>ANTARCTIC ICE; SEISMIC ANISOTROPY; WAVE VELOCITIES; BYRD-STATION; CORE; CONSTANTS; FABRICS; MEDIA; SHEET; ORIENTATION</t>
  </si>
  <si>
    <t>Ice crystals in glaciers and ice sheets have hexagonal crystallographic symmetry, and are mechanically anisotropic. A preferred orientation of ice crystals develops as stress increases, and this is important for understanding and modeling glaciers and ice sheets. The elastic stiffness tensor of a polycrystalline aggregate of ice crystals is expressed in terms of the coefficients in an expansion of the crystal orientation distribution function in generalized Legendre functions. Expressions for the components of the elastic stiffness tensor in terms of these coefficients allow information on the crystal orientation distribution function to be obtained from elastic wave velocity measurements, without the need to assume a particular idealized fabric. This approach enables more complete information on the orientation distribution function to be determined from ultrasonic, sonic and seismic data. Application of the method to published ultrasonic velocity measurements on samples from the Dye 3, Greenland, deep ice core shows that a description of the ice fabric in terms of a second-rank fabric tensor is insufficient to describe the elastic anisotropy of polycrystalline ice.</t>
  </si>
  <si>
    <t>cmsayers@gmail.com</t>
  </si>
  <si>
    <t>Sayers, Colin M/D-5340-2009</t>
  </si>
  <si>
    <t>Sayers, Colin M/0000-0002-2839-4238</t>
  </si>
  <si>
    <t>0956-540X</t>
  </si>
  <si>
    <t>1365-246X</t>
  </si>
  <si>
    <t>GEOPHYS J INT</t>
  </si>
  <si>
    <t>Geophys. J. Int.</t>
  </si>
  <si>
    <t>10.1093/gji/ggy274</t>
  </si>
  <si>
    <t>GY0WB</t>
  </si>
  <si>
    <t>WOS:000448242600010</t>
  </si>
  <si>
    <t>Chen, Z; Bromirski, PD; Gerstoft, P; Stephen, RA; Wiens, DA; Aster, RC; Nyblade, AA</t>
  </si>
  <si>
    <t>Chen, Zhao; Bromirski, Peter D.; Gerstoft, Peter; Stephen, Ralph A.; Wiens, Douglas A.; Aster, Richard C.; Nyblade, Andrew A.</t>
  </si>
  <si>
    <t>Ocean-excited plate waves in the Ross and Pine Island Glacier ice shelves</t>
  </si>
  <si>
    <t>JOURNAL OF GLACIOLOGY</t>
  </si>
  <si>
    <t>beamforming; cross-correlation; flexural-gravity waves; ice; ocean interactions; ice shelves; particle motion; plate waves</t>
  </si>
  <si>
    <t>NOISE CROSS-CORRELATION; POLARIZATION ANALYSIS; INFRAGRAVITY WAVES; WEST ANTARCTICA; PROPAGATION; SURFACE; TSUNAMI</t>
  </si>
  <si>
    <t>Ice shelves play an important role in buttressing land ice from reaching the sea, thus restraining the rate of grounded ice loss. Long-period gravity-wave impacts excite vibrations in ice shelves that can expand pre-existing fractures and trigger iceberg calving. To investigate the spatial amplitude variability and propagation characteristics of these vibrations, a 34-station broadband seismic array was deployed on the Ross Ice Shelf (RIS) from November 2014 to November 2016. Two types of ice-shelf plate waves were identified with beamforming: flexural-gravity waves and extensional Lamb waves. Below 20 mHz, flexural-gravity waves dominate coherent signals across the array and propagate landward from the ice front at close to shallow-water gravity-wave speeds (similar to 70 m s(-1)). In the 20-100 mHz band, extensional Lamb waves dominate and propagate at phase speeds similar to 3 km s(-1). Flexural-gravity and extensional Lamb waves were also observed by a 5-station broadband seismic array deployed on the Pine Island Glacier (PIG) ice shelf from January 2012 to December 2013, with flexural wave energy, also detected at the PIG in the 20-100 mHz band. Considering the ubiquitous presence of storm activity in the Southern Ocean and the similar observations at both the RIS and the PIG ice shelves, it is likely that most, if not all, West Antarctic ice shelves are subjected to similar gravity-wave excitation.</t>
  </si>
  <si>
    <t>[Chen, Zhao; Bromirski, Peter D.; Gerstoft, Peter] Univ Calif San Diego, Scripps Inst Oceanog, La Jolla, CA 92093 USA; [Stephen, Ralph A.] Woods Hole Oceanog Inst, Woods Hole, MA 02543 USA; [Wiens, Douglas A.] Washington Univ, Dept Earth &amp; Planetary Sci, St Louis, MO 63130 USA; [Aster, Richard C.] Colorado State Univ, Dept Geosci, Ft Collins, CO 80523 USA; [Aster, Richard C.] Colorado State Univ, Warner Coll Nat Resources, Ft Collins, CO 80523 USA; [Nyblade, Andrew A.] Penn State Univ, Dept Geosci, University Pk, PA 16802 USA</t>
  </si>
  <si>
    <t>University of California System; University of California San Diego; Scripps Institution of Oceanography; Woods Hole Oceanographic Institution; Washington University (WUSTL); Colorado State University; Colorado State University; Pennsylvania Commonwealth System of Higher Education (PCSHE); Pennsylvania State University; Pennsylvania State University - University Park</t>
  </si>
  <si>
    <t>Chen, Z (corresponding author), Univ Calif San Diego, Scripps Inst Oceanog, La Jolla, CA 92093 USA.</t>
  </si>
  <si>
    <t>zhc031@ucsd.edu</t>
  </si>
  <si>
    <t>Aster, Richard/E-5067-2013; Gerstoft, Peter/B-2842-2009; Wiens, Douglas/J-9259-2016</t>
  </si>
  <si>
    <t>Aster, Richard/0000-0002-0821-4906; Gerstoft, Peter/0000-0002-0471-062X; Wiens, Douglas/0000-0002-5169-4386</t>
  </si>
  <si>
    <t>NSF [PLR-1142518, 1141916, 1142126, PLR 1246151, PLR-1246416]; National Science Foundation [EAR-1261681]; DOE National Nuclear Security Administration; Office of Polar Programs (OPP); Directorate For Geosciences [1142126] Funding Source: National Science Foundation; Office of Polar Programs (OPP); Directorate For Geosciences [1141916] Funding Source: National Science Foundation</t>
  </si>
  <si>
    <t>NSF(National Science Foundation (NSF)); National Science Foundation(National Science Foundation (NSF)); DOE National Nuclear Security Administration(National Nuclear Security AdministrationUnited States Department of Energy (DOE)); Office of Polar Programs (OPP); Directorate For Geosciences(National Science Foundation (NSF)NSF - Directorate for Geosciences (GEO)); Office of Polar Programs (OPP); Directorate For Geosciences(National Science Foundation (NSF)NSF - Directorate for Geosciences (GEO))</t>
  </si>
  <si>
    <t>Bromirski, Gerstoft, Chen and Diez were supported by NSF grant PLR 1246151. Stephen was supported by NSF grant PLR-1246416. Wiens, Aster and Nyblade were supported under NSF grants PLR-1142518, 1141916 and 1142126, respectively. Seismic instruments and on-ice installation support were provided by the Incorporated Research Institutions for Seismology (IRIS) through the PASSCAL Instrument Center at New Mexico Tech. The RIS and PIG ice shelf seismic data are archived at the IRIS Data Management Center, http://ds.iris.edu/ds/nodes/dmc/, with network code XH and XC, respectively. The facilities of the IRIS Consortium are supported by the National Science Foundation under Cooperative Agreement EAR-1261681 and the DOE National Nuclear Security Administration. We thank Helen Fricker and two reviewers for helpful comments. We thank Patrick Shore, Michael Baker, Cai Chen, Robert Anthony, Reinhard Flick, Jerry Wanetick, Weisen Shen and Tsitsi Madziwa Nussinov for their help with field operations. Logistical support from the US Antarctica Program in McMurdo was critical and is much appreciated.</t>
  </si>
  <si>
    <t>EDINBURGH BLDG, SHAFTESBURY RD, CB2 8RU CAMBRIDGE, ENGLAND</t>
  </si>
  <si>
    <t>0022-1430</t>
  </si>
  <si>
    <t>1727-5652</t>
  </si>
  <si>
    <t>J GLACIOL</t>
  </si>
  <si>
    <t>J. Glaciol.</t>
  </si>
  <si>
    <t>10.1017/jog.2018.66</t>
  </si>
  <si>
    <t>GY1OZ</t>
  </si>
  <si>
    <t>gold, Green Published</t>
  </si>
  <si>
    <t>WOS:000448302400004</t>
  </si>
  <si>
    <t>Wongpan, P; Prior, DJ; Langhorne, PJ; Lilly, K; Smith, IJ</t>
  </si>
  <si>
    <t>Wongpan, Pat; Prior, David J.; Langhorne, Patricia J.; Lilly, Katherine; Smith, Inga J.</t>
  </si>
  <si>
    <t>Using electron backscatter diffraction to measure full crystallographic orientation in Antarctic land-fast sea ice</t>
  </si>
  <si>
    <t>crystal growth; glaciological instruments and methods; ice crystal studies; sea ice-ice shelf interactions</t>
  </si>
  <si>
    <t>PLATELET ICE; MCMURDO SOUND; CRYSTALS; SHELF; WATER; EBSD; MISORIENTATIONS; DISTRIBUTIONS; PARTICLES; EVOLUTION</t>
  </si>
  <si>
    <t>We have mapped the full crystallographic orientation of sea ice using electron backscatter diffraction (EBSD). This is the first time EBSD has been used to study sea ice. Platelet ice is a feature of sea ice near ice shelves. Ice crystals accumulate as an unconsolidated sub-ice platelet layer beneath the columnar ice (CI), where they are subsumed by the advancing sea-ice interface to form incorporated platelet ice (PI). As is well known, in CI the crystal preferred orientation comprises dominantly horizontal c-axes, while PI has c-axes varying between horizontal and vertical. For the first time, this study shows the a-axes of CI and PI are not random. Misorientation analysis has been used to illuminate the possible drivers of these alignments. In CI the misorientation angle distribution from random pairs and neighbour pairs of grains are indistinguishable, indicating the distributions are a consequence of crystal preferred orientation. Geometric selection during growth will develop the a-axis alignment in CI if ice growth in water is fastest parallel to the a-axis, as has previously been hypothesised. In contrast, in PI random-pair and neighbour-pair misorientation distributions are significantly different, suggesting mechanical rotation of crystals at grain boundaries as the most likely explanation.</t>
  </si>
  <si>
    <t>[Wongpan, Pat; Langhorne, Patricia J.; Smith, Inga J.] Univ Otago, Dept Phys, 730 Cumberland St, Dunedin 9016, New Zealand; [Prior, David J.; Lilly, Katherine] Univ Otago, Dept Geol, 360 Leith St, Dunedin 9016, New Zealand</t>
  </si>
  <si>
    <t>University of Otago; University of Otago</t>
  </si>
  <si>
    <t>Wongpan, P (corresponding author), Univ Otago, Dept Phys, 730 Cumberland St, Dunedin 9016, New Zealand.</t>
  </si>
  <si>
    <t>pat.wongpan@postgrad.otago.ac.nz</t>
  </si>
  <si>
    <t>Wongpan, Pat/AAX-6946-2020; Langhorne, Pat/C-3539-2018</t>
  </si>
  <si>
    <t>Wongpan, Pat/0000-0002-7113-8221; Langhorne, Pat/0000-0003-0239-7657; Prior, David/0000-0002-4653-2112</t>
  </si>
  <si>
    <t>Marsden Fund [UOO1116]; University of Otago Research Grants [110282, 112061]; New Zealand Deep South National Science Challenge; University of Otago Postgraduate Scholarship; EPSRC [EP/K032208/1]; University of Otago Research Grant [110312]</t>
  </si>
  <si>
    <t>Marsden Fund(Royal Society of New ZealandMarsden Fund (NZ)); University of Otago Research Grants; New Zealand Deep South National Science Challenge; University of Otago Postgraduate Scholarship; EPSRC(UK Research &amp; Innovation (UKRI)Engineering &amp; Physical Sciences Research Council (EPSRC)); University of Otago Research Grant</t>
  </si>
  <si>
    <t>We gratefully acknowledge Ken Hughes for the sea-ice core. We are grateful to Greg Leonard for useful workshops for PW on producing the Antarctic map and Felix Ng for useful discussions. This study was supported by Marsden Fund grant UOO1116, University of Otago Research Grants #110282, 112061, a sub-contract Antarctic and High Latitude Climate to NIWA and the New Zealand Deep South National Science Challenge. PW was supported by a University of Otago Postgraduate Scholarship. PJL enjoyed the support and hospitality of the Isaac Newton Institute for Mathematical Sciences, Cambridge during the Mathematics of Sea Ice Phenomena (supported by EPSRC grant no EP/K032208/1). IJS was supported by University of Otago Research Grant #110312.</t>
  </si>
  <si>
    <t>10.1017/jog.2018.67</t>
  </si>
  <si>
    <t>gold</t>
  </si>
  <si>
    <t>WOS:000448302400007</t>
  </si>
  <si>
    <t>Baqué, M; Hanke, F; Böttger, U; Leya, T; Moeller, R; de Vera, JP</t>
  </si>
  <si>
    <t>Baque, Mickael; Hanke, Franziska; Boettger, Ute; Leya, Thomas; Moeller, Ralf; de Vera, Jean-Pierre</t>
  </si>
  <si>
    <t>Protection of cyanobacterial carotenoids' Raman signatures by Martian mineral analogues after high-dose gamma irradiation</t>
  </si>
  <si>
    <t>JOURNAL OF RAMAN SPECTROSCOPY</t>
  </si>
  <si>
    <t>biosignature; carotenoids; ionizing radiation; Raman spectroscopy; search for life on Mars</t>
  </si>
  <si>
    <t>LOW-EARTH-ORBIT; IONIZING-RADIATION; SPECTROSCOPIC DETECTION; ASTROBIOLOGY ROADMAP; EXOMARS ROVER; MARS; SPACE; LIFE; MISSION; BIOSIGNATURES</t>
  </si>
  <si>
    <t>The future robotic exploration missions to MarsEuropean Space Agency/Roscosmos's ExoMars2020 and National Aeronautics and Space Administration's Mars2020 roverswill search for signs of extant or extinct life using, among other instruments, Raman spectrometers for the first time. The question remains whether organic biosignaturessuch as pigments and cellular componentsmay be detected by this method. Evaluating their detection limit under simulated extraterrestrial conditions is therefore crucial for the success of future life detection missions. Ionizing radiation can be considered as the most deleterious factor for the long-term preservation of potential biomarkers on Mars. Here, we report on the preservation potential of Raman signatures in the Antarctic strain CCCryo 231-06 of the cyanobacterium Nostoc sp. after high doses of gamma irradiation. The carotenoids' signals, a well-established biosignature model, dominate the Raman spectra at 532-nm excitation wavelength due to resonance effects. But comparing their distribution and quantifying their preservation are still problematic in natural samples. To standardize the analyses, we successfully applied Raman mapping and signal-to-noise ratio masks to quantify the effects of irradiation. The typical in vivo Raman signatures of carotenoids could be detected after exposure to up to 56kGy with significant deterioration in terms of signal coverage and signal-to-noise ratio. But they remained stable even after the highest dose of rays (117kGy) tested in this study for colonies embedded in two different Martian mineral analogues. Data gathered during these ground-based irradiation experiments contribute to interpret results from space experiments and will guide our search for life on Mars and other bodies of interest.</t>
  </si>
  <si>
    <t>[Baque, Mickael; de Vera, Jean-Pierre] German Aerosp Ctr DLR, Inst Planetary Res, Dept Management &amp; Infrastruct, Res Grp,Astrobiol Labs, Berlin, Germany; [Hanke, Franziska; Boettger, Ute] German Aerosp Ctr DLR, Inst Opt Sensor Syst, Dept Terahertz &amp; Laser Spect, Berlin, Germany; [Hanke, Franziska] Humboldt Univ, Inst Phys, Berlin, Germany; [Leya, Thomas] Fraunhofer Inst Cell Therapy &amp; Immunol, Branch Bioanalyt &amp; Bioproc IZI BB, Extremophile Res &amp; Biobank CCCryo, Potsdam, Germany; [Moeller, Ralf] German Aerosp Ctr DLR, Inst Aerosp Med, Space Microbiol Res Grp Cologne, Radiat Biol Dept, Berlin, Germany</t>
  </si>
  <si>
    <t>Helmholtz Association; German Aerospace Centre (DLR); Helmholtz Association; German Aerospace Centre (DLR); Humboldt University of Berlin; Fraunhofer Gesellschaft; Helmholtz Association; German Aerospace Centre (DLR)</t>
  </si>
  <si>
    <t>Baqué, M (corresponding author), German Aerosp Ctr DLR, Inst Planetary Res Management &amp; Infrastruct, Res Grp, Astrobiol Labs, Berlin, Germany.</t>
  </si>
  <si>
    <t>mickael.baque@dlr.de</t>
  </si>
  <si>
    <t>Baqué, Mickael/AAC-8933-2019</t>
  </si>
  <si>
    <t>Baqué, Mickael/0000-0002-6696-6030</t>
  </si>
  <si>
    <t>Alexander von Humboldt Foundation; DLR grant FuE-Projekt ISS LIFE</t>
  </si>
  <si>
    <t>Alexander von Humboldt Foundation(Alexander von Humboldt Foundation); DLR grant FuE-Projekt ISS LIFE</t>
  </si>
  <si>
    <t>0377-0486</t>
  </si>
  <si>
    <t>1097-4555</t>
  </si>
  <si>
    <t>J RAMAN SPECTROSC</t>
  </si>
  <si>
    <t>J. Raman Spectrosc.</t>
  </si>
  <si>
    <t>10.1002/jrs.5449</t>
  </si>
  <si>
    <t>Spectroscopy</t>
  </si>
  <si>
    <t>GX5GJ</t>
  </si>
  <si>
    <t>hybrid, Green Submitted</t>
  </si>
  <si>
    <t>WOS:000447772200005</t>
  </si>
  <si>
    <t>Puccinelli, E; von der Meden, CEO; McQuaid, CD; Ansorge, IJ</t>
  </si>
  <si>
    <t>Puccinelli, Eleonora; von der Meden, Charles E. O.; McQuaid, Christopher D.; Ansorge, Isabelle J.</t>
  </si>
  <si>
    <t>Biological characteristics of the rafting bivalve Gaimardia trapesina in the Southern Ocean</t>
  </si>
  <si>
    <t>MARINE BIOLOGY</t>
  </si>
  <si>
    <t>PRINCE-EDWARD-ISLANDS; ANTARCTIC CIRCUMPOLAR CURRENT; PARTICULATE ORGANIC-MATTER; KELP MACROCYSTIS-PYRIFERA; BENTHIC FILTER FEEDERS; FATTY-ACIDS; ATTACHMENT STRENGTH; CLIMATE-CHANGE; POPULATION CONNECTIVITY; DELTA-N-15 ANALYSIS</t>
  </si>
  <si>
    <t>Rafting invertebrate species represent an important link for the dispersal and colonisation of islands in the Southern Ocean. They are sensitive to changes in hydrodynamics through effects on transport and food availability, particularly in the case of filter-feeding species. This gives them the potential to act as sentinels of environmental change. The rafting kelp-associated Gaimardia trapesina is one such species, widely distributed in the Southern Ocean. In 2015 and 2016, the size structure, diet, and distribution of G. trapesina were examined around the Sub-Antarctic Prince Edward Islands (PEI) to establish benchmark data and explore their potential use for monitoring long-term change. Gaimardia trapesina and its potential food sources were collected and analysed for size structure, attachment strength, and diet, using stable isotope and fatty acid analyses. The populations examined were dominated by relatively small individuals. The strength of attachment to kelp blades was low and the byssal threads showed high elasticity. The PEI lie in the path of the west-east flowing Antarctic Circumpolar Current and the highest abundances of G. trapesina were found on the downstream sides of both islands, while the species was absent from the western, upstream coasts. Both diet analyses and SIAR mixing models indicated that G. trapesina feeds on suspended particulate matter, while kelp particles contribute minimally to the diet. Considering the wide distribution of G. trapesina, its importance as food for birds and fish, and its sensitivity to environmental conditions, there is good potential to use this species as an indicator of environmental change in the Southern Ocean.</t>
  </si>
  <si>
    <t>[Puccinelli, Eleonora; Ansorge, Isabelle J.] Univ Cape Town, Dept Oceanog, Marine Res Inst, ZA-7701 Cape Town, South Africa; [von der Meden, Charles E. O.] SAEON, Foretrust Bldg,Martin Hammerschlag Way, ZA-8012 Cape Town, South Africa; [McQuaid, Christopher D.] Rhodes Univ, Dept Zool &amp; Entomol, POB 94, ZA-6140 Grahamstown, South Africa</t>
  </si>
  <si>
    <t>University of Cape Town; National Research Foundation - South Africa; South African Environmental Observation Network (SAEON); Rhodes University</t>
  </si>
  <si>
    <t>Puccinelli, E (corresponding author), Univ Cape Town, Dept Oceanog, Marine Res Inst, ZA-7701 Cape Town, South Africa.</t>
  </si>
  <si>
    <t>eleonorapuccinelli@gmail.com</t>
  </si>
  <si>
    <t>McQuaid, Christopher/AAT-3725-2020; ANSORGE, ISABELLE/AAY-7396-2020; Puccinelli, Eleonora/Q-6544-2019; Puccinelli, Eleonora/AAL-6468-2020</t>
  </si>
  <si>
    <t>McQuaid, Christopher/0000-0002-3473-8308; Puccinelli, Eleonora/0000-0002-6144-6650; von der meden, Charles/0000-0002-0910-1612; Ansorge, Isabelle/0000-0001-7071-8147</t>
  </si>
  <si>
    <t>South African National Antarctic Program (SANAP); South African Research Chairs Initiative of the Department of Science and Technology; National Research Foundation of South Africa</t>
  </si>
  <si>
    <t>South African National Antarctic Program (SANAP); South African Research Chairs Initiative of the Department of Science and Technology; National Research Foundation of South Africa(National Research Foundation - South Africa)</t>
  </si>
  <si>
    <t>This study was funded by South African National Antarctic Program (SANAP) awarded to Prof. Isabelle J. Ansorge, and by the South African Research Chairs Initiative of the Department of Science and Technology and the National Research Foundation of South Africa, awarded to Prof. Christopher D. McQuaid.</t>
  </si>
  <si>
    <t>0025-3162</t>
  </si>
  <si>
    <t>1432-1793</t>
  </si>
  <si>
    <t>MAR BIOL</t>
  </si>
  <si>
    <t>Mar. Biol.</t>
  </si>
  <si>
    <t>10.1007/s00227-018-3430-z</t>
  </si>
  <si>
    <t>Marine &amp; Freshwater Biology</t>
  </si>
  <si>
    <t>GY3EQ</t>
  </si>
  <si>
    <t>WOS:000448431500001</t>
  </si>
  <si>
    <t>Hughes, JD</t>
  </si>
  <si>
    <t>Hughes, J. Donald</t>
  </si>
  <si>
    <t>Frozen Empires: An Environmental History of the Antarctic Peninsula</t>
  </si>
  <si>
    <t>AMERICAN HISTORICAL REVIEW</t>
  </si>
  <si>
    <t>Book Review</t>
  </si>
  <si>
    <t>[Hughes, J. Donald] Univ Denver, Denver, CO 80208 USA</t>
  </si>
  <si>
    <t>University of Denver</t>
  </si>
  <si>
    <t>Hughes, JD (corresponding author), Univ Denver, Denver, CO 80208 USA.</t>
  </si>
  <si>
    <t>0002-8762</t>
  </si>
  <si>
    <t>1937-5239</t>
  </si>
  <si>
    <t>AM HIST REV</t>
  </si>
  <si>
    <t>Am. Hist. Rev.</t>
  </si>
  <si>
    <t>10.1093/ahr/rhy046</t>
  </si>
  <si>
    <t>History</t>
  </si>
  <si>
    <t>Social Science Citation Index (SSCI); Arts &amp; Humanities Citation Index (A&amp;HCI)</t>
  </si>
  <si>
    <t>GX8OH</t>
  </si>
  <si>
    <t>WOS:000448046200031</t>
  </si>
  <si>
    <t>Mak, J; Maddison, JR; Marshall, DP; Munday, DR</t>
  </si>
  <si>
    <t>Mak, J.; Maddison, J. R.; Marshall, D. P.; Munday, D. R.</t>
  </si>
  <si>
    <t>Implementation of a Geometrically Informed and Energetically Constrained Mesoscale Eddy Parameterization in an Ocean Circulation Model</t>
  </si>
  <si>
    <t>Mesoscale processes; Ocean circulation; General circulation models; Parameterization</t>
  </si>
  <si>
    <t>ANTARCTIC CIRCUMPOLAR CURRENT; MERIDIONAL OVERTURNING CIRCULATION; SOUTHERN-HEMISPHERE WINDS; BAROCLINIC INSTABILITY; TRACER TRANSPORTS; ABYSSAL OCEAN; MEAN FLOW; EDDIES; FLUXES; ENERGY</t>
  </si>
  <si>
    <t>The global stratification and circulation, as well as their sensitivities to changes in forcing, depend crucially on the representation of the mesoscale eddy field in a numerical ocean circulation model. Here, a geometrically informed and energetically constrained parameterization framework for mesoscale eddies-termed Geometry and Energetics of Ocean Mesoscale Eddies and Their Rectified Impact on Climate (GEOMETRIC)-is proposed and implemented in three-dimensional channel and sector models. The GEOMETRIC framework closes eddy buoyancy fluxes according to the standard Gent-McWilliams scheme but with the eddy transfer coefficient constrained by the depth-integrated eddy energy field, provided through a prognostic eddy energy budget evolving with the mean state. It is found that coarse-resolution models employing GEOMETRIC display broad agreement in the sensitivity of the circumpolar transport, meridional overturning circulation, and depth-integrated eddy energy pattern to surface wind stress as compared with analogous reference calculations at eddy-permitting resolutions. Notably, eddy saturation-the insensitivity of the time-mean circumpolar transport to changes in wind forcing-is found in the coarse-resolution sector model. In contrast, differences in the sensitivity of the depth-integrated eddy energy are found in model calculations in the channel experiments that vary the eddy energy dissipation, attributed to the simple prognostic eddy energy equation employed. Further improvements to the GEOMETRIC framework require a shift in focus from how to close for eddy buoyancy fluxes to the representation of eddy energetics.</t>
  </si>
  <si>
    <t>[Mak, J.; Maddison, J. R.] Univ Edinburgh, Sch Math, Edinburgh, Midlothian, Scotland; [Mak, J.; Maddison, J. R.] Univ Edinburgh, Maxwell Inst Math Sci, Edinburgh, Midlothian, Scotland; [Mak, J.; Marshall, D. P.] Univ Oxford, Dept Phys, Oxford, England; [Munday, D. R.] British Antarctic Survey, Cambridge, England</t>
  </si>
  <si>
    <t>University of Edinburgh; University of Edinburgh; Heriot Watt University; University of Oxford; UK Research &amp; Innovation (UKRI); Natural Environment Research Council (NERC); NERC British Antarctic Survey</t>
  </si>
  <si>
    <t>Mak, J (corresponding author), Univ Edinburgh, Sch Math, Edinburgh, Midlothian, Scotland.;Mak, J (corresponding author), Univ Edinburgh, Maxwell Inst Math Sci, Edinburgh, Midlothian, Scotland.;Mak, J (corresponding author), Univ Oxford, Dept Phys, Oxford, England.</t>
  </si>
  <si>
    <t>julian.c.l.mak@googlemail.com</t>
  </si>
  <si>
    <t>Munday, David/Y-7052-2019; Munday, David R/R-1986-2016; Marshall, David Philip/B-6767-2009</t>
  </si>
  <si>
    <t>Munday, David R/0000-0003-1920-708X; Marshall, David Philip/0000-0002-5199-6579; Mak, Julian/0000-0001-5862-6469</t>
  </si>
  <si>
    <t>UK Natural Environment Research Council [NE/L005166/1, NE/R000999/1]; U.K. Natural Environment Research Council (ORCHESTRA) [NE/N018095/1]; NERC [NE/N018095/1, NE/R000999/1, NE/L005166/1, bas0100033] Funding Source: UKRI</t>
  </si>
  <si>
    <t>UK Natural Environment Research Council(UK Research &amp; Innovation (UKRI)Natural Environment Research Council (NERC)); U.K. Natural Environment Research Council (ORCHESTRA); NERC(UK Research &amp; Innovation (UKRI)Natural Environment Research Council (NERC))</t>
  </si>
  <si>
    <t>This work was funded by the UK Natural Environment Research Council Grant NE/L005166/1 and NE/R000999/1 and utilized the ARCHER UK National Supercomputing Service (http://www.archer.ac.uk). DRM is supported by the U.K. Natural Environment Research Council (ORCHESTRA; Grant NE/N018095/1). The authors thank the two referees for comments that greatly improved the presentation of the article. The lead author thanks Gurvan Madec for discussions relating to energetic pathways. All data used herein are archived in the Edinburgh DataShare service (at https://doi.org/10.7488/ds/2297).</t>
  </si>
  <si>
    <t>10.1175/JPO-D-18-0017.1</t>
  </si>
  <si>
    <t>GY0ZG</t>
  </si>
  <si>
    <t>Green Accepted, Green Published, hybrid, Green Submitted</t>
  </si>
  <si>
    <t>WOS:000448251900001</t>
  </si>
  <si>
    <t>Almada, TN; Cilla, EG; Silva, J; Ciavarelli, MM; Rossi, JL; Santiago, PM</t>
  </si>
  <si>
    <t>Almada, Tamara N.; Gisela Cilla, Eliana; Silva, Joaquin; Miguel Ciavarelli, Matias; Rossi, Javier L.; Santiago, Peso M.</t>
  </si>
  <si>
    <t>Results in Prophylactic Appendectomy Prior Military Antarctic Expedition</t>
  </si>
  <si>
    <t>JOURNAL OF THE AMERICAN COLLEGE OF SURGEONS</t>
  </si>
  <si>
    <t>Owen Wangensteen Scientific Forum / Annual Clinical Congress of the American-College-of-Surgeons (ACS)</t>
  </si>
  <si>
    <t>OCT 21-25, 2018</t>
  </si>
  <si>
    <t>Boston, MA</t>
  </si>
  <si>
    <t>[Almada, Tamara N.; Gisela Cilla, Eliana; Silva, Joaquin; Miguel Ciavarelli, Matias; Rossi, Javier L.; Santiago, Peso M.] Hosp Mil Cent H Grl 601Cirujano Mayor Dr Cosme Ar, Buenos Aires, DF, Argentina</t>
  </si>
  <si>
    <t>360 PARK AVE SOUTH, NEW YORK, NY 10010-1710 USA</t>
  </si>
  <si>
    <t>1072-7515</t>
  </si>
  <si>
    <t>1879-1190</t>
  </si>
  <si>
    <t>J AM COLL SURGEONS</t>
  </si>
  <si>
    <t>J. Am. Coll. Surg.</t>
  </si>
  <si>
    <t>E183</t>
  </si>
  <si>
    <t>10.1016/j.jamcollsurg.2018.08.499</t>
  </si>
  <si>
    <t>Surgery</t>
  </si>
  <si>
    <t>GX5GL</t>
  </si>
  <si>
    <t>WOS:000447772500445</t>
  </si>
  <si>
    <t>Garcia-Rojas, MI; Jenner, KCS; Gill, PC; Jenner, MNM; Sutton, AL; McCauley, RD</t>
  </si>
  <si>
    <t>Garcia-Rojas, Maria I.; Jenner, K. Curt S.; Gill, Peter C.; Jenner, Micheline-Nicole M.; Sutton, Alicia L.; McCauley, Robert D.</t>
  </si>
  <si>
    <t>Environmental evidence for a pygmy blue whale aggregation area in the Subtropical Convergence Zone south of Australia</t>
  </si>
  <si>
    <t>MARINE MAMMAL SCIENCE</t>
  </si>
  <si>
    <t>Balaenoptera musculus brevicauda; pygmy blue whale; cetacean; oceanography; Subtropical Convergence</t>
  </si>
  <si>
    <t>EASTERN NORTH PACIFIC; BALAENOPTERA-MUSCULUS; UPWELLING SYSTEMS; INDIAN-OCEAN; BEHAVIOR; WIND; OCEANOGRAPHY; PRODUCTIVITY; MOVEMENTS; INSIGHTS</t>
  </si>
  <si>
    <t>The importance of the Subtropical Convergence Zone south of Australia as a feeding area to the pygmy blue whale of the eastern Indian Ocean was investigated to better understand migration patterns and habitat use. A combination of satellite tagging studies during 2003-2005 and acoustic and visual surveys during the austral summer of 2013 confirmed the presence of pygmy blue whales in the Subtropical Convergence Zone and provided evidence for feeding throughout the region. Of the 67 pygmy blue whales acoustically detected, many were localized in proximity to sea surface temperature fronts and high chlorophyll concentrations, which could be a behavioral strategy to attract conspecifics to good feeding sites. Aggregations of up to four pygmy blue whales, along with decreased call rates during the day, may suggest feeding despite no direct observations of pygmy blue whales consuming euphausiids. The oceanographic features present throughout the Subtropical Convergence Zone continue to create an environment productive enough to support the world's largest living mammals during their migratory foraging movements between the Southern Ocean and Indonesia.</t>
  </si>
  <si>
    <t>[Garcia-Rojas, Maria I.; Jenner, K. Curt S.; Jenner, Micheline-Nicole M.] Ctr Whale Res WA Inc, POB 1622, Fremantle, WA 6959, Australia; [Gill, Peter C.] Blue Whale Study, Narrawong, Vic 3285, Australia; [Sutton, Alicia L.] Murdoch Univ, Sch Vet &amp; Life Sci, 90 South St, Murdoch, WA 6150, Australia; [McCauley, Robert D.] Curtin Univ, Ctr Marine Sci &amp; Technol, GPO Box U 1987, Perth, WA 6845, Australia</t>
  </si>
  <si>
    <t>Murdoch University; Curtin University</t>
  </si>
  <si>
    <t>Jenner, KCS (corresponding author), Ctr Whale Res WA Inc, POB 1622, Fremantle, WA 6959, Australia.</t>
  </si>
  <si>
    <t>curt@cwr.org.au</t>
  </si>
  <si>
    <t>Gill, Peter/JZT-5482-2024</t>
  </si>
  <si>
    <t>Garcia Rojas, Maria Isabel/0000-0002-6600-7294</t>
  </si>
  <si>
    <t>Australian Government through the National Collaborative Research Infrastructure Strategy</t>
  </si>
  <si>
    <t>Australian Government through the National Collaborative Research Infrastructure Strategy(Australian GovernmentDepartment of Industry, Innovation and Science)</t>
  </si>
  <si>
    <t>We would like thank the Australian Defence Department, specifically Chris Daffy Donald and Wayne Bennett, for the opportunity to conduct this survey, along with the volunteer research team that participated in this research effort: Sascha Guggenheimer, Peta Campbell, Stacey Chilcott, and Nicole Grubb. R/V Whale Song marine crew Dale Peterson, Resty Adenir, Sam Wright, Tasmin Jenner, and RA Inday Ford provided valuable assistance. Alessandro Ghiotto, Rodney Thompson, and Chris Sorgiovanni from L3 Oceania, Craig Werley from Sonartech Atlas are also thanked for their guidance with acoustics. Soviet whaling data were provided by the International Whaling Commission, courtesy of Cherry Allison. Satellite tagging in 2002 was conducted by KCSJ and Nick Gales under EPBC Research Permit E2002/00029 and Department of Conservation and Land Management Ethics Permit CAEC/01/2002, and in 2005 was conducted by PCG, KCSJ, and Nick Gales under EBPC Research Permit E2003-48230 and Deakin University Animal Welfare Committee approval A27/2002. Nick Gales, Jason Gedamke, and the Australian Antarctic Division are thanked for their invaluable contributions to the tagging work. Acoustic data from the Integrated Marine Observing System (IMOS, ) was used as a reference and the IMOS portal was used to access Argo float data and satellite imagery. IMOS is supported by the Australian Government through the National Collaborative Research Infrastructure Strategy.</t>
  </si>
  <si>
    <t>0824-0469</t>
  </si>
  <si>
    <t>1748-7692</t>
  </si>
  <si>
    <t>MAR MAMMAL SCI</t>
  </si>
  <si>
    <t>Mar. Mamm. Sci.</t>
  </si>
  <si>
    <t>10.1111/mms.12494</t>
  </si>
  <si>
    <t>GY0DY</t>
  </si>
  <si>
    <t>WOS:000448183700002</t>
  </si>
  <si>
    <t>Anderson, KC; Knuckey, R; Cánepa, M; Elizur, A</t>
  </si>
  <si>
    <t>Anderson, Kelli C.; Knuckey, Richard; Canepa, Maximilano; Elizur, Abigail</t>
  </si>
  <si>
    <t>A transcriptomic investigation of appetite-regulation and digestive processes in giant grouper Epinephelus lanceolatus during early larval development</t>
  </si>
  <si>
    <t>JOURNAL OF FISH BIOLOGY</t>
  </si>
  <si>
    <t>digestive enzymes; grouper; larval development; molecular ontogenesis; next-generation sequencing</t>
  </si>
  <si>
    <t>ORANGE-SPOTTED GROUPER; ZEBRAFISH DANIO-RERIO; TRIGLYCERIDE TRANSFER PROTEIN; GENE-EXPRESSION; JAPANESE FLOUNDER; NEUROPEPTIDE-Y; ATLANTIC SALMON; GRASS CARP; MOLECULAR CHARACTERIZATION; DIFFERENTIAL EXPRESSION</t>
  </si>
  <si>
    <t>The giant grouper Epinephelus lanceolatus is an ecologically vulnerable species with high market demand. However, efforts to improve larval husbandry are hindered by a lack of knowledge surrounding larval developmental physiology. To address this shortfall, a transcriptomic approach was applied to larvae between 1 and 14 days post hatch (dph) to characterise the molecular ontogenesis of genes that influence appetite and digestion. Appetite regulating factors were detected from 1 dph, including neuropeptide Y, nesfatin-1, cocaine and amphetamine regulated transcript, cholecystokinin and pituitary adenylate cyclase activating peptide and the expression level of several genes changed sharply with the onset of exogenous feeding. The level of expression for proteases, chitinases, lipases and amylases typically followed one of two expression patterns, a general increase as development progressed, or an inverted U-shape with maximal expression at c. 6 dph. Similarly, the tendency among both expression patterns was for the level of expression to increase around the time of mouth-opening. There was also evidence to suggest the presence of putative isoforms for several digestion-related genes. We have provided an insight into appetite-regulation and digestive processes in groupers during early larval development and have developed a transcriptomic database that will aid future efforts to rear this species in an aquaculture setting.</t>
  </si>
  <si>
    <t>[Anderson, Kelli C.; Elizur, Abigail] Univ Sunshine Coast, Fac Sci Hlth Educ &amp; Engn, Genecol Res Ctr, Locked Bag 4, Maroochydore 4558, Australia; [Anderson, Kelli C.] Univ Tasmania, Inst Marine &amp; Antarctic Studies, Newnham Campus, Launceston, Tas, Australia; [Knuckey, Richard; Canepa, Maximilano] Co One, Grouper Breeding Facil, Cairns, Australia</t>
  </si>
  <si>
    <t>University of the Sunshine Coast; University of Tasmania</t>
  </si>
  <si>
    <t>Anderson, KC; Elizur, A (corresponding author), Univ Sunshine Coast, Fac Sci Hlth Educ &amp; Engn, Genecol Res Ctr, Locked Bag 4, Maroochydore 4558, Australia.</t>
  </si>
  <si>
    <t>ando.kelli@gmail.com; AElizur@usc.edu.au</t>
  </si>
  <si>
    <t>Canepa, Maximiliano/AAI-5664-2020</t>
  </si>
  <si>
    <t>Canepa, Maximiliano/0000-0001-8266-764X; Elizur, Abigail/0000-0002-2960-302X; Anderson, Kelli/0000-0001-7749-4641</t>
  </si>
  <si>
    <t>Australian Centre for International Agricultural Research (ACIAR) [FIS-2012-101]</t>
  </si>
  <si>
    <t>Australian Centre for International Agricultural Research (ACIAR)(Australian Ctr Intl Agr Res)</t>
  </si>
  <si>
    <t>The project was funded by the Australian Centre for International Agricultural Research (ACIAR grant FIS-2012-101), awarded to A.E.</t>
  </si>
  <si>
    <t>0022-1112</t>
  </si>
  <si>
    <t>1095-8649</t>
  </si>
  <si>
    <t>J FISH BIOL</t>
  </si>
  <si>
    <t>J. Fish Biol.</t>
  </si>
  <si>
    <t>10.1111/jfb.13798</t>
  </si>
  <si>
    <t>GX8XN</t>
  </si>
  <si>
    <t>WOS:000448079400013</t>
  </si>
  <si>
    <t>Jordanova, VK; Delzanno, GL; Henderson, MG; Godinez, HC; Jeffery, CA; Lawrence, EC; Morley, SK; Moulton, JD; Vernon, LJ; Woodroffe, JR; Brito, TV; Engel, MA; Meierbachtol, CS; Svyatsky, D; Yu, Y; Tóth, G; Welling, DT; Chen, Y; Haiducek, J; Markidis, S; Albert, JM; Birn, J; Denton, MH; Horne, RB</t>
  </si>
  <si>
    <t>Jordanova, V. K.; Delzanno, G. L.; Henderson, M. G.; Godinez, H. C.; Jeffery, C. A.; Lawrence, E. C.; Morley, S. K.; Moulton, J. D.; Vernon, L. J.; Woodroffe, J. R.; Brito, T. V.; Engel, M. A.; Meierbachtol, C. S.; Svyatsky, D.; Yu, Y.; Toth, G.; Welling, D. T.; Chen, Y.; Haiducek, J.; Markidis, S.; Albert, J. M.; Birn, J.; Denton, M. H.; Horne, R. B.</t>
  </si>
  <si>
    <t>Specification of the near-Earth space environment with SHIELDS</t>
  </si>
  <si>
    <t>JOURNAL OF ATMOSPHERIC AND SOLAR-TERRESTRIAL PHYSICS</t>
  </si>
  <si>
    <t>3rd International Symposium on Recent Observations and Simulations of the Sun-Earth System (ISROSES)</t>
  </si>
  <si>
    <t>SEP 11-16, 2016</t>
  </si>
  <si>
    <t>Golden Sands, BULGARIA</t>
  </si>
  <si>
    <t>Geomagnetic storms and substorms; Multiscale physics; Wave-particle interactions; Space hazards; Numerical modeling</t>
  </si>
  <si>
    <t>BELT ELECTRON DYNAMICS; ENSEMBLE KALMAN FILTER; IN-CELL CODE; GEOSYNCHRONOUS ORBIT; PARTICLE INJECTIONS; SUBSTORM ONSET; RAM-SCB; MODEL; PLASMA; MAGNETOSPHERE</t>
  </si>
  <si>
    <t>Predicting variations in the near-Earth space environment that can lead to spacecraft damage and failure is one example of space weather and a big space physics challenge. A project recently funded through the Los Alamos National Laboratory (LANL) Directed Research and Development (LDRD) program aims at developing a new capability to understand, model, and predict Space Hazards Induced near Earth by Large Dynamic Storms, the SHIELDS framework. The project goals are to understand the dynamics of the surface charging environment (SCE), the hot (keV) electrons representing the source and seed populations for the radiation belts, on both macro and micro-scale. Important physics questions related to particle injection and acceleration associated with magnetospheric storms and substorms, as well as plasma waves, are investigated. These challenging problems are addressed using a team of world-class experts in the fields of space science and computational plasma physics, and state-of-the-art models and computational facilities. A full two-way coupling of physics-based models across multiple scales, including a global MHD (BATS-R-US) embedding a particle-in-cell (iPIC3D) and an inner magnetosphere (RAM-SCB) codes, is achieved. New data assimilation techniques employing in situ satellite data are developed; these provide an order of magnitude improvement in the accuracy in the simulation of the SCE. SHIELDS also includes a post-processing tool designed to calculate the surface charging for specific spacecraft geometry using the Curvilinear Particle-In-Cell (CPIC) code that can be used for reanalysis of satellite failures or for satellite design.</t>
  </si>
  <si>
    <t>[Jordanova, V. K.; Delzanno, G. L.; Henderson, M. G.; Godinez, H. C.; Jeffery, C. A.; Lawrence, E. C.; Morley, S. K.; Moulton, J. D.; Vernon, L. J.; Woodroffe, J. R.; Brito, T. V.; Engel, M. A.; Meierbachtol, C. S.; Svyatsky, D.; Yu, Y.; Birn, J.] Los Alamos Natl Lab, Los Alamos, NM 87545 USA; [Toth, G.; Welling, D. T.; Chen, Y.; Haiducek, J.] Univ Michigan, Ann Arbor, MI 48109 USA; [Markidis, S.] KTH Royal Inst Technol, Stockholm, Sweden; [Albert, J. M.] Air Force Res Lab, Kirtland AFB, NM USA; [Birn, J.; Denton, M. H.] Space Sci Inst, Boulder, CO USA; [Denton, M. H.] New Mexico Consortium, Los Alamos, NM USA; [Horne, R. B.] British Antarctic Survey, Cambridge, England; [Yu, Y.] Beihang Univ, Beijing, Peoples R China</t>
  </si>
  <si>
    <t>United States Department of Energy (DOE); Los Alamos National Laboratory; University of Michigan System; University of Michigan; Royal Institute of Technology; United States Department of Defense; United States Air Force; US Air Force Research Laboratory; UK Research &amp; Innovation (UKRI); Natural Environment Research Council (NERC); NERC British Antarctic Survey; Beihang University</t>
  </si>
  <si>
    <t>Jordanova, VK (corresponding author), Los Alamos Natl Lab, Los Alamos, NM 87545 USA.</t>
  </si>
  <si>
    <t>vania@lanl.gov</t>
  </si>
  <si>
    <t>Yu, Yiqun/E-2710-2012; Jordanova, Vania/AAE-9907-2020; Horne, Richard B/U-3764-2019; Engel, Miles/AAA-2408-2019; Albert, Jay/AAV-6860-2020; Henderson, Michael/A-3948-2011; Chen, Yuxi/ISU-7504-2023; Morley, Steven K/GVS-9398-2022; Morley, Steven K/A-8321-2008; Jordanova, Vania/E-3667-2018</t>
  </si>
  <si>
    <t>Horne, Richard B/0000-0002-0412-6407; Engel, Miles/0000-0003-4248-9636; Albert, Jay/0000-0001-9494-7630; Chen, Yuxi/0000-0001-7288-2805; Morley, Steven K/0000-0001-8520-0199; Morley, Steven K/0000-0001-8520-0199; Moulton, David/0000-0002-9456-0871; Lawrence, Earl/0000-0002-6473-1887; Haiducek, John/0000-0002-4027-8475; Welling, Daniel/0000-0002-0590-1022; Jordanova, Vania/0000-0003-0475-8743; Meierbachtol, Collin S./0000-0003-1417-3802</t>
  </si>
  <si>
    <t>U.S. Department of Energy through the LANL/LDRD-DR Program [DE-AC52-06NA25396]; NERC [NE/R016038/1, bas0100031, NE/P01738X/1] Funding Source: UKRI</t>
  </si>
  <si>
    <t>U.S. Department of Energy through the LANL/LDRD-DR Program; NERC(UK Research &amp; Innovation (UKRI)Natural Environment Research Council (NERC))</t>
  </si>
  <si>
    <t>This research was conducted as part of the Space Hazards Induced near Earth by Large, Dynamic Storms (SHIELDS) project, funded by the U.S. Department of Energy through the LANL/LDRD-DR Program under contract DE-AC52-06NA25396. We thank J. Borovsky, M. Thomsen, C. Lemon, and S. Young for helpful discussions and R. Skoug for providing solar wind data from the ACE satellite to cover gaps in the publicly available Level 2 datasets. The geomagnetic indices and solar wind observation data are obtained from NASA GSFC OMNIWeb, while NOAA F10.7 flux is obtained from http://lasp.colorado.edu/lisird/tss/noaa_radio_flux.html.</t>
  </si>
  <si>
    <t>1364-6826</t>
  </si>
  <si>
    <t>1879-1824</t>
  </si>
  <si>
    <t>J ATMOS SOL-TERR PHY</t>
  </si>
  <si>
    <t>J. Atmos. Sol.-Terr. Phys.</t>
  </si>
  <si>
    <t>10.1016/j.jastp.2017.11.006</t>
  </si>
  <si>
    <t>Geochemistry &amp; Geophysics; Meteorology &amp; Atmospheric Sciences</t>
  </si>
  <si>
    <t>GW6YF</t>
  </si>
  <si>
    <t>Green Submitted, Green Accepted, hybrid</t>
  </si>
  <si>
    <t>WOS:000447110300017</t>
  </si>
  <si>
    <t>Denton, MH; Kivi, R; Ulich, T; Rodger, CJ; Clilverd, MA; Horne, RB; Kavanagh, AJ</t>
  </si>
  <si>
    <t>Denton, M. H.; Kivi, R.; Ulich, T.; Rodger, C. J.; Clilverd, M. A.; Horne, R. B.; Kavanagh, A. J.</t>
  </si>
  <si>
    <t>Solar proton events and stratospheric ozone depletion over northern Finland</t>
  </si>
  <si>
    <t>ENERGETIC PARTICLE-PRECIPITATION; MIDDLE ATMOSPHERE; ION CHEMISTRY; IMPACT; MODEL; VARIABILITY; MESOSPHERE; TRENDS; NOX</t>
  </si>
  <si>
    <t>We examine the variation of stratospheric ozone over northern Finland using ozonesonde observations from 1845 stratospheric balloon flights launched between 1989 and 2015 from near Sodankyla. The annual variation of the ozone partial pressure is examined and seasonal variations are explored and quantified. Direct links between the measured ozone partial pressure and common solar-wind parameters are also examined. A superposed-epoch analysis of the observations based on 191 solar proton events (SPEs) reveals a clear drop in the ozone partial pressure that commences following SPE-arrival at Earth. This analysis shows a reduction in stratospheric ozone in the winter/early-spring months (when the polar vortex is active over northern Finland), in contrast to summer/early-autumn months where no decrease is detected. By subtracting the natural seasonal variations in ozone partial pressure the SPE-driven reduction in ozone between 16 km and 24 km altitude is quantified. Analysis indicates that the ozone partial pressure during winter/early-spring is reduced, with a minimum reached similar to 8 days following the SPE arrival. On average, the ozone partial pressure is reduced by similar to 10% between 16 and 24 km altitude and takes similar to 40 days to return to its previous level. To the best of our knowledge, this is the first comprehensive statistical study, on a regional basis, that provides direct, and long-term in-situ evidence for ozone depletion by SPEs in the northern hemisphere.</t>
  </si>
  <si>
    <t>[Denton, M. H.] Space Sci Inst, Boulder, CO 80301 USA; [Denton, M. H.] New Mexico Consortium, Los Alamos, NM 87544 USA; [Kivi, R.] Finnish Meteorol Inst, Arctic Res Ctr, Sodankyla, Finland; [Ulich, T.] Geophys Observ, Sodankyla, Finland; [Rodger, C. J.] Univ Otago, Dept Phys, Dunedin, New Zealand; [Clilverd, M. A.; Horne, R. B.; Kavanagh, A. J.] British Antarctic Survey, NERC, Cambridge, England</t>
  </si>
  <si>
    <t>Finnish Meteorological Institute; University of Otago; UK Research &amp; Innovation (UKRI); Natural Environment Research Council (NERC); NERC British Antarctic Survey</t>
  </si>
  <si>
    <t>Denton, MH (corresponding author), Space Sci Inst, Boulder, CO 80301 USA.;Denton, MH (corresponding author), New Mexico Consortium, Los Alamos, NM 87544 USA.</t>
  </si>
  <si>
    <t>mdenton@spacescience.org</t>
  </si>
  <si>
    <t>Horne, Richard B/U-3764-2019; Rodger, Craig/A-1501-2011; Ulich, Thomas/G-3727-2018</t>
  </si>
  <si>
    <t>Horne, Richard B/0000-0002-0412-6407; Ulich, Thomas/0000-0001-8217-022X; Rodger, Craig J./0000-0002-6770-2707; Denton, Michael/0000-0002-1748-3710</t>
  </si>
  <si>
    <t>Space Science Institute by the NASA Heliophysics LWS program [NNX14AN90G, NNX16AB75G]; NASA Heliophysics GI program [NNX14AC15G]; NSF GEM program [1502947]; Academy of Finland [140408]; EU Project GALA-CLIM; ESA's Climate Change Initiative programme; Ozone_cci subproject; EU LAPBIAT II project [RITA-CT-2006-025969]; Div Atmospheric &amp; Geospace Sciences; Directorate For Geosciences [1502947] Funding Source: National Science Foundation; NERC [bas0100031] Funding Source: UKRI</t>
  </si>
  <si>
    <t>Space Science Institute by the NASA Heliophysics LWS program; NASA Heliophysics GI program; NSF GEM program(National Science Foundation (NSF)NSF - Directorate for Engineering (ENG)); Academy of Finland(Research Council of Finland); EU Project GALA-CLIM; ESA's Climate Change Initiative programme; Ozone_cci subproject; EU LAPBIAT II project; Div Atmospheric &amp; Geospace Sciences; Directorate For Geosciences(National Science Foundation (NSF)NSF - Directorate for Geosciences (GEO)); NERC(UK Research &amp; Innovation (UKRI)Natural Environment Research Council (NERC))</t>
  </si>
  <si>
    <t>This work was supported at the Space Science Institute by the NASA Heliophysics LWS program via grants NNX14AN90G and NNX16AB75G, the NASA Heliophysics GI program via grant NNX14AC15G, and the NSF GEM program award number 1502947. Ozonesonde work at the FMI was supported by the Academy of Finland (grant number 140408); an EU Project GALA-CLIM; the ESA's Climate Change Initiative programme and the Ozone_cci subproject in particular. The work was originally conceived under the EU LAPBIAT II project (contract RITA-CT-2006-025969) and the authors gratefully acknowledge this support. MHD would like to thank Andrew Senior and Joe Borovsky for helpful comments and suggestions regarding data analysis, and the magnetospheric consequences of SPEs and HSSs, respectively. MHD offers particular thanks to all at Sodankyla Geophysical Observatory and the Finnish Meteorological Institute for their gracious hospitality during his visits to Sodankyla in the spring of 2008, 2012, and 2017.</t>
  </si>
  <si>
    <t>10.1016/j.jastp.2017.07.003</t>
  </si>
  <si>
    <t>WOS:000447110300024</t>
  </si>
  <si>
    <t>Lopes, L; Oliva, M; Fernandes, M; Pereira, P; Palma, P; Ruiz-Fernández, J</t>
  </si>
  <si>
    <t>Lopes, Luis; Oliva, Marc; Fernandes, Marcelo; Pereira, Paulo; Palma, Pedro; Ruiz-Fernandez, Jesus</t>
  </si>
  <si>
    <t>Spatial distribution of morphometric parameters of glacial cirques in the Central Pyrenees (Aran and Boi valleys)</t>
  </si>
  <si>
    <t>JOURNAL OF MOUNTAIN SCIENCE</t>
  </si>
  <si>
    <t>Central Pyrenees; Aran and Boi valleys; glacial cirques; topography; morphometry</t>
  </si>
  <si>
    <t>LATE PLEISTOCENE; MOUNTAIN-GLACIATION; LAST DEGLACIATION; SPANISH PYRENEES; FORM; MAXIMUM; SIZE; CHRONOLOGY; EVOLUTION; EXTENT</t>
  </si>
  <si>
    <t>Glacial cirques are typical landscape features of mid-latitude mountain environments like the Central Pyrenees. Their morphology as well as their spatial distribution provides insights about past glaciers and climates. In this study, we examine the distribution, morphometrical and topographical characteristics of glacial cirques in two U-shaped glacial valleys located in the Central Pyrenees-the Aran and the Boi valleys. They are located in different aspects of this mountain range (north vs south) under different climatic influences that promoted distinct glaciation patterns during the late Pleistocene. The spatial mapping of these landforms was carried out using high-resolution imagery and field observations. We analysed the data of the morphometrical and topographical variables of the glacial cirques by using different statistical and geospatial methods in order to unveil the factors controlling their formation and development. A total of 186 glacial cirques were mapped in the study area, including 119 in the Aran and 67 in the Boi valleys. The local topography and microclimate conditions lead to substantial differences in both areas in terms of the morphology and dimensions of the cirques. Glacial cirques in Boi are distributed at slightly higher elevations than in Aran and they are also larger, though their dimensions decrease with elevation in both valleys. Aran cirques are mostly oriented NE, while Boi landforms do not show any prevailing aspect. Even though lithology does not control the distribution of the glacial cirques, some specific lithological settings may favour the development of larger cirques. In general, glacial cirques in the Aran and the Boi valleys show morphometrical properties similar to those reported in other mid-latitude mountain ranges.</t>
  </si>
  <si>
    <t>[Lopes, Luis; Fernandes, Marcelo; Palma, Pedro] Univ Lisbon, IGOT, Ctr Geog Studies, P-1600276 Lisbon, Portugal; [Oliva, Marc] Univ Barcelona, Dept Geog, Barcelona 08001, Spain; [Pereira, Paulo] Mykolas Romeris Univ, Environm Management Ctr, LT-08303 Vilnius, Lithuania; [Ruiz-Fernandez, Jesus] Univ Oviedo, Dept Geog, Oviedo 33011, Spain</t>
  </si>
  <si>
    <t>Universidade de Lisboa; University of Barcelona; Mykolas Romeris University; University of Oviedo</t>
  </si>
  <si>
    <t>Lopes, L (corresponding author), Univ Lisbon, IGOT, Ctr Geog Studies, P-1600276 Lisbon, Portugal.</t>
  </si>
  <si>
    <t>luis.filipelopes@live.com.pt; oliva_marc@yahoo.com; marcelo.fernandes@live.com; pereiraub@gmail.com; p.palma@campus.ul.pt; ruizjesus@uniovi.es</t>
  </si>
  <si>
    <t>Pereira, Paulo/G-5363-2010; Pereira, Paulo/O-1845-2016; Lopes, Luis F/C-2574-2018; Oliva, Marc/K-5423-2014</t>
  </si>
  <si>
    <t>Lopes, Luis F/0000-0002-5132-9258; Palma, Pedro/0000-0002-5399-9730; Ruiz-Fernandez, Jesus/0000-0001-7161-3320; Oliva, Marc/0000-0001-6521-6388; Fernandes, Marcelo/0000-0001-6840-4317</t>
  </si>
  <si>
    <t>Research Group Climate Change and Environmental Systems (ZEPHYRUS) of the Institute of Geography and Spatial Planning of the University of Lisbon; Erasmus + LLP Programme Grant of Luis Lopes at the University of Barcelona; Ramon y Cajal Program of the Spanish Ministry of Economy and Competitiveness [RYC-2015-17597]; ANTALP (Antarctic, Arctic and Alpine environments) project of the Spanish Ministry of Economy and Competitiveness [2017-SGR-1102]; PALEOGREEN project of the Spanish Ministry of Economy and Competitiveness [CTM2017-87976-P]; CRONOANTAR project of the Spanish Ministry of Economy and Competitiveness [CTM2016-77878-P]</t>
  </si>
  <si>
    <t>Research Group Climate Change and Environmental Systems (ZEPHYRUS) of the Institute of Geography and Spatial Planning of the University of Lisbon; Erasmus + LLP Programme Grant of Luis Lopes at the University of Barcelona; Ramon y Cajal Program of the Spanish Ministry of Economy and Competitiveness(Spanish Government); ANTALP (Antarctic, Arctic and Alpine environments) project of the Spanish Ministry of Economy and Competitiveness; PALEOGREEN project of the Spanish Ministry of Economy and Competitiveness; CRONOANTAR project of the Spanish Ministry of Economy and Competitiveness</t>
  </si>
  <si>
    <t>Field work was supported by the Research Group Climate Change and Environmental Systems (ZEPHYRUS) of the Institute of Geography and Spatial Planning of the University of Lisbon and a grant from the Erasmus + LLP Programme Grant funding the research stay of Luis Lopes at the University of Barcelona. Marc Oliva is supported by the Ramon y Cajal Program of the Spanish Ministry of Economy and Competitiveness (RYC-2015-17597). Financial support was also provided by the research group ANTALP (Antarctic, Arctic and Alpine environments, 2017-SGR-1102) and the PALEOGREEN (CTM2017-87976-P) and CRONOANTAR (CTM2016-77878-P) projects of the Spanish Ministry of Economy and Competitiveness.</t>
  </si>
  <si>
    <t>SCIENCE PRESS</t>
  </si>
  <si>
    <t>BEIJING</t>
  </si>
  <si>
    <t>16 DONGHUANGCHENGGEN NORTH ST, BEIJING 100717, PEOPLES R CHINA</t>
  </si>
  <si>
    <t>1672-6316</t>
  </si>
  <si>
    <t>1993-0321</t>
  </si>
  <si>
    <t>J MT SCI-ENGL</t>
  </si>
  <si>
    <t>J Mt. Sci.</t>
  </si>
  <si>
    <t>10.1007/s11629-018-4873-x</t>
  </si>
  <si>
    <t>GW9HT</t>
  </si>
  <si>
    <t>WOS:000447295900002</t>
  </si>
  <si>
    <t>Hattermann, T</t>
  </si>
  <si>
    <t>Hattermann, Tore</t>
  </si>
  <si>
    <t>Antarctic Thermocline Dynamics along a Narrow Shelf with Easterly Winds</t>
  </si>
  <si>
    <t>Ice shelves; Southern Ocean; Boundary currents; Fronts; In situ oceanic observations; Seasonal cycle</t>
  </si>
  <si>
    <t>SOUTHERN WEDDELL SEA; FIMBUL ICE SHELF; CIRCUMPOLAR DEEP-WATER; OCEAN MIXED-LAYER; CONTINENTAL-SHELF; OVERTURNING CIRCULATION; MARINE MAMMALS; HEAT-TRANSPORT; CLIMATE-CHANGE; BAROCLINIC INSTABILITY</t>
  </si>
  <si>
    <t>Determining the role of Southern Ocean warm intermediate water for driving melting of the Antarctic ice sheet is a major challenge in assessing future sea level rise. Analysis of 2859 CTD profiles obtained between 1977 and 2016 by ships and instrumented seals at the Weddell Sea continental slope reveals a seasonal rise of the Antarctic Slope Front thermocline by more than 100 m during the summer. The signal at Kapp Norvegia (17 degrees W) corresponds with a seasonal warming downstream at the Filchner Trough (40 degrees W), indicating that a coherent evolution of the slope front along the shelf break regulates the onshore flow of warm deep water. Climatological cross sections of the slope front hydrography show that downwelling of Antarctic Surface Water forms a secondary front above the warm deep water interface during summer. Enhanced baroclinic growth rates at this front suggest that the wind-driven suppression of the thermocline is partially compensated by a shallower eddy overturning cell when surface water is present. A simple model of the Weddell Gyre boundary current reveals that wintertime densification of surface waters is crucial for maintaining the deep thermocline along the eastern Weddell Sea coast. The sensitivity of the warm inflow to the cross-frontal density gradient implies a positive feedback with ice shelf melting that may lead to an abrupt transition into a high melting state once warm water rises over the shelf break depth. Despite its regional focus, this study highlights the role of upper ocean buoyancy fluxes for controlling the thermocline depth along seasonally ice-covered narrow shelf regions with cyclonic along-slope winds.</t>
  </si>
  <si>
    <t>[Hattermann, Tore] Alfred Wegener Inst, Bremerhaven, Germany; [Hattermann, Tore] Akvaplan Niva AS, Tromso, Norway</t>
  </si>
  <si>
    <t>Helmholtz Association; Alfred Wegener Institute, Helmholtz Centre for Polar &amp; Marine Research; Akvaplan-niva</t>
  </si>
  <si>
    <t>Hattermann, T (corresponding author), Alfred Wegener Inst, Bremerhaven, Germany.;Hattermann, T (corresponding author), Akvaplan Niva AS, Tromso, Norway.</t>
  </si>
  <si>
    <t>tore.hattermann@awi.de</t>
  </si>
  <si>
    <t>AWI strategic fund; Norwegian Research Council [231549]</t>
  </si>
  <si>
    <t>AWI strategic fund; Norwegian Research Council(Research Council of Norway)</t>
  </si>
  <si>
    <t>The marine mammal data were collected and made freely available by the International MEOP Consortium and the national programs that contribute to it (http://www.meop.net). T. Hattermann is thankful to the invaluable efforts of G. Rohardt for maintaining access to the historical hydrographic data and to E. Darelius and P. Renaud and three anonymous reviewers for helpful discussion and valuable comments that helped to improve manuscript. This work was funded by the AWI strategic fund and the Norwegian Research Council project 231549, Inflow of Warm Deep Water on the Antarctic Continental Shelves.</t>
  </si>
  <si>
    <t>10.1175/JPO-D-18-0064.1</t>
  </si>
  <si>
    <t>GW3PV</t>
  </si>
  <si>
    <t>Green Submitted, Bronze</t>
  </si>
  <si>
    <t>WOS:000446819000003</t>
  </si>
  <si>
    <t>Jech, JM; Lawson, GL; Lowe, MR</t>
  </si>
  <si>
    <t>Jech, J. Michael; Lawson, G. L.; Lowe, M. R.</t>
  </si>
  <si>
    <t>Comparing acoustic classification methods to estimate krill biomass in the Georges Bank region from 1999 to 2012</t>
  </si>
  <si>
    <t>LIMNOLOGY AND OCEANOGRAPHY-METHODS</t>
  </si>
  <si>
    <t>IN-SITU MEASUREMENTS; MEGANYCTIPHANES-NORVEGICA; ANTARCTIC KRILL; EUPHAUSIA-SUPERBA; MULTIFREQUENCY METHOD; THYSANOESSA-RASCHII; TARGET STRENGTHS; SOUND-SCATTERING; ZOOPLANKTON; VOLUME</t>
  </si>
  <si>
    <t>Krill are a critical component of northern-latitude ecosystems, yet are poorly monitored in the Gulf of Maine and Georges Bank regions of the northeast United States continental shelf. We applied five acoustic classification methods (multifrequency single-beam index [MFSBI], dB-differencing, multifrequency index [MFI], and two variations of the Z-score method) to acoustic data collected during surveys conducted annually in the Georges Bank region in order to map krill spatial distribution from 1999 to 2012. Material properties (sound speed and mass density) of krill and length data from net samples collected in the Gulf of Maine and Georges Bank regions were used in conjunction with distorted wave Born approximation (DWBA) predicted target strengths to scale acoustic data to estimates of biomass for the Georges Bank region. All methods require a priori information, ranging from training sets (i.e., empirically based classification) to validated acoustic models of target strength (i.e., theoretically based classification) for the species and acoustic frequencies of interest. Incorporating predicted backscatter from theoretical models can improve confidence in classification, especially when clean training sets are not available, but does come at the cost of a validated acoustic backscatter model. The biomass estimates from the four acoustic classification methods were comparable among each other, with the MFSBI method consistently estimating lowest biomass and the empirically based Z-score consistently estimating highest biomass. Comparisons to net-based estimates were inconsistent, most likely due to net inefficiency (low catchability), targeting of layers, and scaling point estimates to regions.</t>
  </si>
  <si>
    <t>[Jech, J. Michael] NOAA, Northeast Fisheries Sci Ctr, Woods Hole, MA 02543 USA; [Lawson, G. L.] Woods Hole Oceanog Inst, Woods Hole, MA 02543 USA; [Lowe, M. R.] Louisiana State Univ, Agr Ctr, Sch Renewable Nat Resources, Baton Rouge, LA 70803 USA; [Lowe, M. R.] US Geol Survey, Great Lakes Sci Ctr, Hammond Bay Biol Stn, Millersburg, MI USA</t>
  </si>
  <si>
    <t>National Oceanic Atmospheric Admin (NOAA) - USA; Woods Hole Oceanographic Institution; Louisiana State University System; Louisiana State University; United States Department of the Interior; United States Geological Survey</t>
  </si>
  <si>
    <t>Jech, JM (corresponding author), NOAA, Northeast Fisheries Sci Ctr, Woods Hole, MA 02543 USA.</t>
  </si>
  <si>
    <t>michael.jech@noaa.gov</t>
  </si>
  <si>
    <t>National Oceanic and Atmospheric Administration (NOAA) Fisheries and the Environment (FATE) program through Cooperative Institute for the North Atlantic Region (CINAR) [NA14OAR4320158]; NOAA Fisheries Quantitative Ecology and Socioeconomics Training (QUEST) program</t>
  </si>
  <si>
    <t>National Oceanic and Atmospheric Administration (NOAA) Fisheries and the Environment (FATE) program through Cooperative Institute for the North Atlantic Region (CINAR); NOAA Fisheries Quantitative Ecology and Socioeconomics Training (QUEST) program</t>
  </si>
  <si>
    <t>The authors acknowledge many fruitful discussions with Peter Wiebe (Woods Hole Oceanographic Institution) and the ICES Working Group Fisheries Acoustics Science and Technology (WG-FAST), and Nancy Copley (Woods Hole Oceanographic Institution) for measurements of Meganyctiphanes norvegica. This research was supported by the National Oceanic and Atmospheric Administration (NOAA) Fisheries and the Environment (FATE) program through the Cooperative Institute for the North Atlantic Region (CINAR) under Cooperative Agreement NA14OAR4320158. G. Lawson was also partially funded through the NOAA Fisheries Quantitative Ecology and Socioeconomics Training (QUEST) program.</t>
  </si>
  <si>
    <t>1541-5856</t>
  </si>
  <si>
    <t>LIMNOL OCEANOGR-METH</t>
  </si>
  <si>
    <t>Limnol. Oceanogr. Meth.</t>
  </si>
  <si>
    <t>10.1002/lom3.10275</t>
  </si>
  <si>
    <t>Limnology; Oceanography</t>
  </si>
  <si>
    <t>Marine &amp; Freshwater Biology; Oceanography</t>
  </si>
  <si>
    <t>GW8EV</t>
  </si>
  <si>
    <t>WOS:000447207700006</t>
  </si>
  <si>
    <t>Flexas, J; Gago, J</t>
  </si>
  <si>
    <t>Flexas, Jaume; Gago, Jorge</t>
  </si>
  <si>
    <t>A role for ecophysiology in the 'omics' era</t>
  </si>
  <si>
    <t>PLANT JOURNAL</t>
  </si>
  <si>
    <t>ecophysiology; genomics; transcriptomics; proteomics; metabolomics; 'omics'; ecophysiolomics; photosynthesis; extreme environments; sherplants</t>
  </si>
  <si>
    <t>MESOPHYLL DIFFUSION CONDUCTANCE; ANTARCTIC VASCULAR PLANTS; AZORELLA-COMPACTA; PHOTOSYNTHETIC CAPACITY; WATER-DEFICIT; POT SIZE; LEAF; ARABIDOPSIS; STRESS; LIMITATIONS</t>
  </si>
  <si>
    <t>Plant Ecophysiology is the study on how Plant Physiology is modulated by the environment. This discipline could have benefited greatly from the development of the different omic' technologies (from genomics to metabolomics). Instead, the overall impression is that ecophysiology and 'omics' have developed mostly independent each other. Here we provide a literature analysis over the past 20 years which fully confirms this view. Then, we review a few examples of studies in which ecophysiology and 'omics' studies have combined to different extents to illustrate the potential benefits from their mutualistic interaction. In addition, we debate on the possibilities of working with plants other than Arabidopsis, which is illustrated with some examples of fascinating plants from extreme environments of the world, what we call the sherplants'. Finally, we raise a call to both communities (ecophysiology and 'omics') to integrate these disciplines to enter an ecophysiolomics era' to maximize our understanding about plant mechanisms from a multidisciplinary approach. Significance Statement In this work we analyzed the relationship between the omic' technologies and plant ecophysiology. Literature data show that they developed mostly independent each other over the last 20 years. This fact promotes separated communities in each field losing the potential benefits from their mutualistic interaction. Here, we raise a call to both communities to integrate these disciplines to maximize our understanding about plant mechanisms from a multidisciplinary approach.</t>
  </si>
  <si>
    <t>[Flexas, Jaume; Gago, Jorge] Univ Illes Balears, Inst Agroecol &amp; Econ Agua INAGEA, Res Grp Plant Biol Mediterranean Condit, Cta Valldemossa Km 7, Palma De Mallorca 5, Spain</t>
  </si>
  <si>
    <t>Flexas, J (corresponding author), Univ Illes Balears, Inst Agroecol &amp; Econ Agua INAGEA, Res Grp Plant Biol Mediterranean Condit, Cta Valldemossa Km 7, Palma De Mallorca 5, Spain.</t>
  </si>
  <si>
    <t>jaume.flexas@uib.es</t>
  </si>
  <si>
    <t>Gago, Jorge/N-3591-2013; Flexas, Jaume/C-1898-2012</t>
  </si>
  <si>
    <t>Flexas, Jaume/0000-0002-3069-175X</t>
  </si>
  <si>
    <t>Ministerio de Economia y Competitividad (MINECO, Spain) [CTM2014-53902-C2-1-P]; ERDF (FEDER)</t>
  </si>
  <si>
    <t>Ministerio de Economia y Competitividad (MINECO, Spain)(Spanish Government); ERDF (FEDER)(European Union (EU))</t>
  </si>
  <si>
    <t>Current research by JF and JG is supported by project CTM2014-53902-C2-1-P from the Ministerio de Economia y Competitividad (MINECO, Spain) and the ERDF (FEDER). We want to thank Belen Escutia for her design and artwork in Figure 3; Miroslav Dvorsky and Jiri Dolezal for sharing their pictures of Himalayan plants; Jose Miguel Martinez-Zapater for permission to tell his anecdote; and Alisdair Fernie, Carlos Figueroa and Maria Jose Clemente for useful comments on early drafts of this manuscript.</t>
  </si>
  <si>
    <t>0960-7412</t>
  </si>
  <si>
    <t>1365-313X</t>
  </si>
  <si>
    <t>PLANT J</t>
  </si>
  <si>
    <t>Plant J.</t>
  </si>
  <si>
    <t>10.1111/tpj.14059</t>
  </si>
  <si>
    <t>GW1WI</t>
  </si>
  <si>
    <t>WOS:000446672300003</t>
  </si>
  <si>
    <t>Lebreiro, SM; Antón, L; Reguera, MI; Marzocchi, A</t>
  </si>
  <si>
    <t>Lebreiro, S. M.; Anton, L.; Reguera, M., I; Marzocchi, A.</t>
  </si>
  <si>
    <t>Paleoceanographic and climatic implications of a new Mediterranean Outflow branch in the southern Gulf of Cadiz</t>
  </si>
  <si>
    <t>QUATERNARY SCIENCE REVIEWS</t>
  </si>
  <si>
    <t>Quaternary; Paleoceanography; Climate modelling; North Atlantic; Foraminifers; Stable isotopes; Sortable silt; Mediterranean outflow; Morocco contourite drift</t>
  </si>
  <si>
    <t>DEEP-WATER CIRCULATION; MERIDIONAL OVERTURNING CIRCULATION; ANTARCTIC INTERMEDIATE WATER; RADIOCARBON AGE CALIBRATION; EASTERN BOUNDARY CURRENT; SORTABLE SILT; PLANKTONIC-FORAMINIFERA; CONTOURITE SYSTEM; SANDY CONTOURITES; NORTHWEST AFRICA</t>
  </si>
  <si>
    <t>The presence of contourite drifts in the southern Gulf of Cadiz (GoC) along the Moroccan margin raises questions about the (re)circulation of Mediterranean Outflow Water (MOW) in the GoC and the origin of the currents depositing them. Here, we compare two cores representative of Iberian and Moroccan contourite drifts, covering the last 22 kyr. Although the whole sequence is contouritic in character, it reflects the interaction of distinctive silty-contourite facies (high flow velocity periods) imbedded in muddy-contourite fades (low flow velocity periods). Evidence from benthic foraminifera delta C-13, sortable silt grain-size, oceanographic CTD profiles and numerical simulations, indicate the Mediterranean water mass as the source of the southern contourite deposits. Our data, therefore, suggests an additional branch of upper-MOW veering southwards off the Straits of Gibraltar along the Moroccan margin. During MIS(Marine Isotope Stage) 2, upper-MOW was a sluggish current while in the Holocene upper-MOW dominated as a fast, semi-steady flow. Throughout the deglaciation, silty contourites associated with higher flow speeds were deposited in the northern and southern GoC during cold events such as Heinrich Stadial 1 (HSI) and the Younger Dryas, forced by global millennial-scale climate variability. Millennial variability also appears to drive the deposition of silty-contourites in the Holocene. We estimated an average duration of 1 ka for the process of depositing a fast contourite unit. The case of silty-contourite 16 (within HSI) allows us to illustrate with extremely high resolution a rapid sequential change in circulation, with gradual slow-down of dense Mediterranean water while surface was freshening (HSI), provoking injection of high-salinity intermediate waters (via contour-currents) into the GoC, and hence the North Atlantic. The subsequent brief collapse of dense water formation in the Mediterranean Sea triggered a major increase in sea surface temperatures (10 degrees C/ka) in the GoC, developing into the next interstadial (Bolling/Allerod). The impact of Mediterranean intermediate waters is manifested here by triggering a substantial rearrangement of intermediate and deep circulation in the North Atlantic, which would have further impacted the Atlantic Meridional Overturning Circulation (AMOC). (C) 2018 Elsevier Ltd. All rights reserved.</t>
  </si>
  <si>
    <t>[Lebreiro, S. M.; Reguera, M., I] IGME Geol Survey Spain, Madrid 28003, Spain; [Anton, L.] IGME Geol Survey Spain, Tres Cantos 28760, Spain; [Marzocchi, A.] Natl Oceanog Ctr, Southampton, Hants, England</t>
  </si>
  <si>
    <t>NERC National Oceanography Centre</t>
  </si>
  <si>
    <t>Lebreiro, SM (corresponding author), IGME Geol Survey Spain, Madrid 28003, Spain.</t>
  </si>
  <si>
    <t>susana.lebreiro@igme.es; l.anton@igme.es; mi.reguera@igme.es; alice.marzocchie@noc.ac.uk</t>
  </si>
  <si>
    <t>Antón, Laura/L-6525-2017; Reguera, Maria Isabel/AAD-9564-2019; Lebreiro, Susana M./A-3649-2009</t>
  </si>
  <si>
    <t>Antón, Laura/0000-0002-1888-7776; Reguera, Maria Isabel/0000-0002-7426-5437; Lebreiro, Susana M./0000-0003-1478-2448; Marzocchi, Alice/0000-0002-3430-3574</t>
  </si>
  <si>
    <t>Spanish Ministerio de Ciencia e Innovacion [CTM2008-06399-004-02/MAR]; Euromargins project [01-LEC-EMA24F/CYCIT REN2002-11669-E/MAR]; NERC [noc010010] Funding Source: UKRI</t>
  </si>
  <si>
    <t>Spanish Ministerio de Ciencia e Innovacion(Instituto de Salud Carlos IIISpanish Government); Euromargins project; NERC(UK Research &amp; Innovation (UKRI)Natural Environment Research Council (NERC))</t>
  </si>
  <si>
    <t>This work was done within the framework of the Contouriber coordinated project - Contourite depositional Systems generated by Mediterranean water masses around Iberia: evolution and global implication, subproject CTM2008-06399-004-02/MAR, supported by the Spanish Ministerio de Ciencia e Innovacion. Core GC-01A-PC&amp;TC was collected during cruise CONTOURIBER-1, 2010, and core MVSEIS08_TG-2 during cruise MVSEIS2008 (Euromargins project 01-LEC-EMA24F/CYCIT REN2002-11669-E/MAR).</t>
  </si>
  <si>
    <t>0277-3791</t>
  </si>
  <si>
    <t>QUATERNARY SCI REV</t>
  </si>
  <si>
    <t>Quat. Sci. Rev.</t>
  </si>
  <si>
    <t>10.1016/j.quascirev.2018.07.036</t>
  </si>
  <si>
    <t>GW6QK</t>
  </si>
  <si>
    <t>Green Published, Green Accepted</t>
  </si>
  <si>
    <t>WOS:000447085200006</t>
  </si>
  <si>
    <t>Sarricolea, P; Meseguer-Ruiz, O; Martín-Vide, J; Outeiro, L</t>
  </si>
  <si>
    <t>Sarricolea, Pablo; Meseguer-Ruiz, Oliver; Martin-Vide, Javier; Outeiro, Luis</t>
  </si>
  <si>
    <t>Trends in the frequency of synoptic types in central-southern Chile in the period 1961-2012 using the Jenkinson and Collison synoptic classification</t>
  </si>
  <si>
    <t>THEORETICAL AND APPLIED CLIMATOLOGY</t>
  </si>
  <si>
    <t>CIRCULATION WEATHER TYPES; OBJECTIVE CLASSIFICATION; PRECIPITATION; VARIABILITY; TEMPERATURE; REGIME</t>
  </si>
  <si>
    <t>Atmospheric circulation patterns in southern Chile (42 degrees 30 S) were studied in order to determine and analyse the most characteristic synoptic types and their recent trends, as well as to gain an understanding of how they are associated with low-frequency variability patterns. According to the Jenkinson and Collison (J&amp;C) classification method, a 16-point grid of sea-level pressure data was employed. The findings reveal that some synoptic types show statistically significant trends with a 95% confidence level, positively for anticyclonic westerly hybrids (AW) and advective types for third and fourth quadrant wind flows (W, NW, and N) and negatively for SW and cyclonic hybrids (CS and CSW). A model has been constructed of the linear regression of some weather types with teleconnections that most affect Chile: the undetermined types (U), AW were associated with El Nino or the warm phase of the Pacific Decadal Oscillation (PDO), whereas the cyclonic northerly and cyclonic northeasterly types (CN and CNE) were associated with La Nina or cool phase of the PDO. The weather types associated with Antarctic Oscillation (AAO) in its positive phase are anticyclonic northerly and northeasterly and northerly advection types, while in its negative phase are cyclonic southwesterly and advection types.</t>
  </si>
  <si>
    <t>[Sarricolea, Pablo] Univ Chile, Dept Geog, Santiago, Chile; [Sarricolea, Pablo; Meseguer-Ruiz, Oliver; Martin-Vide, Javier] Univ Barcelona, Climatol Grp, Barcelona, Spain; [Sarricolea, Pablo] Univ Chile, Risk Reduct &amp; Disaster Program, CITRID, Santiago, Chile; [Meseguer-Ruiz, Oliver] Univ Tarapaca, Dept Ciencias Hist &amp; Geog, Arica, Chile; [Outeiro, Luis] Univ Los Lagos, Dept Social Sci, Osorno, Chile; [Outeiro, Luis] Univ Santiago de Compostela, Dept Appl Econ, Santiago De Compostela, Spain; [Outeiro, Luis] Univ Bristish Columbia, Inst Oceans &amp; Fisheries, Vancouver, BC, Canada</t>
  </si>
  <si>
    <t>Universidad de Chile; University of Barcelona; Universidad de Chile; Universidad de Tarapaca; Universidad de Los Lagos; Universidade de Santiago de Compostela; University of British Columbia</t>
  </si>
  <si>
    <t>Sarricolea, P (corresponding author), Univ Chile, Dept Geog, Santiago, Chile.;Sarricolea, P (corresponding author), Univ Barcelona, Climatol Grp, Barcelona, Spain.;Sarricolea, P (corresponding author), Univ Chile, Risk Reduct &amp; Disaster Program, CITRID, Santiago, Chile.</t>
  </si>
  <si>
    <t>psarricolea@uchilefau.cl</t>
  </si>
  <si>
    <t>Sarricolea, Pablo/I-3246-2013; Meseguer-Ruiz, Oliver/K-7886-2017</t>
  </si>
  <si>
    <t>Sarricolea, Pablo/0000-0002-6679-2798; Meseguer-Ruiz, Oliver/0000-0002-2222-6137; Outeiro, Luis/0000-0001-6536-2158</t>
  </si>
  <si>
    <t>FONDECYT [11130629, 11160059, 3130633]; Climatology Group [2014SGR300]; Convenio de Desempeno UTA-MINEDUC; Xunta de Galicia Postdoctoral program I2C</t>
  </si>
  <si>
    <t>FONDECYT(Comision Nacional de Investigacion Cientifica y Tecnologica (CONICYT)CONICYT FONDECYT); Climatology Group; Convenio de Desempeno UTA-MINEDUC; Xunta de Galicia Postdoctoral program I2C</t>
  </si>
  <si>
    <t>The authors acknowledge data input from the NCEP/NCAR Reanalysis project, taken from its website http://www.esrl.noaa.gov/psd/. Furthermore, this research study was financed by the FONDECYT Initiation into Research Projects No. 11130629 and 11160059, FONDECYT Postdoctoral Grant No. 3130633, the Climatology Group (2014SGR300, Catalan Government), and the Convenio de Desempeno UTA-MINEDUC. Luis Outeiro also wants to thank Xunta de Galicia Postdoctoral program I2C (2015-2018) for their support. We would like to acknowledge the OLISTIS team, a language services cooperative specialised in Earth science (www.olistis.org).</t>
  </si>
  <si>
    <t>SPRINGER WIEN</t>
  </si>
  <si>
    <t>WIEN</t>
  </si>
  <si>
    <t>SACHSENPLATZ 4-6, PO BOX 89, A-1201 WIEN, AUSTRIA</t>
  </si>
  <si>
    <t>0177-798X</t>
  </si>
  <si>
    <t>1434-4483</t>
  </si>
  <si>
    <t>THEOR APPL CLIMATOL</t>
  </si>
  <si>
    <t>Theor. Appl. Climatol.</t>
  </si>
  <si>
    <t>1-2</t>
  </si>
  <si>
    <t>10.1007/s00704-017-2268-5</t>
  </si>
  <si>
    <t>GW0JZ</t>
  </si>
  <si>
    <t>WOS:000446552300014</t>
  </si>
  <si>
    <t>Pershina, EV; Ivanova, EA; Abakumov, EV; Andronov, EE</t>
  </si>
  <si>
    <t>Pershina, E., V; Ivanova, E. A.; Abakumov, E., V; Andronov, E. E.</t>
  </si>
  <si>
    <t>The impacts of deglaciation and human activity on the taxonomic structure of prokaryotic communities in Antarctic soils on King George Island</t>
  </si>
  <si>
    <t>16 S rRNA amplicon pyrosequencing; Antarctic moraines; anthropogenic impact; microbiome</t>
  </si>
  <si>
    <t>16S RIBOSOMAL-RNA; SP-NOV.; DIVERSITY; BACTERIA; STATION</t>
  </si>
  <si>
    <t>The soil microbiome was investigated at environmentally distinct locations on King George Island in the South Shetland Islands (Antarctic Peninsula) using 16 S rRNA gene pyrosequencing. The taxonomic composition of the soil prokaryotes (bacteria and archaea) was evaluated at three sites representing human-disturbed soils (Bellingshausen Station) and soils undergoing different stages of deglaciation (fresh and old moraines located near Ecology Glacier). The taxonomic analysis revealed 20 bacterial and archaeal phyla, among which Proteobacteria (29.6%), Actinobacteria (25.3%), Bacteroidetes (15.8%), Cyanobacteria (11.2%), Acidobacteria (4.9%) and Verrucomicrobia (4.5%) comprised most of the microbiome. In a beta-diversity analysis, the samples formed separate clusters. The Bellingshausen Station samples were characterized by an increased amount of Nostoc sp. and Janibacter sp. Although the deglaciation history had less of an effect on the soil microbiome, the early stages of deglaciation (Sample 1) had a higher proportion of bacteria belonging to the families Xanthomonadaceae, Sphingomonadaceae and Nocardioidaceae, whereas the older moraines (Sample 2) were enriched with Chthoniobacteriacae and N1423WL. Solirubrobacteriales, Gaiellaceae and Chitinophagaceae bacteria were present in both stages of deglaciation, characterized by genus-level differences. Taxonomic analysis of the abundant operational taxonomic units (OTUs) revealed both endemic (Marisediminicola antarctica, Hymenobacter glaciei) and cosmopolitan bacterial species in the microbiomes.</t>
  </si>
  <si>
    <t>[Pershina, E., V; Ivanova, E. A.; Andronov, E. E.] All Russia Res Inst Agr Microbiol, Podbelsky Highway 3, St Petersburg, Russia; [Pershina, E., V; Ivanova, E. A.; Abakumov, E., V; Andronov, E. E.] St Petersburg State Univ, Univ Skaya Embankment 719, St Petersburg, Russia; [Ivanova, E. A.; Andronov, E. E.] VV Dokuchaev Soil Inst, Pyzhevskiy Lane 7 B-2, Moscow, Russia</t>
  </si>
  <si>
    <t>Saint Petersburg State University; Dokuchaev Soil Science Institute</t>
  </si>
  <si>
    <t>Pershina, EV (corresponding author), All Russia Res Inst Agr Microbiol, Podbelsky Highway 3, St Petersburg, Russia.;Pershina, EV (corresponding author), St Petersburg State Univ, Univ Skaya Embankment 719, St Petersburg, Russia.</t>
  </si>
  <si>
    <t>microbioliza@gmail.com</t>
  </si>
  <si>
    <t>Ivanova, Ekaterina/AAN-7257-2020; Ivanova, Ekaterina/F-9279-2017; Evdokimova, Elizaveta Vladimirovna/N-2985-2015; Abakumov, e_abakumov@mail.ru/ADJ-1297-2022; Abakumov, Evgeny/AAO-8580-2020; Andronov, Evgeny/S-1688-2016</t>
  </si>
  <si>
    <t>Ivanova, Ekaterina/0000-0003-1589-9875; Abakumov, e_abakumov@mail.ru/0000-0002-5248-9018; Abakumov, Evgeny/0000-0002-5248-9018; Andronov, Evgeny/0000-0002-5204-262X</t>
  </si>
  <si>
    <t>Russian Scientific Foundation [17-16-01030, 14-26-00094P]; Russian Science Foundation [17-26-00003, 17-16-01030] Funding Source: Russian Science Foundation</t>
  </si>
  <si>
    <t>Russian Scientific Foundation(Russian Science Foundation (RSF)); Russian Science Foundation(Russian Science Foundation (RSF))</t>
  </si>
  <si>
    <t>This work was supported by the Russian Scientific Foundation projects 17-16-01030, 'Soil biota dynamics in chronoseries of post-technogenic landscapes: analyses of soil ecological effectiveness of ecosystems restoration' (soil sampling, agrochemical analysis, preparation of the manuscript), and 14-26-00094P, 'Analysis of the soil microbiomes' genetic and evolutionary potential for increasing plant productivity and soil fertility' (molecular analysis, pyrosequencing, bioinformatics). The authors are grateful for the constructive comments and suggestions provided by the two anonymous reviewers, which significantly improved the paper.</t>
  </si>
  <si>
    <t>10.1017/S095410201800024X</t>
  </si>
  <si>
    <t>WOS:000446442500003</t>
  </si>
  <si>
    <t>La Mesa, M; Riginella, E; Donato, F; Mazzoldi, C</t>
  </si>
  <si>
    <t>La Mesa, Mario; Riginella, Emilio; Donato, Fortunata; Mazzoldi, Carlotta</t>
  </si>
  <si>
    <t>Life history traits of rare Antarctic dragonfishes from the Weddell Sea</t>
  </si>
  <si>
    <t>age; bathydraconids; gametogenesis; reproduction; Southern Ocean</t>
  </si>
  <si>
    <t>ROSS SEA; FISHES; BATHYDRACONIDAE; NOTOTHENIOIDEI; PISCES; ARTEDIDRACONIDAE; GAMETOGENESIS; REPRODUCTION; GROWTH; AGE</t>
  </si>
  <si>
    <t>The life history traits of bathydraconids, deep-living fishes distributed all around the Antarctic continent, are poorly known. In particular, very few data are available on the relatively rare genera Akarotaxis and Bathydraco. With the aim to fill this gap, sagittal otoliths and gonads were analysed to assess individual age and reproductive features of Akarotaxis nudiceps (Waite, 1916), Bathydraco macrolepis Boulenger 1907 and Bathydraco marri Norman, 1938 collected in the Weddell Sea. Based on the annual growth increment patterns, age estimates ranged between 6-11, 5-11 and 8-11 years for A. nudiceps, B. macrolepis and B. marri, respectively. Most of the gametogenetic processes could be described based on gonad histology for both sexes. Females shared the reproductive features commonly reported in notothenioids, such as group-synchronous ovary development and prolonged gametogenesis. Total fecundity estimates were comparable between the two species of Bathydraco (1500-2500 eggs/female), whereas that of Akarotaxis was one order of magnitude smaller (200-250 eggs/female). Consistently, the mean size of late vitellogenic oocytes showed an opposite trend, being 1.6-1.8 mm in Bathydraco and 2.2 mm in Akarotaxis.</t>
  </si>
  <si>
    <t>[La Mesa, Mario; Donato, Fortunata] CNR, Inst Marine Sci, Largo Fiera Pesca 1, I-60125 Ancona, Italy; [Riginella, Emilio] Zool Stn Anton Dohrn, I-80121 Naples, Italy; [Mazzoldi, Carlotta] Univ Padua, Dept Biol, Via U Bassi 58IB, I-35131 Padua, Italy</t>
  </si>
  <si>
    <t>Consiglio Nazionale delle Ricerche (CNR); Istituto di Scienze Marine (ISMAR-CNR); Stazione Zoologica Anton Dohrn di Napoli; University of Padua</t>
  </si>
  <si>
    <t>La Mesa, M (corresponding author), CNR, Inst Marine Sci, Largo Fiera Pesca 1, I-60125 Ancona, Italy.</t>
  </si>
  <si>
    <t>m.lamesa@ismar.cnr.it</t>
  </si>
  <si>
    <t>Riginella, Emilio/Q-2987-2019; Mazzoldi, Carlotta/AAU-8628-2020</t>
  </si>
  <si>
    <t>Riginella, Emilio/0000-0002-1442-8310; Donato, Fortunata/0009-0000-4836-8216; MAZZOLDI, CARLOTTA/0000-0002-2798-3030</t>
  </si>
  <si>
    <t>Italian National Antarctic Research Program (PNRA) [2013/C1.07]</t>
  </si>
  <si>
    <t>Italian National Antarctic Research Program (PNRA)(Ministry of Education, Universities and Research (MIUR))</t>
  </si>
  <si>
    <t>We would like to thank all of the crew members and personnel aboard RV Polarstern during the cruises PS82 and PS96, for their valuable support during field sampling activities. We are much indebted to two anonymous reviewers, whose comments improved the early draft of the manuscript. This study was financially supported by the Italian National Antarctic Research Program (PNRA) within the project 2013/C1.07.</t>
  </si>
  <si>
    <t>10.1017/S0954102018000317</t>
  </si>
  <si>
    <t>WOS:000446442500004</t>
  </si>
  <si>
    <t>Hughes, KA; Misiak, M; Ulaganathan, Y; Newsham, KK</t>
  </si>
  <si>
    <t>Hughes, Kevin A.; Misiak, Marta; Ulaganathan, Yogabaanu; Newsham, Kevin K.</t>
  </si>
  <si>
    <t>Importation of psychrotolerant fungi to Antarctica associated with wooden cargo packaging</t>
  </si>
  <si>
    <t>Antarctic Treaty area; human impact; ISPM 15; microorganism; non-native; timber</t>
  </si>
  <si>
    <t>BIOLOGICAL INVASIONS; TERRESTRIAL; TRANSPORTATION; MICROORGANISMS; ENVIRONMENTS; IMPACTS; RISK</t>
  </si>
  <si>
    <t>The harsh climatic conditions and low levels of human activity in Antarctica, relative to other regions, means few non-native species have established. However, the risk of introductions is becoming greater as human activity increases. Non-native microorganisms can be imported to Antarctica in association with fresh food, cargo and personal clothing, but the likelihood of their establishment is not well understood. In January 2015, a wooden packing crate, heavily contaminated with fungi, was imported by aircraft from Punta Arenas, Chile, to Rothera Research Station, Antarctica. Mucor racemosus Bull. and two strains of Trichoderma viridescens (A.S. Horne &amp; H.S. Will.) Jaklitsch &amp; Samuels were isolated from the wood. Measurements of hyphal extension rates indicated that all three strains were psychrotolerant and capable of growth at 4 degrees C, with M. racemosus growing at 0 degrees C. The imported fungi could grow at rates equivalent to, or faster than, species isolated from Antarctic soils, suggesting that low temperature may not be a limiting factor for establishment. It is recommended that wood heat-treatment standards, equivalent to those described in the International Standards for Phytosanitary Measures No. 15, are employed by national operators importing cargo into Antarctica, and that treated wood is adequately stored to prevent fungal contamination prior to transportation.</t>
  </si>
  <si>
    <t>[Hughes, Kevin A.; Misiak, Marta; Newsham, Kevin K.] NERC, British Antarctic Survey, Madingley Rd, Cambridge CB3 0ET, England; [Ulaganathan, Yogabaanu] Univ Malaya, Natl Antarctic Res Ctr, Kuala Lumpur 50603, Malaysia</t>
  </si>
  <si>
    <t>UK Research &amp; Innovation (UKRI); Natural Environment Research Council (NERC); NERC British Antarctic Survey; Universiti Malaya</t>
  </si>
  <si>
    <t>Hughes, KA (corresponding author), NERC, British Antarctic Survey, Madingley Rd, Cambridge CB3 0ET, England.</t>
  </si>
  <si>
    <t>kehu@bas.ac.uk</t>
  </si>
  <si>
    <t>Hughes, Kevin/JVZ-0793-2024</t>
  </si>
  <si>
    <t>ULAGANATHAN, YOGA/0000-0002-5628-9232</t>
  </si>
  <si>
    <t>NERC; NERC [bas0100036, bas010011] Funding Source: UKRI</t>
  </si>
  <si>
    <t>NERC(UK Research &amp; Innovation (UKRI)Natural Environment Research Council (NERC)); NERC(UK Research &amp; Innovation (UKRI)Natural Environment Research Council (NERC))</t>
  </si>
  <si>
    <t>This paper is a contribution to the SCAR State of the Antarctic Ecosystem (AntEco) research programme. The authors are supported by NERC core funding to the British Antarctic Survey's Polar Science for Planet Earth programmes 'Biodiversity, Evolution and Adaptation' and 'Environment Office - Long Term Monitoring and Survey' (EO-LTMS). The authors are grateful to Laura Gerrish for map production, Alison Massey for technical assistance, Will Goodall-Copestake for help with DNA sequence analyses, and to three anonymous reviewers, who provided helpful comments on the manuscript.</t>
  </si>
  <si>
    <t>10.1017/S0954102018000329</t>
  </si>
  <si>
    <t>WOS:000446442500005</t>
  </si>
  <si>
    <t>Pant, NC; Jimenez-Espejo, FJ; Cook, CP; Biswas, P; McKay, R; Marchesi, C; Ito, M; Upadhyay, D; Kuroda, J; Shimizu, K; Sendai, R; Van De Flierdt, T; Takano, Y; Suzuki, K; Escutia, C; Shrivastava, PK</t>
  </si>
  <si>
    <t>Pant, Naresh C.; Jimenez-Espejo, Francisco J.; Cook, Cary P.; Biswas, Paromita; McKay, Robert; Marchesi, Claudio; Ito, Motoo; Upadhyay, Dewashish; Kuroda, Junichiro; Shimizu, Kenji; Sendai, Ryoko; Van De Flierdt, Tina; Takano, Yoshinori; Suzuki, Katsuhiko; Escutia, Carlota; Shrivastava, Prakash K.</t>
  </si>
  <si>
    <t>Suspected meteorite fragments in marine sediments from East Antarctica</t>
  </si>
  <si>
    <t>Adelie Coast; achondrite-type meteorite; ice-rafting; oxygen isotopes</t>
  </si>
  <si>
    <t>CRYSTAL-STRUCTURE; GEOCHEMISTRY; PETROLOGY; BASALT; PETROGENESIS; MERRILLITE; LAND</t>
  </si>
  <si>
    <t>Unusual mafic rock fragments deposited in Plio-Pleistocene-aged marine sediments were recorded at Integrated Ocean Drilling Program (IODP) Site U1359, in Wilkes Land, East Antarctica. These fragments were identified from sediment layers deposited between c. 3 and 1.2 Ma, indicating a sustained supply during this time interval. Clinopyroxenes in these basalts are Al-Ti diopside hedenbergite, uncommon in terrestrial magmatic rocks. A single strong peak in the Raman spectra of a phosphate-bearing mineral at 963 cm(-1) supports the presence of merrillite. Although not conclusive, petrological traits and oxygen isotopic compositions also suggest that the fragments may be extraterrestrial fragments affected by shock metamorphism. Nevertheless, it is concluded that the basaltic fragments incorporated in marine sediments at Site U1359 represent ice-rafted material supplied to the continental rise of East Antarctica, probably from the bedrocks near the proximal Ninnis Glacier. Further studies on Plio-Pleistocene sediments near Site U1359 are required to characterize the unusual mafic rocks described.</t>
  </si>
  <si>
    <t>[Pant, Naresh C.; Biswas, Paromita] Univ Delhi, Dept Geol, Ctr Adv Studies, Delhi 11007, India; [Jimenez-Espejo, Francisco J.; Kuroda, Junichiro; Takano, Yoshinori; Suzuki, Katsuhiko] Japan Agcy Marine Earth Sci &amp; Technol, Yokosuka, Kanagawa 2370061, Japan; [Cook, Cary P.] Imperial Coll London, Grantham Inst Climate Change, London SW7 2AZ, England; [Cook, Cary P.] Univ Florida, Dept Geol Sci, Gainesville, FL 32611 USA; [McKay, Robert] Victoria Univ Wellington, Antarctic Res Ctr, POB 600, Wellington 6140, New Zealand; [Marchesi, Claudio] UGR, Dept Mineral &amp; Petrol, Granada 18002, Spain; [Marchesi, Claudio; Escutia, Carlota] UGR, Inst Andaluz Ciencias Tierra, CSIC, Granada 18100, Spain; [Ito, Motoo; Shimizu, Kenji] JAMSTEC, Kochi Inst Core Sample Res, Kochi 7838502, Japan; [Upadhyay, Dewashish] Indian Inst Technol, Dept Geol &amp; Geophys, Kharagpur 721302, W Bengal, India; [Sendai, Ryoko] Kyushu Univ, Fac Social &amp; Cultural Studies, Nishi Ku, 744 Motooka, Fukuoka, Fukuoka 8190395, Japan; [Van De Flierdt, Tina] Imperial Coll London, Dept Earth Sci &amp; Engn, London SW7 2AZ, England; [Shrivastava, Prakash K.] Geol Survey India, Faridabad, India</t>
  </si>
  <si>
    <t>University of Delhi; Japan Agency for Marine-Earth Science &amp; Technology (JAMSTEC); Imperial College London; State University System of Florida; University of Florida; Victoria University Wellington; University of Granada; Consejo Superior de Investigaciones Cientificas (CSIC); CSIC - Instituto Andaluz de Ciencias de la Tierra (IACT); University of Granada; Japan Agency for Marine-Earth Science &amp; Technology (JAMSTEC); Indian Institute of Technology System (IIT System); Indian Institute of Technology (IIT) - Kharagpur; Kyushu University; Imperial College London; Geological Survey India</t>
  </si>
  <si>
    <t>Jimenez-Espejo, FJ (corresponding author), Japan Agcy Marine Earth Sci &amp; Technol, Yokosuka, Kanagawa 2370061, Japan.</t>
  </si>
  <si>
    <t>fjjspejo@jamstec.go.jp</t>
  </si>
  <si>
    <t>Jimenez-Espejo, Francisco J/F-4486-2016; Jimenez-Espejo, Francisco J./AAR-2318-2020; Shimizu, Kenji/IAM-2783-2023; Suzuki, Katsuhiko/B-1143-2018; Kuroda, Junichiro/A-3007-2016; Escutia, Carlota/B-8614-2015; Marchesi, Claudio/A-6592-2011</t>
  </si>
  <si>
    <t>Jimenez-Espejo, Francisco J/0000-0002-0335-8580; Suzuki, Katsuhiko/0000-0003-4266-5046; Kuroda, Junichiro/0000-0002-2218-4854; Escutia, Carlota/0000-0002-4932-8619; Marchesi, Claudio/0000-0001-7313-5692; McKay, Robert/0000-0002-5602-6985; Shimizu, Kenji/0000-0003-3274-1068</t>
  </si>
  <si>
    <t>U.S. National Science Foundation (NSF); MEXT; National Centre for Antarctic and Ocean Research (NCAOR); Spanish Ministry of Science and Innovation Grant [CTM-2011-24079]; MEXT-Japan; Royal Society of New Zealand Rutherford Discovery Fellowship scheme [RDF-13-VUW-003]; Ramon y Cajal Fellowship [RYC-2012-11314]; NERC [NE/H014144/1]; European Commission [IRG 230828]; JSPS [26287142]; JSPS Strategic Fund for Strengthening Leading Edge Research and Development; NERC [NE/R018219/1, NE/H025162/1, NE/H014144/1] Funding Source: UKRI; Grants-in-Aid for Scientific Research [26287142] Funding Source: KAKEN</t>
  </si>
  <si>
    <t>U.S. National Science Foundation (NSF)(National Science Foundation (NSF)); MEXT(Ministry of Education, Culture, Sports, Science and Technology, Japan (MEXT)); National Centre for Antarctic and Ocean Research (NCAOR); Spanish Ministry of Science and Innovation Grant(Spanish Government); MEXT-Japan(Ministry of Education, Culture, Sports, Science and Technology, Japan (MEXT)); Royal Society of New Zealand Rutherford Discovery Fellowship scheme(Royal Society of New Zealand); Ramon y Cajal Fellowship(Spanish Government); NERC(UK Research &amp; Innovation (UKRI)Natural Environment Research Council (NERC)); European Commission(European Union (EU)European Commission Joint Research Centre); JSPS(Ministry of Education, Culture, Sports, Science and Technology, Japan (MEXT)Japan Society for the Promotion of Science); JSPS Strategic Fund for Strengthening Leading Edge Research and Development; NERC(UK Research &amp; Innovation (UKRI)Natural Environment Research Council (NERC)); Grants-in-Aid for Scientific Research(Ministry of Education, Culture, Sports, Science and Technology, Japan (MEXT)Japan Society for the Promotion of ScienceGrants-in-Aid for Scientific Research (KAKENHI))</t>
  </si>
  <si>
    <t>This research used samples and data provided by the Integrated Ocean Drilling Program (IODP). The IODP is sponsored by the U.S. National Science Foundation (NSF), MEXT and participating countries under the management of Joint Oceanographic Institutions.The authors are indebted to Dr Atkins as editor, Dr Panter as reviewer, one anonymous reviewer, and Dr Akira Yamaguchi for their invaluable comments. NCP and PB acknowledge support from the National Centre for Antarctic and Ocean Research (NCAOR). We thank Nanophoton Corporation for providing Raman spectra analysis. Support for this study was provided to CE and FJE by the Spanish Ministry of Science and Innovation Grant CTM-2011-24079 and MEXT-Japan. RMK acknowledges funding from the Royal Society of New Zealand Rutherford Discovery Fellowship scheme (RDF-13-VUW-003). CM's research is supported by a Ramon y Cajal Fellowship (RYC-2012-11314). TvDF acknowledges funding from NERC (Grant NE/H014144/1) and the European Commission (Grant IRG 230828). MI acknowledges support by a JSPS Grant-in-Aid for Scientific Research (B), Grant Number 26287142, and by the JSPS Strategic Fund for Strengthening Leading Edge Research and Development to JAMSTEC.</t>
  </si>
  <si>
    <t>10.1017/S0954102018000299</t>
  </si>
  <si>
    <t>WOS:000446442500006</t>
  </si>
  <si>
    <t>Rodrigues, D; Negri, AE; Balpardo, C; Arazi, A; Faestermann, T; Niello, JOF; Fimiani, L; Guzmán, JMG; Hain, K; Korschinek, G; Ludwig, P; Marti, GV</t>
  </si>
  <si>
    <t>Rodrigues, Dario; Negri, Agustin E.; Balpardo, Christian; Arazi, Andres; Faestermann, Thomas; Niello, Jorge O. Fernandez; Fimiani, Leticia; Guzman, Jose Manuel Gomez; Hain, Karin; Korschinek, Gunther; Ludwig, Peter; Marti, Guillermo V.</t>
  </si>
  <si>
    <t>Assessment of 53Mn deposition on Earth via accelerator mass spectrometry</t>
  </si>
  <si>
    <t>APPLIED RADIATION AND ISOTOPES</t>
  </si>
  <si>
    <t>ACCRETION RATE; DUST; MICROMETEORITES; SUPERNOVAE; PARTICLES; TRANSPORT; AMS</t>
  </si>
  <si>
    <t>The Mn-53 flux onto Earth is a quantity relevant for different extraterrestrial and astrophysical questions. It is a proxy for related fluxes, such as supernova-produced material or interplanetary dust particles. In this work, we performed a first attempt to assess the Mn-53 flux by measuring the Mn-53/Be-10 isotopic ratio in a 1400 L sample of molten Antarctic snow by AMS (Accelerator Mass Spectrometry). Using the Be-10 production rate in the atmosphere, an upper limit of 5.5 x 10(3) atoms cm(-2 )yr(-1) was estimated for the deposition of extraterrestrial Mn-53. This result is compatible with one of the two discrepant values existing in the literature.</t>
  </si>
  <si>
    <t>[Rodrigues, Dario; Arazi, Andres; Niello, Jorge O. Fernandez; Marti, Guillermo V.] Comis Nacl Energia Atom, Ave Gral Paz 1499,BKNA1650, San Martin, Argentina; [Rodrigues, Dario; Negri, Agustin E.; Arazi, Andres; Niello, Jorge O. Fernandez] Consejo Nacl Invest Cient &amp; Tecn, Ave Rivadavia 1917,C1033AAJ, Buenos Aires, DF, Argentina; [Rodrigues, Dario] UBA, FCEyN, Dept Fis, Pabellon 1,Ciudad Univ, RA-1428 Buenos Aires, DF, Argentina; [Rodrigues, Dario] Consejo Nacl Invest Cient &amp; Tecn, IFIBA, Pabellon 1,Ciudad Univ, RA-1428 Buenos Aires, DF, Argentina; [Negri, Agustin E.; Niello, Jorge O. Fernandez] Univ Nacl San Martin, Inst Invest &amp; Ingn Ambiental, 25 Mayo &amp; Francia,B1650BWA, Buenos Aires, DF, Argentina; [Balpardo, Christian] Comis Nacl Energia Atom, Ctr Atom Ezeiza, Lab Metrol Radioisotopos, Pbro Gonzalez &amp; Aragon 15,B1802AYA, Buenos Aires, DF, Argentina; [Faestermann, Thomas; Fimiani, Leticia; Guzman, Jose Manuel Gomez; Hain, Karin; Korschinek, Gunther; Ludwig, Peter] Tech Univ Munich, Fak Phys, James Franck Str 1, D-85748 Garching, Germany</t>
  </si>
  <si>
    <t>Comision Nacional de Energia Atomica (CNEA); Consejo Nacional de Investigaciones Cientificas y Tecnicas (CONICET); University of Buenos Aires; University of Buenos Aires; Consejo Nacional de Investigaciones Cientificas y Tecnicas (CONICET); Comision Nacional de Energia Atomica (CNEA); Technical University of Munich</t>
  </si>
  <si>
    <t>Rodrigues, D (corresponding author), Comis Nacl Energia Atom, Lab TANDAR, Dept Fis Expt, Ave Gral Paz 1499,BKNA1650, San Martin, Argentina.</t>
  </si>
  <si>
    <t>darodrig@tandar.cnea.gov.ar</t>
  </si>
  <si>
    <t>Rodrigues, Dario De Oliveira/ITT-2166-2023; Hain, Karin/ABB-7719-2020; Faestermann, Thomas/ABE-2360-2020; Arazi, Andres/IQS-3442-2023</t>
  </si>
  <si>
    <t>Hain, Karin/0000-0001-5083-1986; Faestermann, Thomas/0000-0002-6603-8787; Rodrigues Ferreira Maltez, Dario Pablo/0000-0002-7952-7168; Gomez Guzman, Jose Manuel/0000-0002-9055-2268; Arazi, Andres/0000-0002-7491-1574</t>
  </si>
  <si>
    <t>ANPCyT [PICT-2010-2028, PICT-2012-2819]; MinCyT - DAAD Collaboration Program [DA/11/08]</t>
  </si>
  <si>
    <t>ANPCyT(ANPCyT); MinCyT - DAAD Collaboration Program</t>
  </si>
  <si>
    <t>We appreciate the enormous help of Instituto Antartico Argentino for providing the necessary logistics to get the sample. We specially thank S. Padilla, E. Chamizo, and J. M. Lopez for the 10Be measurement at the Centro Nacional de Aceleradores, and the staff at the Servicio de Investigacion Agraria for the ICP-MS measurements. We also like to thank U. Heilticila and S.S. Dhomse for their generous help to understand and quantify the atmospheric transport and deposition of the studied radionuclides and S. Merchel for her advices on chemistry. This project was conducted within the framework of MinCyT - DAAD Collaboration Program DA/11/08. We also would like to thank ANPCyT for the financial support under the grant PICT-2010-2028 and PICT-2012-2819.</t>
  </si>
  <si>
    <t>0969-8043</t>
  </si>
  <si>
    <t>APPL RADIAT ISOTOPES</t>
  </si>
  <si>
    <t>Appl. Radiat. Isot.</t>
  </si>
  <si>
    <t>10.1016/j.apradiso.2018.08.001</t>
  </si>
  <si>
    <t>Chemistry, Inorganic &amp; Nuclear; Nuclear Science &amp; Technology; Radiology, Nuclear Medicine &amp; Medical Imaging</t>
  </si>
  <si>
    <t>Chemistry; Nuclear Science &amp; Technology; Radiology, Nuclear Medicine &amp; Medical Imaging</t>
  </si>
  <si>
    <t>GU5EL</t>
  </si>
  <si>
    <t>WOS:000445308700051</t>
  </si>
  <si>
    <t>Rayfuse, R</t>
  </si>
  <si>
    <t>Rayfuse, Rosemary</t>
  </si>
  <si>
    <t>Climate Change and Antarctic Fisheries: Ecosystem Management in CCAMLR</t>
  </si>
  <si>
    <t>ECOLOGY LAW QUARTERLY</t>
  </si>
  <si>
    <t>SOUTHERN-OCEAN ECOSYSTEMS; MANAGING FISHERIES; MARINE ECOSYSTEMS; PROTECTED AREAS; TEMPERATURE; KRILL; TOOTHFISH; IMPLEMENTATION; PRECAUTIONARY; CONSERVATION</t>
  </si>
  <si>
    <t>Climate change and associated ocean acidification present varied and complex threats to Antarctic fisheries, making conservation and sustainable management of these fisheries more challenging than ever. The ecosystem approach is generally considered to be the most effective way of enhancing the climate resilience of fisheries, and the Commission on the Conservation and Management of Antarctic Marine Living Resources is expressly charged with implementing that approach in achieving its conservation objective. Implementation of the ecosystem approach is, however, a complex and challenging matter, and the emerging need to graft climate change impacts onto the range of factors already to be considered exacerbates these difficulties. This Article examines the implications of climate change for Antarctic fisheries, focusing on issues of both ecosystem resilience and the institutional resilience of the Commission on the Conservation and Management of Antarctic Marine Living Resources. While the potential implications of climate change on the Antarctic marine ecosystem have been under general discussion in the Commission since 2002, the Commission still has a long way to go in moving to actively anticipate climate stressors, in absorbing their importance into its decision-making processes, and in reshaping its management measures to address climate-driven changes in the Antarctic marine ecosystem.</t>
  </si>
  <si>
    <t>[Rayfuse, Rosemary] UNSW Sydney, Law, Sydney, NSW, Australia; [Rayfuse, Rosemary] Lund Univ, Fac Law, Lund, Sweden</t>
  </si>
  <si>
    <t>University of New South Wales Sydney; Lund University</t>
  </si>
  <si>
    <t>Rayfuse, R (corresponding author), UNSW Sydney, Law, Sydney, NSW, Australia.;Rayfuse, R (corresponding author), Lund Univ, Fac Law, Lund, Sweden.</t>
  </si>
  <si>
    <t>UNIV CALIFORNIA BERKELEY SCH LAW</t>
  </si>
  <si>
    <t>BERKELEY</t>
  </si>
  <si>
    <t>BOAT HALL, 588 SIMON HALL, BERKELEY, CA 94720-7200 USA</t>
  </si>
  <si>
    <t>0046-1121</t>
  </si>
  <si>
    <t>ECOL LAW QUART</t>
  </si>
  <si>
    <t>Ecol. Law Q.</t>
  </si>
  <si>
    <t>10.15779/Z381834271</t>
  </si>
  <si>
    <t>Environmental Studies; Law</t>
  </si>
  <si>
    <t>Social Science Citation Index (SSCI)</t>
  </si>
  <si>
    <t>Environmental Sciences &amp; Ecology; Government &amp; Law</t>
  </si>
  <si>
    <t>GV7QA</t>
  </si>
  <si>
    <t>WOS:000446322700003</t>
  </si>
  <si>
    <t>Naik, SN; Naik, SS</t>
  </si>
  <si>
    <t>Naik, Smita N.; Naik, Sushant S.</t>
  </si>
  <si>
    <t>Evidences of CO2 Leakage During the Last Deglaciation: The Need to Understand Deep-ocean Carbonate Chemistry of the Arabian Sea</t>
  </si>
  <si>
    <t>JOURNAL OF THE GEOLOGICAL SOCIETY OF INDIA</t>
  </si>
  <si>
    <t>ATMOSPHERIC CO2; SOUTHERN-OCEAN; GLACIAL TERMINATION; EQUATORIAL PACIFIC; VENTILATION; DIOXIDE; RISE; CLIMATE; CYCLES; RECORD</t>
  </si>
  <si>
    <t>It is generally accepted view that the ventilation of Southern Ocean during the last deglaciation was the key factor in atmospheric CO2 rise. Further, other sites were identified, like the western equatorial Pacific, the Sub-Antarctic Atlantic and the eastern equatorial Pacific. Now there are evidences that CO2 was also released from the eastern Arabian Sea. The Arabian Sea is unique in characteristic, being land locked from the North and affected by monsoon winds and seasonal reversing circulations. Furthermore, the CO2 outgassing noticed during deglaciation makes it an interesting region to understand if the outgassing occurred from the deeper waters and hence led to any rise in deepwater [CO32-]</t>
  </si>
  <si>
    <t>[Naik, Smita N.; Naik, Sushant S.] Natl Inst Oceanog, CSIR, Panaji 403004, Goa, India</t>
  </si>
  <si>
    <t>Council of Scientific &amp; Industrial Research (CSIR) - India; CSIR - National Institute of Oceanography (NIO)</t>
  </si>
  <si>
    <t>Naik, SS (corresponding author), Natl Inst Oceanog, CSIR, Panaji 403004, Goa, India.</t>
  </si>
  <si>
    <t>sushant@nio.org</t>
  </si>
  <si>
    <t>NIO</t>
  </si>
  <si>
    <t>We thank Director, NIO for his encouragement and support. Thanks are due to Dr. P. D. Naidu for his valuable comments. This is National Institute of Oceanography contribution number 6202.</t>
  </si>
  <si>
    <t>SPRINGER INDIA</t>
  </si>
  <si>
    <t>NEW DELHI</t>
  </si>
  <si>
    <t>7TH FLOOR, VIJAYA BUILDING, 17, BARAKHAMBA ROAD, NEW DELHI, 110 001, INDIA</t>
  </si>
  <si>
    <t>0016-7622</t>
  </si>
  <si>
    <t>0974-6889</t>
  </si>
  <si>
    <t>J GEOL SOC INDIA</t>
  </si>
  <si>
    <t>J. Geol. Soc. India</t>
  </si>
  <si>
    <t>10.1007/s12594-018-1034-3</t>
  </si>
  <si>
    <t>GV9YV</t>
  </si>
  <si>
    <t>WOS:000446519000004</t>
  </si>
  <si>
    <t>Stone, P</t>
  </si>
  <si>
    <t>Stone, Philip</t>
  </si>
  <si>
    <t>The Scottish National Antarctic Expedition, 1902-1904: reconstructing the missing geological report</t>
  </si>
  <si>
    <t>ARCHIVES OF NATURAL HISTORY</t>
  </si>
  <si>
    <t>geology; South Orkney Islands; Falkland Islands; S. Y. Scotia; William Speirs Bruce; James Hunter Harvey Pirie</t>
  </si>
  <si>
    <t>ISLANDS</t>
  </si>
  <si>
    <t>The Scottish National Antarctic Expedition (1902-1904) made the first topographical survey and scientific investigation of Laurie Island, one of the South Orkney Islands, and completed an extensive oceanographical research programme in the Scotia and Weddell Seas. When the expedition returned to Scotland, the leader, William Speirs Bruce, embarked on an ambitious attempt to publish the expedition's scientific results in a series of high-quality reports. Sadly, by the time it came to the eighth volume (on geology) his funds were exhausted, and the series was abandoned. Nevertheless, many of the contributions that had been intended for that volume were produced; some were published elsewhere whilst unpublished proofs and archive notes survive for others. From these various sources the volume as planned by Bruce can be reconstructed. The key contributor was J. H. H. Pirie, a medical doctor and primarily the expedition's surgeon. Despite his limited relevant experience his geological observations were commendable, with the notable exception of an important palaeontological misidentification that was inexplicably supported by eminent British experts. The archive material illuminates the background to Pirie's contributions and the ways in which his unpublished work came to be preserved.</t>
  </si>
  <si>
    <t>[Stone, Philip] British Geol Survey, Lyell Ctr, Res Ave South, Edinburgh EH14 4AP, Midlothian, Scotland</t>
  </si>
  <si>
    <t>UK Research &amp; Innovation (UKRI); Natural Environment Research Council (NERC); NERC British Geological Survey</t>
  </si>
  <si>
    <t>Stone, P (corresponding author), British Geol Survey, Lyell Ctr, Res Ave South, Edinburgh EH14 4AP, Midlothian, Scotland.</t>
  </si>
  <si>
    <t>psto@bgs.ac.uk</t>
  </si>
  <si>
    <t>EDINBURGH UNIV PRESS</t>
  </si>
  <si>
    <t>EDINBURGH</t>
  </si>
  <si>
    <t>THE TUN-HOLYROOD RD, 12 2F JACKSONS ENTRY, EDINBURGH EH8 8PJ, SCOTLAND</t>
  </si>
  <si>
    <t>0260-9541</t>
  </si>
  <si>
    <t>1755-6260</t>
  </si>
  <si>
    <t>ARCH NAT HIST</t>
  </si>
  <si>
    <t>Arch. Nat. Hist.</t>
  </si>
  <si>
    <t>10.3366/anh.2018.0525</t>
  </si>
  <si>
    <t>History &amp; Philosophy Of Science; Multidisciplinary Sciences</t>
  </si>
  <si>
    <t>Science Citation Index Expanded (SCI-EXPANDED); Social Science Citation Index (SSCI); Arts &amp; Humanities Citation Index (A&amp;HCI)</t>
  </si>
  <si>
    <t>History &amp; Philosophy of Science; Science &amp; Technology - Other Topics</t>
  </si>
  <si>
    <t>GV6HL</t>
  </si>
  <si>
    <t>WOS:000446209200012</t>
  </si>
  <si>
    <t>Paterson, JT; Rotella, JJ; Link, WA; Garrott, R</t>
  </si>
  <si>
    <t>Paterson, J. Terrill; Rotella, Jay. J.; Link, William A.; Garrott, Robert</t>
  </si>
  <si>
    <t>Variation in the vital rates of an Antarctic marine predator: the role of individual heterogeneity</t>
  </si>
  <si>
    <t>ECOLOGY</t>
  </si>
  <si>
    <t>Antarctica; individual variation; life-history theory; senescence; vital rates; Weddell seal</t>
  </si>
  <si>
    <t>AGE-SPECIFIC SURVIVAL; WEDDELL SEALS; REPRODUCTIVE SUCCESS; LIFE-HISTORY; POPULATION-DYNAMICS; NEUTRAL THEORY; COSTS; SENESCENCE; FITNESS; RECAPTURE</t>
  </si>
  <si>
    <t>Variation in life-history traits such as lifespan and lifetime reproductive output is thought to arise, in part, due to among-individual differences in the underlying probabilities of survival and reproduction. However, the stochastic nature of demographic processes can also generate considerable variation in fitness-related traits among otherwise-identical individuals. An improved understanding of life-history evolution and population dynamics therefore depends on evaluating the relative role of each of these processes. Here, we used a 33-yr data set with reproductive histories for 1,274 female Weddell seals from Erebus Bay, Antarctica, to assess the strength of evidence for among-individual heterogeneity in the probabilities of survival and reproduction, while accounting for multiple other sources of variation in vital rates. Our analysis used recent advances in Bayesian model selection techniques and diagnostics to directly compare model fit and predictive power between models that included individual effects on survival and reproduction to those that did not. We found strong evidence for costs of reproduction to both survival and future reproduction, with breeders having rates of survival and subsequent reproduction that were 3% and 6% lower than rates for non-breeders. We detected age-related changes in the rates of survival and reproduction, but the patterns differed for the two rates. Survival rates steadily declined from 0.92 at age 7 to 0.56 at the maximal age of 31yr. In contrast, reproductive rates increased from 0.68 at age 7 to 0.79 at age 16 and then steadily declined to 0.37 for the oldest females. Models that included individual effects explained more variation in observed life histories and had better estimated predictive power than those that did not, indicating their importance in understanding sources of variation among individuals in life-history traits. We found that among-individual heterogeneity in survival was small relative to that for reproduction. Our study, which found patterns of variation in vital rates that are consistent with a series of predictionsfrom life-history theory, is the first to provide a thorough assessment of variation in important vital rates for a long-lived, high-latitude marine mammal while taking full advantage of recent developments in model evaluation.</t>
  </si>
  <si>
    <t>[Paterson, J. Terrill; Rotella, Jay. J.; Garrott, Robert] Montana State Univ, Dept Ecol, Bozeman, MT 59717 USA; [Link, William A.] US Geol Survey, Patuxent Wildlife Res Ctr, Laurel, MD 20708 USA</t>
  </si>
  <si>
    <t>Montana State University System; Montana State University Bozeman; United States Department of the Interior; United States Geological Survey</t>
  </si>
  <si>
    <t>Paterson, JT (corresponding author), Montana State Univ, Dept Ecol, Bozeman, MT 59717 USA.</t>
  </si>
  <si>
    <t>terrillpaterson@gmail.com</t>
  </si>
  <si>
    <t>Rotella, Jay/0000-0001-7014-7524</t>
  </si>
  <si>
    <t>National Science Foundation [ANT-1141326, 1640481]; NSF</t>
  </si>
  <si>
    <t>National Science Foundation(National Science Foundation (NSF)); NSF(National Science Foundation (NSF))</t>
  </si>
  <si>
    <t>We thank the many graduate students and field technicians who have collected data on this project. We also thank Jim Nichols and two anonymous reviewers for comments on earlier drafts. This project was supported by the National Science Foundation, Division of Polar Programs (Grant Nos. ANT-1141326 and 1640481 to J. J. Rotella, R. A. Garrott, and Donald B. Siniff) and prior NSF Grants to R. A. Garrott, J. J. Rotella, D. B. Siniff, and J. Ward Testa. Logistical support for fieldwork in Antarctica was provided by Lockheed Martin, Raytheon Polar Services Company, Antarctic Support Associates, the United States Navy and Air Force and Petroleum Helicopters Incorporated. Any use of trade, product, or firm names is for descriptive purposes only and does not imply endorsement by the U.S. Government.</t>
  </si>
  <si>
    <t>0012-9658</t>
  </si>
  <si>
    <t>1939-9170</t>
  </si>
  <si>
    <t>Ecology</t>
  </si>
  <si>
    <t>10.1002/ecy.2481</t>
  </si>
  <si>
    <t>GV6ZO</t>
  </si>
  <si>
    <t>WOS:000446270400025</t>
  </si>
  <si>
    <t>Rudraswami, NG; Fernandes, D; De Araujo, A; Prasad, MS; Taylor, S</t>
  </si>
  <si>
    <t>Rudraswami, N. G.; Fernandes, D.; De Araujo, Agnelo; Prasad, M. Shyam; Taylor, S.</t>
  </si>
  <si>
    <t>Perceptive of the pyroxene-bearing micrometeorites and their relation to chondrites</t>
  </si>
  <si>
    <t>METEORITICS &amp; PLANETARY SCIENCE</t>
  </si>
  <si>
    <t>INTERPLANETARY DUST PARTICLES; COSMIC SPHERULES; ATMOSPHERIC ENTRY; ANTARCTIC MICROMETEORITES; EARTHS ATMOSPHERE; ACCRETION RATE; CARBONACEOUS CHONDRITES; ISOTOPIC COMPOSITIONS; RELICT MINERALS; OXYGEN</t>
  </si>
  <si>
    <t>We studied 149 pyroxenes from 69 pyroxene-bearing micrometeorites collected from deep-sea sediments of the Indian Ocean and South Pole Water Well at Antarctica, Amundsen-Scott South Pole station. The minor elements in pyroxenes from micrometeorites are present in the ranges as follows: MnO similar to 0.0-0.4 wt%, Al2O3 similar to 0.0-1.5 wt%, CaO similar to 0.0-1.0 wt%, Cr2O3 similar to 0.3-0.9 wt%, and FeO similar to 0.5-4 wt%. Their chemical compositions suggest that pyroxene-bearing micrometeorites are mostly related to precursors from carbonaceous chondrites rather than ordinary chondrites. The Fe/(Fe+Mg) ratio of the pyroxenes and olivines in micrometeorites shows similarities to carbonaceous chondrites with values lying between 0 and 0.2, and those with values beyond this range are dominated by ordinary chondrites. Atmospheric entry of the pyroxene-bearing micrometeorites is expected to have a relatively low entry velocity of &lt;16kms(-1) and high zenith angle (70-90 degrees) to preserve their chemical compositions. In addition, similarities in the pyroxene and olivine mineralogical compositions between carbonaceous chondrites and cometary particles suggest that dust in the solar system is populated by materials from different sources that are chemically similar to each other. Our results on pyroxene chemical compositions reveal significant differences with those from ordinary chondrites. The narrow range in olivine and pyroxene chemical compositions are similar to those from carbonaceous chondrites, and a small proportion to ordinary chondrites indicates that dust is largely sourced from carbonaceous chondrite-type bodies.</t>
  </si>
  <si>
    <t>[Rudraswami, N. G.; Fernandes, D.; De Araujo, Agnelo; Prasad, M. Shyam] CSIR, Natl Inst Oceanog, Panaji 403004, Goa, India; [Taylor, S.] Cold Reg Res &amp; Engn Lab, 72 Lyme Rd, Hanover, NH 03755 USA</t>
  </si>
  <si>
    <t>Council of Scientific &amp; Industrial Research (CSIR) - India; CSIR - National Institute of Oceanography (NIO); United States Department of Defense; United States Army; U.S. Army Corps of Engineers; U.S. Army Engineer Research &amp; Development Center (ERDC); Cold Regions Research &amp; Engineering Laboratory (CRREL)</t>
  </si>
  <si>
    <t>Rudraswami, NG (corresponding author), CSIR, Natl Inst Oceanog, Panaji 403004, Goa, India.</t>
  </si>
  <si>
    <t>rudra@nio.org</t>
  </si>
  <si>
    <t>N G, Rudraswami/0000-0002-3375-9860</t>
  </si>
  <si>
    <t>GEOSINKS (Council of Scientific and Industrial Research XII Plan); PMN-Ministry of Earth Sciences; PLANEX (Physical Research Laboratory, Ahmedabad) project</t>
  </si>
  <si>
    <t>This work is supported by GEOSINKS (Council of Scientific and Industrial Research XII Plan), PMN-Ministry of Earth Sciences, and PLANEX (Physical Research Laboratory, Ahmedabad) project. We thank Naoya Imae for sharing carbonaceous and ordinary chondrite data. The laboratory assistance of Vijay Khedekar and Areef Sardar is gratefully acknowledged. We thank Don Brownlee and G. Flynn for their constructive comments. This is NIO's contribution, No. 6193.</t>
  </si>
  <si>
    <t>1086-9379</t>
  </si>
  <si>
    <t>1945-5100</t>
  </si>
  <si>
    <t>METEORIT PLANET SCI</t>
  </si>
  <si>
    <t>Meteorit. Planet. Sci.</t>
  </si>
  <si>
    <t>10.1111/maps.13105</t>
  </si>
  <si>
    <t>GV5VO</t>
  </si>
  <si>
    <t>WOS:000446173000001</t>
  </si>
  <si>
    <t>Genge, MJ; van Ginneken, M; Suttle, MD; Harvey, RP</t>
  </si>
  <si>
    <t>Genge, Matthew J.; van Ginneken, Matthias; Suttle, Martin D.; Harvey, Ralph P.</t>
  </si>
  <si>
    <t>Accumulation mechanisms of micrometeorites in an ancient supraglacial moraine at Larkman Nunatak, Antarctica</t>
  </si>
  <si>
    <t>DEEP-SEA SEDIMENTS; COSMIC SPHERULES; TRANSANTARCTIC MOUNTAINS; BLUE ICE; ACCRETION RATE; SOUTH-POLE; DUST; COLLECTION; FLUX; MICROTEKTITES</t>
  </si>
  <si>
    <t>We report the discovery of a large accumulation of micrometeorites (MMs) in a supraglacial moraine at Larkman Nunatak in the Grosvenor Mountains of the Transantarctic Range in Antarctica. The MMs are present in abundances of similar to 600 particles kg(-1) of moraine sediment and include a near-complete collection of MM types similar to those observed in Antarctic blue ice and within bare-rock traps in the Antarctic. The size distribution of the observed particles is consistent with those collected from snow collections suggesting the moraine has captured a representative collection of cosmic spherules with significant loss of only the smallest particles (&lt;100m) by wind. The presence of microtektites with compositions similar to those of the Australasian strewn field suggests the moraine has been accumulating for 780ka with dust-sized debris. On the basis of this age estimate, it is suggested that accumulation occurs principally through ice sublimation. Direct infall of fines is suggested to be limited by snow layers that act as barriers to accumulation and can be removed by wind erosion. MM accumulation in many areas in Antarctica, therefore, may not be continuous over long periods and can be subject to climatic controls. On the basis of the interpretation of microtektites as Australasian, Larkman Nunatak deposit is the oldest known supraglacial moraine and its survival through several glacial maxima and interglacial periods is surprising. We suggest that stationary ice produced by the specific ice flow conditions at Larkman Nunatak explains its longevity and provides a new type of record of the East Antarctic ice sheet.</t>
  </si>
  <si>
    <t>[Genge, Matthew J.; van Ginneken, Matthias; Suttle, Martin D.] Imperial Coll London, Dept Earth Sci &amp; Engn, Exhibit Rd, London SW7 2AZ, England; [Genge, Matthew J.; van Ginneken, Matthias; Suttle, Martin D.] Nat Hist Museum, Dept Earth Sci, London SW7 2BT, England; [Harvey, Ralph P.] Case Western Reserve Univ, Dept Geol Sci, Cleveland, OH 44106 USA</t>
  </si>
  <si>
    <t>Imperial College London; Natural History Museum London; University System of Ohio; Case Western Reserve University</t>
  </si>
  <si>
    <t>Genge, MJ (corresponding author), Imperial Coll London, Dept Earth Sci &amp; Engn, Exhibit Rd, London SW7 2AZ, England.;Genge, MJ (corresponding author), Nat Hist Museum, Dept Earth Sci, London SW7 2BT, England.</t>
  </si>
  <si>
    <t>m.genge@imperial.ac.uk</t>
  </si>
  <si>
    <t>Van Ginneken, Matthias/AFQ-5594-2022</t>
  </si>
  <si>
    <t>Van Ginneken, Matthias/0000-0002-2508-7021</t>
  </si>
  <si>
    <t>Science and Technology Council (STFC) [ST/J001260/1]; STFC [ST/J001260/1, ST/N000803/1] Funding Source: UKRI</t>
  </si>
  <si>
    <t>Science and Technology Council (STFC); STFC(UK Research &amp; Innovation (UKRI)Science &amp; Technology Facilities Council (STFC))</t>
  </si>
  <si>
    <t>This work was supported by the Science and Technology Council (STFC) (grant number ST/J001260/1).</t>
  </si>
  <si>
    <t>10.1111/maps.13107</t>
  </si>
  <si>
    <t>WOS:000446173000002</t>
  </si>
  <si>
    <t>Zhang, BD; Shieh, SR; Withers, AC; Bouvier, A</t>
  </si>
  <si>
    <t>Zhang, Bidong; Shieh, Sean R.; Withers, Anthony C.; Bouvier, Audrey</t>
  </si>
  <si>
    <t>Raman spectroscopy of shocked enstatite-rich meteorites</t>
  </si>
  <si>
    <t>X-RAY-DIFFRACTION; ORDINARY CHONDRITES; MICRO-RAMAN; ORGANIC-MATTER; ALMAHATA SITTA; PARENT-BODY; BULLETIN; METAMORPHISM; UREILITE; DIAMONDS</t>
  </si>
  <si>
    <t>We present Raman patterns of enstatite in different classes of enstatite-rich chondrites and achondrites of various shock levels as previously reported from petrographic observations and X-ray diffraction analyses. Thin sections or mineral separates of four enstatite chondrites (LaPaz Icefield [LAP] 02225, MacAlpine Hills [MAC] 02837, Pecora Escarpment [PCA] 91020, and Itqiy), three aubrites (Larkman Nunatak [LAR] 04316, Khor Temiki, and Allan Hills [ALH] 84008), and a ureilite (Sayh al Uhaymir [SaU] 559) were examined by laser Raman spectroscopy. We find that the frequencies of fundamental Raman peaks of enstatites from the chondrites and aubrites deviate by 2cm(-1) from the values for unshocked enstatite. This small difference implies a negligible effect of shock metamorphism on peak positions. Significant differences (&lt;6cm(-1)) for peak positions are found for the pyroxenes of SaU 559 and may be attributed to minor substitution of Fe and Ca for Mg. Linear regressions of peak widths of enstatite chondrites against their established shock stages show a strong positive correlation for each mode (r(2)&gt;0.94). From this linear relationship, the 343 and 1014cm(-1) peaks of the aubrites coincide with S4 determined from petrography. For Itqiy, we find S4-5, while the shock levels of SaU 559 exceed the petrologic scheme (S1-6), suggesting that the ureilite might have sustained multiple shock events or have been deformed in a high-pressure environment. Alternatively, for Itqiy (peak 343cm(-1)) and SaU 559 (all peaks) enstatites, minor substitutions of Fe and Ca for Mg may have further broadened their peak widths.</t>
  </si>
  <si>
    <t>[Zhang, Bidong; Shieh, Sean R.; Withers, Anthony C.; Bouvier, Audrey] Univ Western Ontario, Dept Earth Sci, Ctr Planetary Sci &amp; Explorat, London, ON N6A 3K7, Canada</t>
  </si>
  <si>
    <t>Western University (University of Western Ontario)</t>
  </si>
  <si>
    <t>Zhang, BD (corresponding author), Univ Western Ontario, Dept Earth Sci, Ctr Planetary Sci &amp; Explorat, London, ON N6A 3K7, Canada.</t>
  </si>
  <si>
    <t>bzhan262@uwo.ca</t>
  </si>
  <si>
    <t>Withers, Anthony/J-4302-2012; Bouvier, Audrey/A-3035-2011; Withers, Anthony/JBJ-2232-2023</t>
  </si>
  <si>
    <t>Withers, Anthony/0000-0003-4835-4281; Withers, Anthony/0000-0003-4835-4281; Bouvier, Audrey/0000-0002-8303-3419; Zhang, Bidong/0000-0002-1729-3773</t>
  </si>
  <si>
    <t>NSERC Discovery Grant Program; Canada Research Chair Program; China Scholarship Council</t>
  </si>
  <si>
    <t>NSERC Discovery Grant Program(Natural Sciences and Engineering Research Council of Canada (NSERC)); Canada Research Chair Program(Canada Research Chairs); China Scholarship Council(China Scholarship Council)</t>
  </si>
  <si>
    <t>We sincerely thank Jinbao Wang for his help during Raman data collection, and Jorg Fritz and an anonymous reviewer for constructive comments and suggestions. We also thank NASA Antarctic Meteorites, as well as Laurence Garvie at Arizona State University and Caroline Smith at the National History Museum of London for loaning samples for this study. All authors acknowledge support from the NSERC Discovery Grant Program, A.B. from the Canada Research Chair Program, and B.Z. from the China Scholarship Council.</t>
  </si>
  <si>
    <t>10.1111/maps.13106</t>
  </si>
  <si>
    <t>WOS:000446173000003</t>
  </si>
  <si>
    <t>Singerling, SA; Brearley, AJ</t>
  </si>
  <si>
    <t>Singerling, S. A.; Brearley, A. J.</t>
  </si>
  <si>
    <t>Primary iron sulfides in CM and CR carbonaceous chondrites: Insights into nebular processes</t>
  </si>
  <si>
    <t>PROGRESSIVE AQUEOUS ALTERATION; SOLAR NEBULA; FEO-RICH; CHONDRULES; PENTLANDITE; SYSTEM; NI; MINERALOGY; HISTORY; ORIGIN</t>
  </si>
  <si>
    <t>We have carried out a systematic study involving SEM, EPMA, and TEM analyses to determine the textures and compositions of sulfides and sulfide-metal assemblages in a suite of minimally to weakly altered CM and CR carbonaceous chondrites. We have attempted to constrain the distribution and origin of primary sulfides that formed in the solar nebula, rather than by secondary asteroidal alteration processes. Our study focused primarily on sulfide assemblages associated with chondrules, but also examined some occurrences of sulfides within the matrices of these meteorites. Although sulfides are a minor phase in carbonaceous chondrites, we have determined that primary sulfide grains are actually a major proportion of the sulfide grains in weakly altered CM chondrites and have survived aqueous alteration relatively unscathed. In minimally altered CR chondrites, we have determined that essentially all of the sulfides are of primary origin, confirming the observations of Schrader etal. (). The pyrrhotite-pentlandite intergrowth (PPI) grains formed from crystallization of monosulfide solid solution (mss) melts, while sulfide-rimmed metal (SRM) grains formed from sulfidization of Fe,Ni metal. Micron-sized metal inclusions in some PPI grains may have formed by co-crystallization of metal and sulfide from a sulfide melt that experienced S volatilization during the chondrule formation event, or alternatively, may be a remnant of sulfidization of Fe,Ni metal that also occurred during chondrule formation. Sulfur fugacity for SRM grains ranged from -18 to -10 (log units) largely in agreement with predicted solar nebular values. Our observations show that understanding the formation mechanisms of primary sulfide grains provides clues to solar nebular conditions, such as the sulfur fugacity during chondrule formation.</t>
  </si>
  <si>
    <t>[Singerling, S. A.; Brearley, A. J.] Univ New Mexico, Dept Earth &amp; Planetary Sci, MSC 03 2040 1, Albuquerque, NM 87131 USA</t>
  </si>
  <si>
    <t>University of New Mexico</t>
  </si>
  <si>
    <t>Singerling, SA (corresponding author), Univ New Mexico, Dept Earth &amp; Planetary Sci, MSC 03 2040 1, Albuquerque, NM 87131 USA.</t>
  </si>
  <si>
    <t>ssingerling@usgs.gov</t>
  </si>
  <si>
    <t>Singerling, Sheryl/0000-0001-8639-5039</t>
  </si>
  <si>
    <t>NASA Cosmochemistry [NNX11AK51G, NNX12AH61G, NNX15AD28G]; NASA [NNX11AK51G, 19743, NNX15AD28G, 808725, NNX12AH61G, 143207] Funding Source: Federal RePORTER</t>
  </si>
  <si>
    <t>NASA Cosmochemistry(National Aeronautics &amp; Space Administration (NASA)); NASA(National Aeronautics &amp; Space Administration (NASA))</t>
  </si>
  <si>
    <t>We thank reviewers Emma Bullock and Dennis Harries as well as Associate Editor Ed Scott for their thorough and helpful comments on the manuscript. We also thank the Institute of Meteoritics at the University of New Mexico, the Antarctic Meteorite Working Group, and the National Museum of Natural History for providing the samples used in this study. Lindsay Keller, Rhian Jones, Devin Schrader, Elena Dobrica, Jon Lewis, Nicole Lunning, Mike Spilde, and Aaron Bell provided invaluable advice and sources of numerous useful discussions. This work was supported by NASA Cosmochemistry grants NNX11AK51G, NNX12AH61G, and NNX15AD28G to A. J. Brearley (PI).</t>
  </si>
  <si>
    <t>10.1111/maps.13108</t>
  </si>
  <si>
    <t>WOS:000446173000004</t>
  </si>
  <si>
    <t>Rubin, AE</t>
  </si>
  <si>
    <t>Rubin, Alan E.</t>
  </si>
  <si>
    <t>Mechanisms accounting for variations in the proportions of carbonaceous and ordinary chondrites in different mass ranges</t>
  </si>
  <si>
    <t>NEAR-EARTH ASTEROIDS; ANTARCTIC MICROMETEORITES; STRATOSPHERIC MICROMETEORITES; INTERPLANETARY DUST; AQUEOUS ALTERATION; REGOLITH BRECCIA; EXPOSURE AGES; SOLAR-SYSTEM; THERMAL DRAG; PARENT BODY</t>
  </si>
  <si>
    <t>The number ratio of carbonaceous to ordinary chondrites (the CC/OC ratio) varies with mass. It is very high (90) in small mass ranges (10(-8) to 10(-12)kg) among interplanetary dust particles and micrometeorites; it is moderately high (similar to 5 to 30) for 1 to 10m size fireball meteoroids (with estimated masses between similar to 10(3) and similar to 10(6)kg). In the range of most normal-sized meteorite falls (0.01-20kg), the ratio is low (0.04-0.05); the ratio increases at greater mass ranges: at 200kg, the ratio is 0.09; at 500kg, the ratio is 0.20. The CC/OC ratio also increases from 0.05 to 0.16 for small meteorite finds (10(-3) to 10(-4)kg). High CC/OC ratios at low and high mass ranges are due to the predominance of CC material in the outer solar system. Small particles from this region spiral into the inner solar system typically in 10(6)years due to Poynting-Robertson drag. Meter-sized meteoroids in this region are affected by Yarkovsky forces, pushing them into resonances where they are efficiently transferred to the inner solar system. Normal-sized meteorites are derived from centimeter-to-decimeter-sized meteoroids that have sluggish drift rates (i.e., they are less affected by the seasonal Yarkovsky effect) compared to larger bodies. Consequently, the centimeter-to-decimeter-sized meteoroids spend more time in interplanetary space (where they are subject to collisions) than larger objects. The greater friability of carbonaceous chondrites relative to ordinary chondrites tends to winnow the carbonaceous chondrites out in this size/mass range during their long interplanetary sojourn, thereby decreasing the CC/OC ratio.</t>
  </si>
  <si>
    <t>[Rubin, Alan E.] Univ Calif Los Angeles, Dept Earth Planetary &amp; Space Sci, Los Angeles, CA 90095 USA; [Rubin, Alan E.] Maine Mineral &amp; Gem Museum, 99 Main St,POB 500, Bethel, ME 04217 USA</t>
  </si>
  <si>
    <t>University of California System; University of California Los Angeles</t>
  </si>
  <si>
    <t>Rubin, AE (corresponding author), Univ Calif Los Angeles, Dept Earth Planetary &amp; Space Sci, Los Angeles, CA 90095 USA.;Rubin, AE (corresponding author), Maine Mineral &amp; Gem Museum, 99 Main St,POB 500, Bethel, ME 04217 USA.</t>
  </si>
  <si>
    <t>aerubin@ucla.edu</t>
  </si>
  <si>
    <t>Rubin, Alan/0000-0002-4515-4527</t>
  </si>
  <si>
    <t>NASA [NNX17AE77G]; NASA [1001719, NNX17AE77G] Funding Source: Federal RePORTER</t>
  </si>
  <si>
    <t>NASA(National Aeronautics &amp; Space Administration (NASA)); NASA(National Aeronautics &amp; Space Administration (NASA))</t>
  </si>
  <si>
    <t>I thank D. Jewitt and W. F. Bottke for helpful discussions and D. P. Rubincam and D. E. Brownlee for their reviews. I am grateful to G. F. Herzog for providing his data compilation of chondrite CRE ages. This work was supported by NASA Grant NNX17AE77G.</t>
  </si>
  <si>
    <t>10.1111/maps.13117</t>
  </si>
  <si>
    <t>WOS:000446173000010</t>
  </si>
  <si>
    <t>Andriuzzi, WS; Stanish, LF; Simmons, BL; Jaros, C; Adams, BJ; Wall, DH; McKnight, DM</t>
  </si>
  <si>
    <t>Andriuzzi, Walter S.; Stanish, Lee F.; Simmons, Breana L.; Jaros, Chris; Adams, Byron J.; Wall, Diana H.; McKnight, Diane M.</t>
  </si>
  <si>
    <t>Spatial and temporal patterns of microbial mats and associated invertebrates along an Antarctic stream</t>
  </si>
  <si>
    <t>Diatoms; Disturbance; Dry valleys; Epilithon; Microfauna; Streamflow</t>
  </si>
  <si>
    <t>MCMURDO DRY VALLEYS; BIOTIC INTERACTIONS; FRESH-WATER; FOOD WEBS; LAKES; DIVERSITY; NEMATODES; BACTERIA; COMMUNITIES; ECOSYSTEMS</t>
  </si>
  <si>
    <t>Microbial biofilms are biological hotspots in many alpine and polar ecosystems, but the controls on and functional significance of their fauna are little known. We studied cyanobacterial mats and the underlying sediment in a glacial meltwater stream in the McMurdo Dry valleys, Antarctica. We investigated mat biomass (total and phototrophic), diatoms, and micro-meiofauna (nematodes, rotifers, and tardigrades) at nine sites along a 1670m stream reach in a cold, low-flow growing season, and in a warmer growing season in which peak flows (above 100Ls(-1)) scoured the mats. Diatom and invertebrate communities were not related, but mat biomass in the low-flow year was negatively related to nematode abundance, including that of the omnivore Eudorylaimus. In the high flow year that followed, invertebrate abundance was reduced in the mats, diatom community structure was altered, and mat biomass was higher. The difference in invertebrate abundance between years was greater in mats in upstream reaches, where the greatest increases in flow velocity may have occurred, and was negligible in mats in downstream reaches as well as in the sediment beneath the mats. Integrating our results with previous findings, we generate two predictive hypotheses to be tested in glacial meltwater streams: (1) under peak flows invertebrates decline in the microbial mats, while (2) the sediment beneath the mats is a refuge from the flow disturbance. Our results also suggest that, under stable flow conditions, microinvertebrate grazers could exert top-down control on microbial mat biomass.</t>
  </si>
  <si>
    <t>[Andriuzzi, Walter S.; Wall, Diana H.] Colorado State Univ, Dept Biol, Ft Collins, CO 80523 USA; [Stanish, Lee F.; Jaros, Chris; McKnight, Diane M.] Univ Colorado, Inst Arctic &amp; Alpine Res, Boulder, CO 80303 USA; [Simmons, Breana L.] East Georgia State Coll, Dept Biol, Swainsboro, GA 30401 USA; [Adams, Byron J.] Brigham Young Univ, Dept Biol, Evolutionary Ecol Labs, Provo, UT 84602 USA; [Adams, Byron J.] Brigham Young Univ, Monte L Bean Museum, Provo, UT 84602 USA; [Wall, Diana H.] Colorado State Univ, Nat Resource Ecol Lab, Ft Collins, CO 80523 USA</t>
  </si>
  <si>
    <t>Colorado State University; University of Colorado System; University of Colorado Boulder; Brigham Young University; Brigham Young University; Colorado State University</t>
  </si>
  <si>
    <t>Andriuzzi, WS (corresponding author), Colorado State Univ, Dept Biol, Ft Collins, CO 80523 USA.</t>
  </si>
  <si>
    <t>walter.andriuzzi@colostate.edu</t>
  </si>
  <si>
    <t>Wall, Diana H/F-5491-2011; Adams, Byron/C-3808-2009</t>
  </si>
  <si>
    <t>Adams, Byron/0000-0002-7815-3352</t>
  </si>
  <si>
    <t>McMurdo dry valleys Long Term Ecological Research project, NSF OPP [9211773, 9810219, 1115245]; Polar Geospatial Center under NSF OPP [1043681, 1559691]; Directorate For Geosciences; Office of Polar Programs (OPP) [9211773, 9810219] Funding Source: National Science Foundation; Directorate For Geosciences; Office of Polar Programs (OPP) [1115245] Funding Source: National Science Foundation</t>
  </si>
  <si>
    <t>McMurdo dry valleys Long Term Ecological Research project, NSF OPP; Polar Geospatial Center under NSF OPP; Directorate For Geosciences; Office of Polar Programs (OPP)(National Science Foundation (NSF)NSF - Directorate for Geosciences (GEO)); Directorate For Geosciences; Office of Polar Programs (OPP)(National Science Foundation (NSF)NSF - Directorate for Geosciences (GEO))</t>
  </si>
  <si>
    <t>We thank Uffe Nielsen, Karen Seaver and Tracy Smith for helping with sampling and invertebrate identification, and Eric Parrish for updating the field site map. This research was conducted as part of the McMurdo dry valleys Long Term Ecological Research project, NSF OPP Grants 9211773, 9810219 and 1115245. Geospatial support for this work was provided by the Polar Geospatial Center under NSF OPP awards 1043681 and 1559691. Comments by three anonymous reviewers helped us improve the text.</t>
  </si>
  <si>
    <t>10.1007/s00300-018-2331-4</t>
  </si>
  <si>
    <t>WOS:000445212100001</t>
  </si>
  <si>
    <t>Xavier, JC; Cherel, Y; Ceia, FR; Queirós, JP; Guimaraes, B; Rosa, R; Cunningham, DM; Moors, PJ; Thompson, DR</t>
  </si>
  <si>
    <t>Xavier, J. C.; Cherel, Y.; Ceia, F. R.; Queiros, J. P.; Guimaraes, B.; Rosa, R.; Cunningham, D. M.; Moors, P. J.; Thompson, D. R.</t>
  </si>
  <si>
    <t>Eastern rockhopper penguins Eudyptes filholi as biological samplers of juvenile and sub-adult cephalopods around Campbell Island, New Zealand</t>
  </si>
  <si>
    <t>Eastern rockhopper penguins; Diet; Martialia hyadesi; Onykia ingens; Octopus campbelli; Pelagic squid</t>
  </si>
  <si>
    <t>SQUID MOROTEUTHIS-INGENS; LIONS PHOCARCTOS-HOOKERI; SOUTHERN-OCEAN; TROPHIC ECOLOGY; FORAGING AREAS; APTENODYTES-PATAGONICUS; POPULATION-DYNAMICS; CHRYSOCOME PENGUINS; SOUTHWEST ATLANTIC; FALKLAND ISLANDS</t>
  </si>
  <si>
    <t>Early life-history stages of cephalopods are known to play an important role as prey in food webs of the Southern Ocean, but little information is available about their biology and availability to predators. Top predators, such as penguins, are known to feed regularly on coastal juvenile/sub-adult cephalopods. Using eastern rockhopper penguins Eudyptes filholi as coastal biological samplers, we examined in detail the cephalopod component of their diet in Campbell Island (New Zealand) during two consecutive breeding seasons in order to evaluate (1) the relative importance of cephalopods (by frequency of occurrence, by number and by mass) to the diet of both adult and chick penguins, (2) the habitat and trophic levels of the cephalopods in the region and (3) the status of the juvenile/sub-adult cephalopod community in the waters around Campbell Island. Our results show that eastern rockhopper penguins feed on eight species of juvenile and sub-adult cephalopods, with Onykia ingens, Martialia hyadesi and Octopus campbelli being the most important species by frequency of occurrence, number and mass. Differences between the diets of adult and chick penguins and between breeding seasons were found. Habitat (C-13) and trophic level (N-15) information also showed that all cephalopod species (and all studied stages) occupy similar habitat on the Campbell shelf, with M. hyadesi showing lower N-15 values than O. ingens and O. campbelli. This study indicates that eastern rockhopper penguins can be valuable biological samplers of local juvenile/sub-adult cephalopods (including poorly known cephalopod species) around Campbell Island when breeding, that these cephalopods were likely to be caught naturally (not from fisheries), providing relevant information for the conservation of these penguins.</t>
  </si>
  <si>
    <t>[Xavier, J. C.; Ceia, F. R.; Queiros, J. P.; Guimaraes, B.] Univ Coimbra, MARE Marine &amp; Environm Sci Ctr, Dept Ciencias Vida, P-3001401 Coimbra, Portugal; [Xavier, J. C.] British Antarctic Survey, Nat Environm Res Council, Madingley Rd, Cambridge CB3 0ET, England; [Cherel, Y.] Univ La Rochelle, Ctr Etud Biol Chize, UMR 7372, CNRS, F-79360 Villiers En Bois, France; [Rosa, R.] Univ Lisbon, MARE Marine &amp; Environm Sci Ctr, Lab Maritimo Guia, Fac Ciencias, Cascais, Portugal; [Cunningham, D. M.; Moors, P. J.] Dept Conservat, POB 10420, Wellington, New Zealand; [Thompson, D. R.] Natl Inst Water &amp; Atmospher Res Ltd, 301 Evans Bay Parade, Wellington 6021, New Zealand; [Cunningham, D. M.] POB 3269, Richmond 7050, New Zealand; [Moors, P. J.] 9 Willis St, Balwyn North, Vic 3104, Australia</t>
  </si>
  <si>
    <t>Universidade de Coimbra; UK Research &amp; Innovation (UKRI); Natural Environment Research Council (NERC); NERC British Antarctic Survey; Centre National de la Recherche Scientifique (CNRS); CNRS - Institute of Ecology &amp; Environment (INEE); La Rochelle Universite; Universidade de Lisboa; National Institute of Water &amp; Atmospheric Research (NIWA) - New Zealand</t>
  </si>
  <si>
    <t>Xavier, JC (corresponding author), Univ Coimbra, MARE Marine &amp; Environm Sci Ctr, Dept Ciencias Vida, P-3001401 Coimbra, Portugal.;Xavier, JC (corresponding author), British Antarctic Survey, Nat Environm Res Council, Madingley Rd, Cambridge CB3 0ET, England.</t>
  </si>
  <si>
    <t>JCCX@cantab.net</t>
  </si>
  <si>
    <t>Queirós, José P./K-4158-2019; Thompson, David/C-3520-2008; Ceia, Filipe R./A-2196-2012; Xavier, José/KFB-6739-2024; Rosa, Rui/A-4580-2009</t>
  </si>
  <si>
    <t>Queirós, José P./0000-0003-2763-2529; Ceia, Filipe R./0000-0002-5470-5183; Rosa, Rui/0000-0003-2801-5178; /0000-0002-9621-6660</t>
  </si>
  <si>
    <t>Investigator FCT program [IF/00616/2013]; PROPOLAR; Foundation for Science and Technology (Portugal) [SFRH/BPD/95372/2013]; European Social Fund (POPH, EU); FCT [MARE-UID/MAR/04292/2013]; NERC [bas010011] Funding Source: UKRI</t>
  </si>
  <si>
    <t>Investigator FCT program(Fundacao para a Ciencia e a Tecnologia (FCT)); PROPOLAR; Foundation for Science and Technology (Portugal)(Fundacao para a Ciencia e a Tecnologia (FCT)); European Social Fund (POPH, EU); FCT(Fundacao para a Ciencia e a Tecnologia (FCT)); NERC(UK Research &amp; Innovation (UKRI)Natural Environment Research Council (NERC))</t>
  </si>
  <si>
    <t>We thank Tiago Jesus for his attempt to obtain DNA from the samples. Bruno Boto for producing the photos of the beaks. Isabel Mendes of the Centre for Marine and Environmental Research of the University of Algarve (CIMA) for the usage of photographic equipment to take photos of the beaks. This work is an international effort under the Scientific Committee on Antarctic Research (SCAR) associated programs, expert and action groups, namely SCAR AnT-ERA, SCAR EGBAMM and ICED. JX was supported by the Investigator FCT program (IF/00616/2013) and PROPOLAR, and FRC by a post-doc grant (SFRH/BPD/95372/2013) by the Foundation for Science and Technology (Portugal) and the European Social Fund (POPH, EU). This study benefited from the strategic program of MARE, financed by FCT (MARE-UID/MAR/04292/2013).</t>
  </si>
  <si>
    <t>10.1007/s00300-018-2333-2</t>
  </si>
  <si>
    <t>WOS:000445212100003</t>
  </si>
  <si>
    <t>Weimerskirch, H; Delord, K; Barbraud, C; Le Bouard, F; Ryan, PG; Fretwell, P; Marteau, C</t>
  </si>
  <si>
    <t>Weimerskirch, Henri; Delord, Karine; Barbraud, Christophe; Le Bouard, Fabrice; Ryan, Peter G.; Fretwell, Peter; Marteau, Cedric</t>
  </si>
  <si>
    <t>Status and trends of albatrosses in the French Southern Territories, Western Indian Ocean</t>
  </si>
  <si>
    <t>Crozet; Kerguelen; Amsterdam; Fisheries; Monitoring</t>
  </si>
  <si>
    <t>LONG-LINE FISHERIES; DIOMEDEA-EXULANS; MARION ISLAND; WANDERING ALBATROSSES; POPULATION-DYNAMICS; CLIMATE; SEABIRD; PETRELS; LIFE; AMSTERDAMENSIS</t>
  </si>
  <si>
    <t>Today albatrosses are threatened worldwide, especially by fishing activities, and many populations are currently in decline. Albatrosses breeding at the French Southern Territories in the south-western Indian Ocean, on the Crozet, Kerguelen and Saint-Paul-Amsterdam island archipelagos, are monitored regularly. This monitoring has been based on a sample of species and sites, and there was a need for an assessment of the population trends for all species at each site. During the past 3years most populations have been surveyed, allowing an assessment of the trends of albatrosses breeding at the archipelagos of the French Southern Territories over the past 40years. Wandering Albatrosses show similar trends at all sites within the Crozet and Kerguelen archipelagos, with a recent recovery of colonies after strong declines in the 1970s. Amsterdam Albatrosses are increasing, albeit at lower rates during recent years. Indian Yellow-nosed Albatrosses show a global decline over the entire range. The trends among Black-browed and Grey-headed Albatrosses vary between colonies and archipelagos. Sooty Albatrosses have continuously decreased in numbers whereas Light-mantled Albatross numbers vary considerably between years, with an overall increase over the past 30years. These results confirm that the French Southern Territories in the south-west Indian Ocean support a significant portion of the world populations of several albatross species. Several species appear to be steadily decreasing probably because of the impact of fisheries and disease outbreaks. The reasons for different trends among populations of the same species are not well understood and require further investigation.</t>
  </si>
  <si>
    <t>[Weimerskirch, Henri; Delord, Karine; Barbraud, Christophe; Le Bouard, Fabrice] Univ Rochelle, CNRS, Ctr Etud Biol Chize, F-79360 Villiers En Bois, France; [Le Bouard, Fabrice; Fretwell, Peter] Reserve Natl Terres Australes Francaises, St Pierre, Reunion, France; [Marteau, Cedric] Univ Cape Town, FitzPatrick Inst African Ornithol, ZA-7701 Rondebosch, South Africa; [Ryan, Peter G.] British Antarctic Survey, Madingley Rd, Cambridge, England</t>
  </si>
  <si>
    <t>Centre National de la Recherche Scientifique (CNRS); University of Cape Town; UK Research &amp; Innovation (UKRI); Natural Environment Research Council (NERC); NERC British Antarctic Survey</t>
  </si>
  <si>
    <t>Weimerskirch, H (corresponding author), Univ Rochelle, CNRS, Ctr Etud Biol Chize, F-79360 Villiers En Bois, France.</t>
  </si>
  <si>
    <t>henriw@cebc.cnrs.fr</t>
  </si>
  <si>
    <t>Weimerskirch, Henri/F-5562-2013; Weimerskirch, Henri/K-7306-2019; Barbraud, Christophe/A-5870-2012</t>
  </si>
  <si>
    <t>Weimerskirch, Henri/0000-0002-0457-586X; Barbraud, Christophe/0000-0003-0146-212X</t>
  </si>
  <si>
    <t>French Polar Institute [IPEV 109]; Reserve Nationale des Terres Australes Francaises; Antarctic Circumpolar Expedition (ACE); Ferring Pharmaceuticals; Swiss Polar Institute - ACE Foundation; NERC [bas010011] Funding Source: UKRI</t>
  </si>
  <si>
    <t>French Polar Institute; Reserve Nationale des Terres Australes Francaises; Antarctic Circumpolar Expedition (ACE); Ferring Pharmaceuticals(Ferring Pharmaceuticals); Swiss Polar Institute - ACE Foundation; NERC(UK Research &amp; Innovation (UKRI)Natural Environment Research Council (NERC))</t>
  </si>
  <si>
    <t>This study was funded by the French Polar Institute (Program IPEV 109), Reserve Nationale des Terres Australes Francaises), and the Antarctic Circumpolar Expedition (ACE), a scientific expedition carried out under the auspices of the Swiss Polar Institute, supported by funding from the ACE Foundation and Ferring Pharmaceuticals. We thank the crews of the French Navy ships Floreal and Nivose and especially the helicopter pilots for their help. We thank all the fieldworkers involved in the long-term monitoring programme, and Gaspard Bernard, Nicolas Moulin and Benoit Gineste for their help with the helicopter photographs and photographic counts. We thank Marc Lebouvier and Zone Atelier Antarctique for providing with the Ile de l'Est satellite image. We thank three anonymous reviewers for extensive changes and suggestions on a previous version of the manuscript.</t>
  </si>
  <si>
    <t>10.1007/s00300-018-2335-0</t>
  </si>
  <si>
    <t>WOS:000445212100005</t>
  </si>
  <si>
    <t>Grimaldi, W; Ainley, DG; Massaro, M</t>
  </si>
  <si>
    <t>Grimaldi, Wray; Ainley, David G.; Massaro, Melanie</t>
  </si>
  <si>
    <t>Multi-year serological evaluation of three viral agents in the Adelie Penguin (Pygoscelis adeliae) on Ross Island, Antarctica</t>
  </si>
  <si>
    <t>Antibody; Penguins; Ross Sea; Serological assay; Virus</t>
  </si>
  <si>
    <t>INFECTIOUS BURSAL DISEASE; INFLUENZA-A VIRUS; NEWCASTLE-DISEASE; MACQUARIE ISLAND; SOUTHERN-OCEAN; UNITED-STATES; CAPE CROZIER; PARAMYXOVIRUSES; AUSTRALIA; DIAGNOSIS</t>
  </si>
  <si>
    <t>Serological assays are commonly used in wildlife health studies to screen for exposure of an individual or a population to infectious agents. Such assays can therefore provide useful information regarding the health status of an individual or for determining the prevalence of a pathogen within a population. In this study, serological assays of three viral agents have been conducted on the Adelie Penguin (Pygoscelis adeliae) on Ross Island, Ross Sea, Antarctica. We sampled adult Adelie Penguins during three consecutive summer breeding seasons (2010-2011, 2011-2012 and 2012-2013), and tested those samples for antibodies to avian influenza Avirus, Newcastle disease virus, and infectious bursal disease virus. No antibodies were detected for avian influenza A virus in any season. Two samples in 2012-2013 were positive for Newcastle disease virus antibodies and a total of10 samples were positive for infectious bursal disease virus antibodiesduring this study. This information establishes baseline data for these three viruses in Adelie Penguins at this location and can be used for future comparisons of disease prevalence in this population.</t>
  </si>
  <si>
    <t>[Grimaldi, Wray] Univ Otago, Dept Zool, Dunedin 9054, New Zealand; [Ainley, David G.] HT Harvey &amp; Associates Ecol Consultants, Los Gatos, CA 95032 USA; [Massaro, Melanie] Charles Sturt Univ, Inst Land Water &amp; Soc, Sch Environm Sci, Albury, NSW 2640, Australia</t>
  </si>
  <si>
    <t>University of Otago; Charles Sturt University</t>
  </si>
  <si>
    <t>Grimaldi, W (corresponding author), Univ Otago, Dept Zool, Dunedin 9054, New Zealand.</t>
  </si>
  <si>
    <t>wray.grimaldi@postgrad.otago.ac.nz</t>
  </si>
  <si>
    <t>Massaro, Melanie/P-4791-2017</t>
  </si>
  <si>
    <t>Massaro, Melanie/0000-0001-9039-1268</t>
  </si>
  <si>
    <t>New Zealand's Ministry for Business, Innovation and Employment (MBIE) [C09X0510]; New Zealand Ministry of Science and Innovation grant [C01X1001]; University of Otago Postgraduate Scholarship; MBIE; US National Science Foundation [ANT-0944411]</t>
  </si>
  <si>
    <t>New Zealand's Ministry for Business, Innovation and Employment (MBIE)(New Zealand Ministry of Business, Innovation and Employment (MBIE)); New Zealand Ministry of Science and Innovation grant; University of Otago Postgraduate Scholarship; MBIE(New Zealand Ministry of Business, Innovation and Employment (MBIE)); US National Science Foundation(National Science Foundation (NSF))</t>
  </si>
  <si>
    <t>This work was funded by New Zealand's Ministry for Business, Innovation and Employment (MBIE) under project C09X0510, Protecting the Ross Sea Ecosystem; a New Zealand Ministry of Science and Innovation grant, C01X1001; and a University of Otago Postgraduate Scholarship to WG. Funding for the serology tests was provided by MBIE Core Funding to Landcare Research. Logistics for personnel at Cape Bird were provided by Antarctica New Zealand. Sampling at Cape Crozier was funded by the US National Science Foundation Grant ANT-0944411, with logistics supplied by the U.S. Antarctic Program, permit ACA 2011-002. Helpful comments to improve this manuscript were provided by Dan Tompkins Landcare Research and two anonymous reviewers. We thank especially Elizabeth Porzig, Scott Jennings and Annie Pollard for their help with sampling at Cape Crozier and Catriona MacLeod and Amy Whitehead, both from Landcare Research, for collecting blood samples at Cape Bird North in 2010-2011. A very special thanks to Keven Drew, Landcare Research, whose help was invaluable with the fieldwork at Cape Bird for seasons 2011-2012 and 2012-2013.</t>
  </si>
  <si>
    <t>10.1007/s00300-018-2342-1</t>
  </si>
  <si>
    <t>WOS:000445212100010</t>
  </si>
  <si>
    <t>Peck, LS; Clark, MS; Dunn, NI</t>
  </si>
  <si>
    <t>Peck, Lloyd S.; Clark, Melody S.; Dunn, Nicholas, I</t>
  </si>
  <si>
    <t>Morphological variation in taxonomic characters of the Antarctic starfish Odontaster validus</t>
  </si>
  <si>
    <t>Taxonomy; Echinoderm; Asteroid; Southern Ocean; Asteroidea</t>
  </si>
  <si>
    <t>TEMPERATURE LIMITS; SEA; LARVAE; BIODIVERSITY; ECHINODERMS; METABOLISM; ASTEROIDEA; DIVERSITY</t>
  </si>
  <si>
    <t>Morphologies of animals can vary significantly, and variation in characters in relation to taxonomic discrimination is often either underestimated or not evaluated. It can, however, make the identification and separation of species on morphological criteria less sound. Here, we investigate variation in morphological characters used to separate species of the Antarctic starfish genus Odontaster. Three closely related species in this genus have recently been identified using molecular barcoding (Odontaster validus, Odontaster roseus and Odontaster pearsei), and their morphologies have also been reported to be distinct, allowing them to be identified as separate species and not cryptic on morphological criteria. Our study shows that variation in overall shape, colour and for the number of spinelets on the abactinal plates of individuals in a single population of O. validus collected from one locality covers the whole range of that reported for O. roseus and overlaps that of O. pearsei. These may be separate species at the molecular level, but care needs to be used when using morphological criteria to separate them, and more care is needed to include assessment of morphological variation when constructing taxonomic keys for these species.</t>
  </si>
  <si>
    <t>[Peck, Lloyd S.; Clark, Melody S.] British Antarctic Survey, Madingley Rd, Cambridge CB3 0ET, England; [Dunn, Nicholas, I] Imperial Coll London, Dept Life Sci, London SW7 2AZ, England</t>
  </si>
  <si>
    <t>UK Research &amp; Innovation (UKRI); Natural Environment Research Council (NERC); NERC British Antarctic Survey; Imperial College London</t>
  </si>
  <si>
    <t>Peck, LS (corresponding author), British Antarctic Survey, Madingley Rd, Cambridge CB3 0ET, England.</t>
  </si>
  <si>
    <t>l.peck@bas.ac.uk</t>
  </si>
  <si>
    <t>Dunn, Nicholas/AAT-8199-2020; Clark, Melody S/D-7371-2014</t>
  </si>
  <si>
    <t>Dunn, Nicholas/0000-0002-6231-5222;</t>
  </si>
  <si>
    <t>Natural Environment Research Council of the UK; NERC [bas0100036] Funding Source: UKRI</t>
  </si>
  <si>
    <t>Natural Environment Research Council of the UK(UK Research &amp; Innovation (UKRI)Natural Environment Research Council (NERC)); NERC(UK Research &amp; Innovation (UKRI)Natural Environment Research Council (NERC))</t>
  </si>
  <si>
    <t>We thank the members of the diving team at Rothera Station, Antarctica, for assistance with specimen collection, Elaine Fitzcharles and Michelle King (BAS) for barcoding the Odontaster samples and Michael Thorne (BAS) for Odontaster database submission to PopSet. Dr. Chris Mah made valuable comments on an early draft. This work was supported by core funds to the British Antarctic Survey from the Natural Environment Research Council of the UK.</t>
  </si>
  <si>
    <t>10.1007/s00300-018-2344-z</t>
  </si>
  <si>
    <t>WOS:000445212100020</t>
  </si>
  <si>
    <t>Gómez, M; Ausín, MC; Domínguez, MC</t>
  </si>
  <si>
    <t>Gomez, Mario; Concepcion Ausin, M.; Carmen Dominguez, M.</t>
  </si>
  <si>
    <t>Vine copula models for predicting water flow discharge at King George Island, Antarctica</t>
  </si>
  <si>
    <t>STOCHASTIC ENVIRONMENTAL RESEARCH AND RISK ASSESSMENT</t>
  </si>
  <si>
    <t>Glacier discharge; Vine copula; Prediction; Meteorological; Finite mixtures</t>
  </si>
  <si>
    <t>RANDOM-VARIABLES; CLIMATE-CHANGE; DEPENDENCE; RISK; MELT; ICE</t>
  </si>
  <si>
    <t>In order to understand the behavior of the glaciers, their mass balance should be studied. The loss of water produced by melting, known as glacier discharge, is one of the components of this mass balance. In this paper, a vine copula structure is proposed to model the multivariate and nonlinear dependence among the glacier discharge and other related meteorological variables such as temperature, humidity, solar radiation and precipitation. The multivariate distribution of these variables is expressed as a mixture of four components according to the presence or not of positive discharge and/or positive precipitation. Then, each of the four subgroups is modelled with a vine copula. The conditional probability of zero discharge for given meteorological conditions is obtained from the proposed joint distribution. Moreover, the structure of the vine copula allows us to derive the conditional distribution of the glacier discharge for the given meteorological conditions. Three different prediction methods for the values of the discharge are used and compared. The proposed methodology is applied to a large database collected since 2002 by the GLACKMA association from a measurement station located in the King George Island in the Antarctica. Seasonal effects are included by using different parameters for each season. We have found that the proposed vine copula model outperforms a previous work where we only used the temperature to predict the glacier discharge using a time-varying bivariate copula.</t>
  </si>
  <si>
    <t>[Gomez, Mario; Concepcion Ausin, M.] Univ Carlos III Madrid, Dept Stat, Getafe, Spain; [Concepcion Ausin, M.] UC3M BS Inst Financial Big Data IFiBiD, Getafe, Spain; [Carmen Dominguez, M.] Univ Salamanca, Dept Appl Math, Salamanca, Spain</t>
  </si>
  <si>
    <t>Universidad Carlos III de Madrid; University of Salamanca</t>
  </si>
  <si>
    <t>Gómez, M (corresponding author), Univ Carlos III Madrid, Dept Stat, Getafe, Spain.</t>
  </si>
  <si>
    <t>mario.gomez@uc3m.es; causin@est-econ.uc3m.es; karmenka@usal.es</t>
  </si>
  <si>
    <t>AUSIN, CONCEPCION/Y-9443-2019</t>
  </si>
  <si>
    <t>AUSIN, CONCEPCION/0000-0003-0904-6542; Gomez, Mario/0000-0002-9273-3580</t>
  </si>
  <si>
    <t>Spanish Government [MINECO2015-66593-P]; European Science Foundation; ESF project IMCOAST [EUI2009-04068]; Ministerio de Educacion y Ciencia [CGL2007-65522-C02-01/ANT]</t>
  </si>
  <si>
    <t>Spanish Government(Spanish Government); European Science Foundation(European Science Foundation (ESF)); ESF project IMCOAST; Ministerio de Educacion y Ciencia(Spanish Government)</t>
  </si>
  <si>
    <t>We would like to thank the anonymous reviewers for their careful reading and very helpful comments. We are very grateful to the GLACKMA association. The first and second authors acknowledge financial support by MEC project MINECO2015-66593-P from the Spanish Government. The third author would like to thank the Russian, Argentinean, German, Uruguayan and Chilean Antarctic Programs for their continuous logistic support over the years. The crews of Bellingshausen, Artigas, and Carlini station as well as the Dallmann Laboratory provided a warm and pleasant environment during fieldwork. GLACKMA's contribution was also partially financed by the European Science Foundation, ESF project IMCOAST (EUI2009-04068) and the Ministerio de Educacion y Ciencia (CGL2007-65522-C02-01/ANT).</t>
  </si>
  <si>
    <t>1436-3240</t>
  </si>
  <si>
    <t>1436-3259</t>
  </si>
  <si>
    <t>STOCH ENV RES RISK A</t>
  </si>
  <si>
    <t>Stoch. Environ. Res. Risk Assess.</t>
  </si>
  <si>
    <t>10.1007/s00477-018-1599-9</t>
  </si>
  <si>
    <t>Engineering, Environmental; Engineering, Civil; Environmental Sciences; Statistics &amp; Probability; Water Resources</t>
  </si>
  <si>
    <t>Engineering; Environmental Sciences &amp; Ecology; Mathematics; Water Resources</t>
  </si>
  <si>
    <t>GV4JC</t>
  </si>
  <si>
    <t>Green Submitted, Green Published</t>
  </si>
  <si>
    <t>WOS:000446064000002</t>
  </si>
  <si>
    <t>Youn, UJ; So, JE; Kim, JH; Han, SJ; Park, H; Kim, IC; Yim, JH</t>
  </si>
  <si>
    <t>Youn, Ui Joung; So, Jae Eun; Kim, Ji Hee; Han, Se Jong; Park, Hyun; Kim, Il Chan; Yim, Jung Han</t>
  </si>
  <si>
    <t>Chemical constituents from the Antarctic lichen, Stereocaulon caespitosum</t>
  </si>
  <si>
    <t>BIOCHEMICAL SYSTEMATICS AND ECOLOGY</t>
  </si>
  <si>
    <t>Stereocaulon caespitosum; Antarctic lichen; Depside; Montagnetol</t>
  </si>
  <si>
    <t>SUMATRAN LICHEN; IN-VITRO; ACID; ALPINUM; COMPONENTS; JAPONICUM; MYCOBIONT</t>
  </si>
  <si>
    <t>A phytochemical study of the methanol extract of the Antarctic lichen Stereocaulon caespitoswn Redgr. led to the isolation of a tridepside (1), two depsides (2 and 3), a montagnetol derivative (4), and four mono-phenolic compounds (5-8). The structures of these compounds were confirmed by 1D- and 2D-nuclear magnetic resonance (NMR) experiments, as well as by comparison with published values. This is the first phytochemical study of S. caespitoswn. In particular, compounds 1, 3, 4, and 8 have been isolated for the first time from the genus Stereocaulon and the family Stereocaulaceae. The chemotaxonomic significance of the isolated compounds is discussed.</t>
  </si>
  <si>
    <t>[Youn, Ui Joung; So, Jae Eun; Kim, Ji Hee; Han, Se Jong; Kim, Il Chan; Yim, Jung Han] Korea Polar Res Inst, KIOST, Div Life Sci, Incheon 21990, South Korea; [So, Jae Eun; Han, Se Jong; Park, Hyun] Univ Sci &amp; Technol, Dept Polar Sci, Incheon 21990, South Korea; [Park, Hyun] Korea Polar Res Inst, Unit Polar Genom, Incheon 21990, South Korea</t>
  </si>
  <si>
    <t>Korea Polar Research Institute (KOPRI); Korea Institute of Ocean Science &amp; Technology (KIOST); Korea Polar Research Institute (KOPRI)</t>
  </si>
  <si>
    <t>Youn, UJ (corresponding author), Korea Polar Res Inst, KIOST, Div Life Sci, Incheon 21990, South Korea.</t>
  </si>
  <si>
    <t>ujyoun@kopri.re.kr</t>
  </si>
  <si>
    <t>Park, Hyun/0000-0002-8055-2010; HAN, Se Jong/0000-0001-9576-2179</t>
  </si>
  <si>
    <t>Korea Polar Research Institute, KOPRI [PE17310, PE18100]</t>
  </si>
  <si>
    <t>Korea Polar Research Institute, KOPRI</t>
  </si>
  <si>
    <t>This work was supported by a grant to the Korea Polar Research Institute, KOPRI, under projects (PE17310 and PE18100).</t>
  </si>
  <si>
    <t>0305-1978</t>
  </si>
  <si>
    <t>1873-2925</t>
  </si>
  <si>
    <t>BIOCHEM SYST ECOL</t>
  </si>
  <si>
    <t>Biochem. Syst. Ecol.</t>
  </si>
  <si>
    <t>10.1016/j.bse.2018.07.004</t>
  </si>
  <si>
    <t>Biochemistry &amp; Molecular Biology; Ecology; Evolutionary Biology</t>
  </si>
  <si>
    <t>Biochemistry &amp; Molecular Biology; Environmental Sciences &amp; Ecology; Evolutionary Biology</t>
  </si>
  <si>
    <t>GU9YW</t>
  </si>
  <si>
    <t>WOS:000445714200014</t>
  </si>
  <si>
    <t>Wang, HT; Jiang, H; Ou, JK; Sun, BQ; Zhong, SM; Song, M; Guo, AZ</t>
  </si>
  <si>
    <t>Wang, Haitao; Jiang, Hu; Ou, Jikun; Sun, Baoqi; Zhong, Shiming; Song, Min; Guo, Aizhi</t>
  </si>
  <si>
    <t>Anomaly analysis of 18 years of newly merged GPS ephemeris from four IGS data centers</t>
  </si>
  <si>
    <t>Remerged navigation data; IGS data centers; GPS system performance assessment; Frequency-dependent pattern recognition; Robust ephemeris elements</t>
  </si>
  <si>
    <t>The merged GPS navigation files from the International GNSS Service (IGS) data centers, i.e., the Crustal Dynamics Data Information System (CDDIS), the Bundesamt fur Kartographie und Geodasie (BKG), the Scripps Institution of Oceanography (SIO), and the Institut Geographique National (IGN) are occasionally contaminated by anomalies and inconsistent user range accuracy (URA). This contamination impairs the performance assessment of GPS service, especially the system integrity. We remerged these files starting Day of Year (DOY) 1, 2000 using all available navigation data files from IGS stations. To effectively get the upper bound URA, a frequency-dependent pattern recognition method was developed. In addition, a comprehensive comparison between the navigation data remerged by us and those provided by the four IGS data centers was performed. The compared results revealed that T-GD and Issue of Data Clock (IODC) were the dominating anomalies in the merged navigation data from CDDIS and SIO for the first several years after 2000, and M-0, (0), , and a(f0) were the dominant anomalies in the merged data from IGN. In addition to a number of missing records, many records with incorrect PRN (pseudo-random noise number), identifying a GPS satellite, were found in files from the IGS data centers. Although the number of anomalies in the merged files from CDDIS has continued to decrease in recent years, they have not disappeared and would affect system-level assessment and scientific applications to a certain extent. The results also revealed that our remerged files were more complete, clean, compact and consistent, making them more suitable for GPS system performance assessment and related research studies. Moreover, those data are now openly available.</t>
  </si>
  <si>
    <t>[Wang, Haitao; Ou, Jikun; Zhong, Shiming; Song, Min; Guo, Aizhi] Chinese Acad Sci, State Key Lab Geodesy &amp; Earths Dynam, Inst Geodesy &amp; Geophys, Wuhan 430077, Hubei, Peoples R China; [Jiang, Hu] Wuhan Univ, Chinese Antarctic Ctr Surveying &amp; Mapping, Wuhan 430079, Hubei, Peoples R China; [Sun, Baoqi] Chinese Acad Sci, Key Lab Precise Positioning &amp; Timing Technol, Natl Time Serv Ctr, Xian 710600, Shaanxi, Peoples R China; [Sun, Baoqi] Univ Chinese Acad Sci, Sch Astron &amp; Space Sci, Beijing 100049, Peoples R China</t>
  </si>
  <si>
    <t>Chinese Academy of Sciences; Innovation Academy for Precision Measurement Science &amp; Technology, CAS; Wuhan University; Chinese Academy of Sciences; National Time Service Center, CAS; Chinese Academy of Sciences; University of Chinese Academy of Sciences, CAS</t>
  </si>
  <si>
    <t>Wang, HT (corresponding author), Chinese Acad Sci, State Key Lab Geodesy &amp; Earths Dynam, Inst Geodesy &amp; Geophys, Wuhan 430077, Hubei, Peoples R China.</t>
  </si>
  <si>
    <t>whigg_wang@whigg.ac.cn</t>
  </si>
  <si>
    <t>Wang, Haitao/0000-0001-9118-7808</t>
  </si>
  <si>
    <t>National Natural Science Foundation of China [41474029, 41574015]; Innovation Foundation of the Chinese Academy of Sciences [CXJJ-14-M18]; Key Program of the Major Research Plan of the National Natural Science Foundation of China [91638203]; Collaborative Precision Positioning Project - Ministry of Science and Technology of China [2016YFB0501900]; National R&amp;D Infrastructure and Facility Development Program of China, Fundamental Science Data Sharing Platform [DKA2017-12-02-24]</t>
  </si>
  <si>
    <t>National Natural Science Foundation of China(National Natural Science Foundation of China (NSFC)); Innovation Foundation of the Chinese Academy of Sciences(Chinese Academy of Sciences); Key Program of the Major Research Plan of the National Natural Science Foundation of China(National Natural Science Foundation of China (NSFC)); Collaborative Precision Positioning Project - Ministry of Science and Technology of China; National R&amp;D Infrastructure and Facility Development Program of China, Fundamental Science Data Sharing Platform</t>
  </si>
  <si>
    <t>Our deepest gratitude goes to anonymous reviewers for their careful work and valuable suggestions that have helped to improve our paper substantially. This work was jointly supported by the National Natural Science Foundation of China (Grant No. 41474029, 41574015), the Innovation Foundation of the Chinese Academy of Sciences (Grant No. CXJJ-14-M18), the Key Program of the Major Research Plan of the National Natural Science Foundation of China (No. 91638203), the Collaborative Precision Positioning Project funded by the Ministry of Science and Technology of China (No. 2016YFB0501900), and the National R&amp;D Infrastructure and Facility Development Program of China, Fundamental Science Data Sharing Platform (DKA2017-12-02-24). The authors would like to acknowledge the IGS data centers of CDDIS, BKG, SIO and IGN for providing access to the GPS navigation data and the International GNSS Monitoring and Assessment Service (iGMAS) data center of National Time Service Center for accommodating iggm data. We also thank Dr. Teng Liu of IGG (Institute of Geodesy and Geophysics) for helping us with the SPP (Standard Point Positioning) experiment.</t>
  </si>
  <si>
    <t>10.1007/s10291-018-0791-1</t>
  </si>
  <si>
    <t>GV0LX</t>
  </si>
  <si>
    <t>WOS:000445753900001</t>
  </si>
  <si>
    <t>Phillips, RA; Cooper, J; Burg, TM</t>
  </si>
  <si>
    <t>Phillips, Richard A.; Cooper, John; Burg, Theresa M.</t>
  </si>
  <si>
    <t>Breeding-site vagrancy and hybridization in albatrosses</t>
  </si>
  <si>
    <t>IBIS</t>
  </si>
  <si>
    <t>heterospecific pairs; hybrids; inter-breeding; mixed-species pairs; range expansion; secondary contact</t>
  </si>
  <si>
    <t>BLACK-BROWED ALBATROSS; ANONYMOUS NUCLEAR LOCI; POPULATION-STRUCTURE; MITOCHONDRIAL-DNA; APPLICABILITY; MELANOPHRIS; PROVENANCE; GENETICS; LAYSAN; SHY</t>
  </si>
  <si>
    <t>Given the rarity of hybridization in seabirds, which presumably relates to their very high philopatry, the degree of breeding-site vagrancy should correspond with the incidence of mixed-species pairing, although not necessarily with the production of hybrids if there are behavioural or genetic barriers to successful reproduction. Using molecular methods, we verified that two of the three chicks hatched by a vagrant male White-capped Albatross Thalassarche steadi paired with a female Black-browed Albatross Thalassarche melanophris at South Georgia were genuine hybrids (these chicks died before fledging, but a third chick - the result of an extra-pair copulation - fledged successfully). In a wider review, we could find only five known or suspected mixed-species pairs, and three different hybrids in albatrosses, mostly between closely related species. This appears to reflect behavioural barriers to hybridization in sympatric species and the low incidence of breeding-site vagrancy (which mainly involves single individuals that invariably associate with the most phenotypically similar local taxon). Breeding-site vagrancy is most frequent in the shy-albatross' complex, which could explain why genetic divergence occurred more recently in this group than in other Thalassarche, and hence exploratory behaviour appears to be more important than numerical abundance or breeding distribution in driving colonization as well as hybridization processes in albatrosses.</t>
  </si>
  <si>
    <t>[Phillips, Richard A.] NERC, British Antarctic Survey, High Cross, Madingley Rd, Cambridge CB3 0ET, England; [Cooper, John] Stellenbosch Univ, Dept Bot &amp; Zool, Pvt Bag X1, ZA-7602 Matieland, South Africa; [Burg, Theresa M.] Univ Lethbridge, Biol Sci, 4401 Univ Dr, Lethbridge, AB T1K 3M4, Canada</t>
  </si>
  <si>
    <t>UK Research &amp; Innovation (UKRI); Natural Environment Research Council (NERC); NERC British Antarctic Survey; Stellenbosch University; University of Lethbridge</t>
  </si>
  <si>
    <t>Phillips, RA (corresponding author), NERC, British Antarctic Survey, High Cross, Madingley Rd, Cambridge CB3 0ET, England.</t>
  </si>
  <si>
    <t>raphil@bas.ac.uk</t>
  </si>
  <si>
    <t>University of Lethbridge; NSERC; Natural Environment Research Council; NERC [bas0100035] Funding Source: UKRI</t>
  </si>
  <si>
    <t>University of Lethbridge; NSERC(Natural Sciences and Engineering Research Council of Canada (NSERC)); Natural Environment Research Council(UK Research &amp; Innovation (UKRI)Natural Environment Research Council (NERC)); NERC(UK Research &amp; Innovation (UKRI)Natural Environment Research Council (NERC))</t>
  </si>
  <si>
    <t>We are very grateful to Ben Phalan, Isaac Forster, Robin Snape, Derren Fox and Claudia Mischler for fieldwork at Bird Island, to Zach Dempsey for assistance with the molecular lab work, and to Peter Ryan for comments and for providing the samples of White-capped Albatrosses from South Africa. We also thank an anonymous reviewer and the Ibis editors for comments that helped to improve the text. Funds for the molecular analyses were obtained from the University of Lethbridge and NSERC. This research represents a contribution to the Ecosystems component of the British Antarctic Survey Polar Science for Planet Earth Programme, funded by the Natural Environment Research Council.</t>
  </si>
  <si>
    <t>0019-1019</t>
  </si>
  <si>
    <t>1474-919X</t>
  </si>
  <si>
    <t>Ibis</t>
  </si>
  <si>
    <t>10.1111/ibi.12622</t>
  </si>
  <si>
    <t>Ornithology</t>
  </si>
  <si>
    <t>Zoology</t>
  </si>
  <si>
    <t>GV0EI</t>
  </si>
  <si>
    <t>WOS:000445730000016</t>
  </si>
  <si>
    <t>Arce, NG; Culleton, TS</t>
  </si>
  <si>
    <t>Gisele Arce, Natalia; Sandra Culleton, Tamara</t>
  </si>
  <si>
    <t>THE CHALLENGE TO CREATE A BICONTINENTAL BRIDGE. PROBLEMS AND PROSPECTS IN THE TEACHING OF ARGENTINE ANTARCTIC HISTORY</t>
  </si>
  <si>
    <t>Antarctic Argentine History; Education; Historiography; Curricular Design</t>
  </si>
  <si>
    <t>This article proposes a reflection on the situation of the argentine antarctic historical studies and the knowledge on the subject which is constructed in classrooms at the secondary level. The approach was made from the results obtained in a survey of a hundred students from the city of Mar del Plata (Buenos Aires, Argentina) between October 2015 and April 2016. This paper aims to identify the values of Antarctica as a didactic resource, as a new source that allows to study national and international historical processes from the last continent. We seek to build bridges to connect two distant islands: the historical knowledge of Antarctica and the history taught in the classrooms.</t>
  </si>
  <si>
    <t>[Gisele Arce, Natalia] Inst Educ Super Arturo Capdevilla, Sarmiento 1155, RA-5380 Cordoba, Argentina; [Sandra Culleton, Tamara] Univ Nacl Mar del Plata, Mar Del Plata, Buenos Aires, Argentina</t>
  </si>
  <si>
    <t>National University of Mar del Plata</t>
  </si>
  <si>
    <t>Arce, NG (corresponding author), Inst Educ Super Arturo Capdevilla, Sarmiento 1155, RA-5380 Cordoba, Argentina.;Culleton, TS (corresponding author), Univ Mar del Plata, Fac Humanidades, Dept Hist, Funes 3350, RA-7600 Mar Del Plata, Buenos Aires, Argentina.</t>
  </si>
  <si>
    <t>nataliagiselearce@gmail.com; tamculleton@gmail.com</t>
  </si>
  <si>
    <t>GV1EM</t>
  </si>
  <si>
    <t>WOS:000445812400002</t>
  </si>
  <si>
    <t>Crane, A; Goebel, ME; Kraberger, S; Stone, AC; Varsani, A</t>
  </si>
  <si>
    <t>Crane, Adele; Goebel, Michael E.; Kraberger, Simona; Stone, Anne C.; Varsani, Arvind</t>
  </si>
  <si>
    <t>Novel anelloviruses identified in buccal swabs of Antarctic fur seals</t>
  </si>
  <si>
    <t>VIRUS GENES</t>
  </si>
  <si>
    <t>Anelloviridae; SsDNA virus; Pinniped; Antarctica; Arctocephalus gazella</t>
  </si>
  <si>
    <t>PENGUINS; PERFORMANCE; ADENOVIRUS; WILDLIFE; ECOLOGY; TTV</t>
  </si>
  <si>
    <t>Viral diversity associated with Antarctic wildlife remains poorly studied. Nonetheless, over the past 5 years, there has been a concerted effort using viral metagenomics approaches to identify and characterize viruses associated with Antarctic pinniped and avian species. Here we used a viral metagenomics approach to identify circular DNA viruses in buccal swab samples from Antarctic fur seals (Arctocephalus gazella) breeding on Livingston Island, Antarctica during the 2016/2017 field season. We identified two new lineages of anelloviruses, torque teno Arctocephalus gazella virus (TTAgV)-1 (2083 nts) and -2 (2127-2143 nts), which are most closely related to and cluster with a previously identified anellovirus associated with California sea lions (Zalophus californianus) sharing similar to 60% genome-wide pairwise identity. The ORF1 of TTAgVs share 26-41% amino acid similarity to the ORF1 of other previously identified pinniped-associated anelloviruses.</t>
  </si>
  <si>
    <t>[Crane, Adele] Arizona State Univ, Sch Life Sci, Tempe, AZ 85287 USA; [Goebel, Michael E.] NOAA NMFS Southwest Fisheries Sci Ctr, Antarctic Ecosyst Res Div, 8901 La Jolla Shores Dr, La Jolla, CA 92037 USA; [Kraberger, Simona; Varsani, Arvind] Arizona State Univ, Biodesign Ctr Fundamental &amp; Appl Microbi, Tempe, AZ 85287 USA; [Stone, Anne C.] Arizona State Univ, Sch Human Evolut &amp; Social Change, Tempe, AZ 85287 USA; [Stone, Anne C.; Varsani, Arvind] Arizona State Univ, Ctr Evolut &amp; Med, Tempe, AZ 85287 USA; [Varsani, Arvind] Univ Cape Town, Dept Clin Lab Sci, Struct Biol Res Unit, Cape Town, South Africa</t>
  </si>
  <si>
    <t>Arizona State University; Arizona State University-Tempe; Arizona State University; Arizona State University-Tempe; Arizona State University; Arizona State University-Tempe; Arizona State University; Arizona State University-Tempe; University of Cape Town</t>
  </si>
  <si>
    <t>Varsani, A (corresponding author), Arizona State Univ, Biodesign Ctr Fundamental &amp; Appl Microbi, Tempe, AZ 85287 USA.;Varsani, A (corresponding author), Arizona State Univ, Ctr Evolut &amp; Med, Tempe, AZ 85287 USA.;Varsani, A (corresponding author), Univ Cape Town, Dept Clin Lab Sci, Struct Biol Res Unit, Cape Town, South Africa.</t>
  </si>
  <si>
    <t>arvind.varsani@asu.edu</t>
  </si>
  <si>
    <t>Stone, Anne C/B-5719-2009; Varsani, Arvind/JOZ-5299-2023</t>
  </si>
  <si>
    <t>Varsani, Arvind/0000-0003-4111-2415; Kraberger, Simona/0000-0002-7037-9242; Stone, Anne/0000-0001-8021-8314</t>
  </si>
  <si>
    <t>Center of Evolution and Medicine Venture Fund (Center of Evolution and Medicine, Arizona State University, USA)</t>
  </si>
  <si>
    <t>The molecular work described in this study is supported by Center of Evolution and Medicine Venture Fund (Center of Evolution and Medicine, Arizona State University, USA) grant awarded to AS and AV.</t>
  </si>
  <si>
    <t>0920-8569</t>
  </si>
  <si>
    <t>1572-994X</t>
  </si>
  <si>
    <t>Virus Genes</t>
  </si>
  <si>
    <t>10.1007/s11262-018-1585-9</t>
  </si>
  <si>
    <t>Genetics &amp; Heredity; Virology</t>
  </si>
  <si>
    <t>GU6OG</t>
  </si>
  <si>
    <t>WOS:000445434400009</t>
  </si>
  <si>
    <t>Xia, ZY; Yu, ZC; Loisel, J</t>
  </si>
  <si>
    <t>Xia, Zhengyu; Yu, Zicheng; Loisel, Julie</t>
  </si>
  <si>
    <t>Centennial-scale dynamics of the Southern Hemisphere Westerly Winds across the Drake Passage over the past two millennia</t>
  </si>
  <si>
    <t>GEOLOGY</t>
  </si>
  <si>
    <t>ANNULAR MODE; PATAGONIA; CLIMATE; VARIABILITY; ARGENTINA; TRENDS; WIDE</t>
  </si>
  <si>
    <t>The Southern Hemisphere Westerly Winds (SHWW) exert important controls on regional and global climate. Instrumental and reanalysis records indicate strengthening and poleward contraction of the SHWW belt since the late twentieth century. Such changes also have implications for Southern Ocean upwelling and CO2 degassing. Therefore, a better understanding of the long-term SHWW behaviors and dynamics beyond recent decades is critical for projecting future changes. Here, we applied isotope analysis of Sphagnum moss cellulose from a peat bog in southernmost Patagonia (similar to 54 degrees S) to reconstruct changes in oxygen isotope composition of precipitation (delta O-18(p)) that could elucidate past shifts in moisture sources and trajectories. We interpreted the positive shifts in delta O-18(p) to indicate weaker SHWW and, importantly, more frequent easterly flows that enhance moisture supply sourced from the Atlantic Ocean. In contrast, negative shifts in delta O-18(p) indicate stronger SHWW and intensification of the Andean rain shadow. Our data, along with other evidence from southernmost Patagonia and the Antarctic Peninsula, suggest a coherent pattern of centennial-scale variability in SHWW strength on either side of the Drake Passage over the past two millennia, probably as a teleconnection response to El Nino-Southern Oscillation-like variability. Our study implies that investigations of past changes in the SHWW and associated teleconnection mechanisms should consider synoptic-scale atmospheric circulation patterns, rather than seeing SHWW as a simplistic west-to-east (zonal) wind-flow pattern, particularly on the time scales over which the SHWW express zonal asymmetry among different sectors of the Southern Ocean.</t>
  </si>
  <si>
    <t>[Xia, Zhengyu; Yu, Zicheng] Lehigh Univ, Dept Earth &amp; Environm Sci, Bethlehem, PA 18015 USA; [Yu, Zicheng] Northeast Normal Univ, Sch Geog Sci, Changchun 130024, Jilin, Peoples R China; [Loisel, Julie] Texas A&amp;M Univ, Dept Geog, College Stn, TX 77843 USA</t>
  </si>
  <si>
    <t>Lehigh University; Northeast Normal University - China; Texas A&amp;M University System; Texas A&amp;M University College Station</t>
  </si>
  <si>
    <t>Xia, ZY (corresponding author), Lehigh Univ, Dept Earth &amp; Environm Sci, Bethlehem, PA 18015 USA.</t>
  </si>
  <si>
    <t>Xia, Zhengyu/GRS-7101-2022</t>
  </si>
  <si>
    <t>Xia, Zhengyu/0000-0001-9792-6536; Yu, Zicheng/0000-0003-2358-2712</t>
  </si>
  <si>
    <t>U.S. National Science Foundation P2C2 Program [EAR 1502891]</t>
  </si>
  <si>
    <t>U.S. National Science Foundation P2C2 Program</t>
  </si>
  <si>
    <t>We thank Jonathan Stelling and Yinsui Zheng for field assistance; Rodrigo Munzenmayer, Alejandro Kusch, and Daniel Teran from Karukinka Park, Chile (Wildlife Conservation Society) for permissions and logistical support; Yongsong Huang for discussion; and three anonymous reviewers for their constructive comments. This project was supported by the U.S. National Science Foundation P2C2 Program (grant EAR 1502891).</t>
  </si>
  <si>
    <t>GEOLOGICAL SOC AMER, INC</t>
  </si>
  <si>
    <t>BOULDER</t>
  </si>
  <si>
    <t>PO BOX 9140, BOULDER, CO 80301-9140 USA</t>
  </si>
  <si>
    <t>0091-7613</t>
  </si>
  <si>
    <t>1943-2682</t>
  </si>
  <si>
    <t>10.1130/G40187.1</t>
  </si>
  <si>
    <t>GU4LT</t>
  </si>
  <si>
    <t>WOS:000445256000006</t>
  </si>
  <si>
    <t>Bronselaer, B; Zanna, L; Munday, DR; Lowe, J</t>
  </si>
  <si>
    <t>Bronselaer, Ben; Zanna, Laure; Munday, David R.; Lowe, Jason</t>
  </si>
  <si>
    <t>Southern Ocean carbon-wind stress feedback</t>
  </si>
  <si>
    <t>Southern Ocean; Carbon cycle; Climate feedback; Wind stress; Air-sea carbon fluxes</t>
  </si>
  <si>
    <t>ANTHROPOGENIC CO2; MIXED-LAYER; EDDIES; CIRCULATION; ATLANTIC; STORAGE; PUMP</t>
  </si>
  <si>
    <t>The Southern Ocean is the largest sink of anthropogenic carbon in the present-day climate. Here, Southern Ocean pCO 2 and its dependence on wind forcing are investigated using an equilibrium mixed layer carbon budget. This budget is used to derive an expression for Southern Ocean pCO 2 sensitivity to wind stress. Southern Ocean pCO 2 is found to vary as the square root of area-mean wind stress, arising from the dominance of vertical mixing over other processes such as lateral Ekman transport. The expression for p\ hbox {CO}_{2} is validated using idealised coarse-resolution ocean numerical experiments. Additionally, we show that increased (decreased) stratification through surface warming reduces (increases) the sensitivity of the Southern Ocean pCO 2 to wind stress. The scaling is then used to estimate the wind-stress induced changes of atmospheric pCO 2 in CMIP5 models using only a handful of parameters. The scaling is further used to model the anthropogenic carbon sink, showing a long-term reversal of the Southern Ocean sink for large wind stress strength.</t>
  </si>
  <si>
    <t>[Bronselaer, Ben; Zanna, Laure] Univ Oxford, Dept Phys, Atmospher Ocean &amp; Planetary Phys, Oxford OX1 3PU, England; [Munday, David R.] British Antarctic Survey, Madingley Rd, Cambridge CB3 0ET, England; [Lowe, Jason] Met Off Hadley Ctr, FitzRoy Rd, Exeter EX1 3PB, Devon, England</t>
  </si>
  <si>
    <t>University of Oxford; UK Research &amp; Innovation (UKRI); Natural Environment Research Council (NERC); NERC British Antarctic Survey; Met Office - UK; Hadley Centre</t>
  </si>
  <si>
    <t>Bronselaer, B (corresponding author), Univ Oxford, Dept Phys, Atmospher Ocean &amp; Planetary Phys, Oxford OX1 3PU, England.</t>
  </si>
  <si>
    <t>benjamin.bronselaer@noaa.gov; laure.zanna@physics.ox.ac.uk; danday@bas.ac.uk; jason.lowe@metoffice.gov.uk</t>
  </si>
  <si>
    <t>Zanna, Laure/L-3169-2019; Lowe, Jason/GQI-4036-2022; Munday, David/Y-7052-2019; Munday, David R/R-1986-2016; Zanna, Laure/HPG-1772-2023</t>
  </si>
  <si>
    <t>Zanna, Laure/0000-0002-8472-4828; Munday, David R/0000-0003-1920-708X; Zanna, Laure/0000-0002-8472-4828</t>
  </si>
  <si>
    <t>NERC CASE studentship with the Met Office; NERC; NERC [bas0100033] Funding Source: UKRI</t>
  </si>
  <si>
    <t>NERC CASE studentship with the Met Office; NERC(UK Research &amp; Innovation (UKRI)Natural Environment Research Council (NERC)); NERC(UK Research &amp; Innovation (UKRI)Natural Environment Research Council (NERC))</t>
  </si>
  <si>
    <t>BB was supported by a NERC CASE studentship with the Met Office. Further support from NERC was provided to LZ and DRM. This work made use of the facilities of HECToR and Archer. We acknowledge the World Climate Research Programme's Working Group on Coupled Modelling, which is responsible for CMIP archive and the MITgcm team for making their code publicly available. We thank the reviewers for their useful comments which helped improve the manuscript.</t>
  </si>
  <si>
    <t>10.1007/s00382-017-4041-y</t>
  </si>
  <si>
    <t>Green Published, hybrid, Green Accepted</t>
  </si>
  <si>
    <t>WOS:000444947600021</t>
  </si>
  <si>
    <t>Ascui, F; Haward, M; Lovell, H</t>
  </si>
  <si>
    <t>Ascui, Francisco; Haward, Marcus; Lovell, Heather</t>
  </si>
  <si>
    <t>Salmon, sensors, and translation: The agency of Big Data in environmental governance</t>
  </si>
  <si>
    <t>ENVIRONMENT AND PLANNING D-SOCIETY &amp; SPACE</t>
  </si>
  <si>
    <t>Big Data; environmental governance; actor-network theory; translation; salmon; aquaculture</t>
  </si>
  <si>
    <t>ATLANTIC SALMON; POLITICS; ACCOUNTABILITY; SUSTAINABILITY</t>
  </si>
  <si>
    <t>This paper explores the emerging role of Big Data in environmental governance. We focus on the case of salmon aquaculture management from 2011 to 2017 in Macquarie Harbour, Australia, and compare this with the foundational case that inspired the development of the concept of translation' in actor-network theory, that of scallop domestication in St Brieuc Bay, France, in the 1970s. A key difference is the salience of environmental data in the contemporary case. Recent dramatic events in the environmental governance of Macquarie Harbour have been driven by increasing spatial and temporal resolution of environmental monitoring, including real-time data collection from sensors mounted on the fish themselves. The resulting environmental data now takes centre stage in increasingly heated debates over how the harbour should be managed: overturning long-held assumptions about environmental interactions, inducing changes in regulatory practices and institutions, fracturing historical alliances and shaping the on-going legitimacy of the industry. Environmental Big Data is now a key actor within the networks that constitute and enact environmental governance. Given its new and unpredictable agency, control over access to data is likely to become critical in future power struggles over environmental resources and their governance.</t>
  </si>
  <si>
    <t>[Ascui, Francisco] Univ Edinburgh, Business Sch, 29 Buccleuch Pl, Edinburgh EH8 9JS, Midlothian, Scotland; [Ascui, Francisco] Univ Tasmania, Tasmanian Sch Business &amp; Econ, Hobart, Tas, Australia; [Haward, Marcus] Univ Tasmania, Inst Marine &amp; Antarctic Studies, Hobart, Tas, Australia; [Lovell, Heather] Univ Tasmania, Hobart, Tas, Australia</t>
  </si>
  <si>
    <t>University of Edinburgh; University of Tasmania; University of Tasmania; University of Tasmania</t>
  </si>
  <si>
    <t>Ascui, F (corresponding author), Univ Edinburgh, Business Sch, 29 Buccleuch Pl, Edinburgh EH8 9JS, Midlothian, Scotland.</t>
  </si>
  <si>
    <t>Francisco.Ascui@ed.ac.uk</t>
  </si>
  <si>
    <t>Lovell, Heather/L-6955-2018; Ascui, Francisco/AAD-4904-2019; Haward, Marcus/G-3369-2014; Lovell, Heather/G-7019-2011</t>
  </si>
  <si>
    <t>Ascui, Francisco/0000-0001-6036-3987; Haward, Marcus/0000-0003-4775-0864; Lovell, Heather/0000-0003-1164-0356</t>
  </si>
  <si>
    <t>Australian Commonwealth Department of Infrastructure and Rural Development under the Sense-T 'Sensing Natural Capital' project</t>
  </si>
  <si>
    <t>The author(s) disclosed receipt of the following financial support for the research, authorship, and/or publication of this article: the Australian Commonwealth Department of Infrastructure and Rural Development under the Sense-T 'Sensing Natural Capital' project.</t>
  </si>
  <si>
    <t>SAGE PUBLICATIONS LTD</t>
  </si>
  <si>
    <t>1 OLIVERS YARD, 55 CITY ROAD, LONDON EC1Y 1SP, ENGLAND</t>
  </si>
  <si>
    <t>0263-7758</t>
  </si>
  <si>
    <t>1472-3433</t>
  </si>
  <si>
    <t>ENVIRON PLANN D</t>
  </si>
  <si>
    <t>Environ. Plan. D-Soc. Space</t>
  </si>
  <si>
    <t>10.1177/0263775818766892</t>
  </si>
  <si>
    <t>Environmental Studies; Geography</t>
  </si>
  <si>
    <t>Environmental Sciences &amp; Ecology; Geography</t>
  </si>
  <si>
    <t>GU6XB</t>
  </si>
  <si>
    <t>hybrid, Green Published, Green Accepted</t>
  </si>
  <si>
    <t>WOS:000445460000007</t>
  </si>
  <si>
    <t>Huang, JN; Zou, QB; Chen, J; Xu, SH; Luo, D; Zhang, FG; Lu, YY</t>
  </si>
  <si>
    <t>Huang, Jia-ning; Zou, Qingbo; Chen, Jun; Xu, Si-han; Luo, Dan; Zhang, Feng-guo; Lu, Yuan-yuan</t>
  </si>
  <si>
    <t>Phenols and diketopiperazines isolated from Antarctic-derived fungi, Penicillium citreonigrum SP-6</t>
  </si>
  <si>
    <t>PHYTOCHEMISTRY LETTERS</t>
  </si>
  <si>
    <t>Penicillium citreonigrum; Antitumor activities; Phenols; Diketopiperazines</t>
  </si>
  <si>
    <t>PENICILLIUM SP; ASPERGILLUS-OCHRACEOPETALIFORMIS; SESQUITERPENES; CONSTITUENTS; POLYKETIDES; METABOLITES; DERIVATIVES</t>
  </si>
  <si>
    <t>One diketopiperazine (1) and three phenols (3, 5 and 6) were isolated from static culture of Antarctic fungus, Penicillium citreonigrum SP-6, as well as their structures were determined by NMR and CD spectroscopic methods. Additionally, two known compounds, cyclo-(L-Trp-L-Phe) (2) and (-)-(3S, 10R)-dichlorodiaportal (4), were isolated and identified. Antitumor biological studies demonstrated that compounds 1 and 3 showed weak inhibitions against HCT116 cancer cell lines with IC50 values of 26.7 and 46.3 mu M, respectively, comparing to cis-dichlorodiamine platinum.</t>
  </si>
  <si>
    <t>[Huang, Jia-ning; Chen, Jun; Xu, Si-han; Luo, Dan; Zhang, Feng-guo; Lu, Yuan-yuan] China Pharmaceut Univ, Dept Marine Pharm, Nanjing 210009, Jiangsu, Peoples R China; [Zou, Qingbo] Daqing Oil Field Gen Hosp, Dept Pharm, Daqing, Peoples R China</t>
  </si>
  <si>
    <t>China Pharmaceutical University</t>
  </si>
  <si>
    <t>Lu, YY (corresponding author), China Pharmaceut Univ, Dept Marine Pharm, Nanjing 210009, Jiangsu, Peoples R China.</t>
  </si>
  <si>
    <t>luyy@cpu.edu.cn</t>
  </si>
  <si>
    <t>Zhang, Yonghui/AGY-9072-2022</t>
  </si>
  <si>
    <t>National Nature Science Foundation of China [81001395]; Priority Academic Program Development of Jiangsu Higher Education Institution; Qing Lan Project</t>
  </si>
  <si>
    <t>National Nature Science Foundation of China(National Natural Science Foundation of China (NSFC)); Priority Academic Program Development of Jiangsu Higher Education Institution; Qing Lan Project(Jiangsu Polytech Institute)</t>
  </si>
  <si>
    <t>We gratefully acknowledge the financial support from The Project Program of National Nature Science Foundation of China for Young Scientists (No. 81001395), the Priority Academic Program Development of Jiangsu Higher Education Institution and Qing Lan Project.</t>
  </si>
  <si>
    <t>1874-3900</t>
  </si>
  <si>
    <t>1876-7486</t>
  </si>
  <si>
    <t>PHYTOCHEM LETT</t>
  </si>
  <si>
    <t>Phytochem. Lett.</t>
  </si>
  <si>
    <t>10.1016/j.phytol.2018.07.013</t>
  </si>
  <si>
    <t>Plant Sciences; Chemistry, Medicinal</t>
  </si>
  <si>
    <t>Plant Sciences; Pharmacology &amp; Pharmacy</t>
  </si>
  <si>
    <t>GU4QB</t>
  </si>
  <si>
    <t>WOS:000445267500023</t>
  </si>
  <si>
    <t>Percival, LME; Jenkyns, HC; Mather, TA; Dickson, AJ; Batenburg, SJ; Ruhl, M; Hesselbo, SP; Barclay, R; Jarvis, I; Robinson, SA; Woelders, L</t>
  </si>
  <si>
    <t>Percival, Lawrence M. E.; Jenkyns, Hugh C.; Mather, Tamsin A.; Dickson, Alexander J.; Batenburg, Sietske J.; Ruhl, Micha; Hesselbo, Stephen P.; Barclay, Richard; Jarvis, Ian; Robinson, Stuart A.; Woelders, Lineke</t>
  </si>
  <si>
    <t>DOES LARGE IGNEOUS PROVINCE VOLCANISM ALWAYS PERTURB THE MERCURY CYCLE? COMPARING THE RECORDS OF OCEANIC ANOXIC EVENT 2 AND THE END-CRETACEOUS TO OTHER MESOZOIC EVENTS</t>
  </si>
  <si>
    <t>AMERICAN JOURNAL OF SCIENCE</t>
  </si>
  <si>
    <t>mercury; Cenomanian-Turonian OAE; end-Cretaceous; Large Igneous Province; volcanic style; depositional environment</t>
  </si>
  <si>
    <t>CENOMANIAN-TURONIAN BOUNDARY; U-PB GEOCHRONOLOGY; TRIASSIC-JURASSIC BOUNDARY; ATLANTIC MAGMATIC PROVINCE; CARBON-ISOTOPE EXCURSION; DISSOLVED ORGANIC-MATTER; DECCAN FLOOD BASALTS; ONTONG JAVA PLATEAU; UMBRIA-MARCHE BASIN; PALEOGENE BOUNDARY</t>
  </si>
  <si>
    <t>Mercury (Hg) is increasingly being used as a sedimentary tracer of Large Igneous Province (LIP) volcanism, and supports hypotheses of a coincidence between the formation of several LIPs and episodes of mass extinction and major environmental perturbation. However, numerous important questions remain to be answered before Hg can be claimed as an unequivocal fingerprint of LIP volcanism, as well as an understanding of why some sedimentary records document clear Hg enrichment signals whilst others do not. Of particular importance is evaluating the impact of different volcanic styles on the global mercury cycle, as well as the role played by depositional processes in recording global Hg-cycle perturbations. Here, new mercury records of Cretaceous Oceanic Anoxic Event 2 (OAE 2: similar to 94 Ma) and the latest Cretaceous (similar to 67-66.0 Ma) are presented. OAE 2 is associated with the emplacement of multiple, predominantly submarine, LIPs; the latest Cretaceous with subaerial volcanism of the Deccan Traps. Both of these connections are strongly supported by previously published trends towards unradiogenic osmium- (Os) isotope values in globally distributed sedimentary records. Hg data from both events show considerable variation between different locations, attributed to the effectiveness of different sediment types in registering the Hg signal, with lithologically homogeneous records documenting more clear Hg enrichments than sections with major changes in lithology such as limestones to claystones or organic-rich shales. Crucially, there is no geographically consistent signal of sedimentary Hg enrichment in stratigraphic records of either OAE 2 or the latest Cretaceous that matches Os-isotope evidence for LIP emplacement, indicating that volcanism did not cause a global Hg perturbation throughout the entire eruptive history of the LIPs formed at those times. It is suggested that the discrepancy between Os-isotope and Hg trends in records of OAE 2 is caused by the limited dispersal range of Hg emitted from submarine volcanoes compared to the global-scale distribution of Os. A similar lack of correlation between these two proxies in uppermost Cretaceous strata indicates that, although subaerial volcanism can perturb the global Hg cycle, not all subaerial eruptions will do so. These results highlight the variable impact of different volcanogenic processes on the efficiency of Hg dispersal across the globe. Factors that could influence the impact of LIP eruptions on the global mercury cycle include submarine versus subaerial volcanism, volcanic intensity or explosivity, and the potential contribution of thermogenic mercury from reactions between ascending magma and surrounding organic-rich sediments.</t>
  </si>
  <si>
    <t>[Percival, Lawrence M. E.; Jenkyns, Hugh C.; Mather, Tamsin A.; Dickson, Alexander J.; Batenburg, Sietske J.; Ruhl, Micha; Robinson, Stuart A.] Univ Oxford, Dept Earth Sci, South Parks Rd, Oxford OX1 3AN, England; [Hesselbo, Stephen P.] Univ Exeter, Camborne Sch Mines, Penryn Campus, Penryn TR10 9FE, Cornwall, England; [Hesselbo, Stephen P.] Univ Exeter, Environm &amp; Sustainabil Inst, Penryn Campus, Penryn TR10 9FE, Cornwall, England; [Barclay, Richard] Smithsonian Inst, POB 37012,MRC 121, Washington, DC 20013 USA; [Jarvis, Ian] Kingston Univ London, Dept Geog &amp; Geol, Penrhyn Rd, Kingston Upon Thames KT1 2EE, Surrey, England; [Woelders, Lineke] Katholieke Univ Leuven, Div Geol, Dept Earth &amp; Environm Sci, B-3001 Leuven, Belgium; [Percival, Lawrence M. E.] Univ Lausanne, Inst Earth Sci, Geopolis, CH-1015 Lausanne, Switzerland; [Dickson, Alexander J.] Royal Holloway Univ London, Dept Earth Sci, Egham TW20 0EX, Surrey, England; [Ruhl, Micha] Univ Dubl, Trinity Coll Dublin, Dept Geol, Dublin 2, Ireland; [Woelders, Lineke] Univ Colorado, Inst Arctic &amp; Alpine Res, Boulder, CO 80309 USA</t>
  </si>
  <si>
    <t>University of Oxford; University of Exeter; University of Exeter; Smithsonian Institution; Kingston University; KU Leuven; University of Lausanne; University of London; Royal Holloway University London; Trinity College Dublin; University of Colorado System; University of Colorado Boulder</t>
  </si>
  <si>
    <t>Percival, LME (corresponding author), Univ Oxford, Dept Earth Sci, South Parks Rd, Oxford OX1 3AN, England.;Percival, LME (corresponding author), Univ Lausanne, Inst Earth Sci, Geopolis, CH-1015 Lausanne, Switzerland.</t>
  </si>
  <si>
    <t>lawrence.percival11@gmail.com</t>
  </si>
  <si>
    <t>Mather, Tamsin A/A-7604-2011; Batenburg, Sietske J./AAD-6896-2019; Jarvis, Ian/A-1637-2008; Robinson, Stuart/C-4808-2011</t>
  </si>
  <si>
    <t>Mather, Tamsin A/0000-0003-4259-7303; Batenburg, Sietske J./0000-0002-4076-1248; Jarvis, Ian/0000-0003-3184-3097; Robinson, Stuart/0000-0003-4329-1058; Percival, Lawrence/0000-0002-9377-1589; Ruhl, Micha/0000-0001-8170-0399</t>
  </si>
  <si>
    <t>Montana Bureau of Land Management; UK Natural Environment Research Council [NE/G01700X/1, NE/L501530/1, NE/H020756/1]; European Commission [215458]; National Science Foundation [EAR0643290]; Shell International Exploration and Production Inc.; Leverhulme Trust; Hell Creek III project; University of Washington; Museum of the Rockies; NERC [NE/G01700X/1, NE/N018508/1, NE/H020756/1] Funding Source: UKRI</t>
  </si>
  <si>
    <t>Montana Bureau of Land Management; UK Natural Environment Research Council(UK Research &amp; Innovation (UKRI)Natural Environment Research Council (NERC)); European Commission(European Union (EU)European Commission Joint Research Centre); National Science Foundation(National Science Foundation (NSF)); Shell International Exploration and Production Inc.; Leverhulme Trust(Leverhulme Trust); Hell Creek III project; University of Washington(University of Washington); Museum of the Rockies; NERC(UK Research &amp; Innovation (UKRI)Natural Environment Research Council (NERC))</t>
  </si>
  <si>
    <t>We greatly appreciate reviews by Jiri Laurin and Wang Zheng that have improved this manuscript, and must also thank Steve Grasby for discussions on the Meishan end-Permian mercury record. We gratefully acknowledge Alistair Crame and the British Antarctic Survey for their loan of samples from Seymour Island (Antarctica), the GTSnext project for support in collecting samples from Zumaia, Bill Simpson and Adrienne Stroup for access to the Utah samples, and Greg Wilson, Dave de Mar Jr., Denver Fowler, Regan Dunn, Jack Horner, Harold and Jean Isaacs, the Hell Creek III project, the University of Washington, the Museum of the Rockies, and the Montana Bureau of Land Management for their support and permission for sampling at East Gilbert Creek (Montana, USA). We must thank John Farmer and the University of Edinburgh for provision of geochemical standard material. We thank David Wray at the University of Greenwich for performing XRF analyses. We acknowledge the UK Natural Environment Research Council Grant NE/G01700X/1 (to Tamsin Mather), Ph.D. studentship NE/L501530/1 (to Lawrence Percival), Grant NE/H020756/1 (to Ian Jarvis), the European Commission (FP7/2007-2013 grant number 215458), National Science Foundation Grant EAR0643290 (to Bradley Sageman and Jennifer McElwain), Shell International Exploration and Production Inc., and the Leverhulme Trust for funding.</t>
  </si>
  <si>
    <t>AMER JOURNAL SCIENCE</t>
  </si>
  <si>
    <t>NEW HAVEN</t>
  </si>
  <si>
    <t>YALE UNIV, PO BOX 208109, NEW HAVEN, CT 06520-8109 USA</t>
  </si>
  <si>
    <t>0002-9599</t>
  </si>
  <si>
    <t>1945-452X</t>
  </si>
  <si>
    <t>AM J SCI</t>
  </si>
  <si>
    <t>Am. J. Sci.</t>
  </si>
  <si>
    <t>10.2475/08.2018.01</t>
  </si>
  <si>
    <t>GZ0KF</t>
  </si>
  <si>
    <t>WOS:000449050800001</t>
  </si>
  <si>
    <t>Waller, CL; Hughes, KA</t>
  </si>
  <si>
    <t>Waller, Catherine L.; Hughes, Kevin A.</t>
  </si>
  <si>
    <t>Plastics in the Southern Ocean</t>
  </si>
  <si>
    <t>Editorial Material</t>
  </si>
  <si>
    <t>Waller, Catherine L/0000-0002-0836-3223</t>
  </si>
  <si>
    <t>NERC [bas010011] Funding Source: UKRI</t>
  </si>
  <si>
    <t>NERC(UK Research &amp; Innovation (UKRI)Natural Environment Research Council (NERC))</t>
  </si>
  <si>
    <t>10.1017/S0954102018000330</t>
  </si>
  <si>
    <t>WOS:000446442500001</t>
  </si>
  <si>
    <t>Gonzalez, S; Fortuny, D</t>
  </si>
  <si>
    <t>Gonzalez, Sergi; Fortuny, Didac</t>
  </si>
  <si>
    <t>How robust are the temperature trends on the Antarctic Peninsula?</t>
  </si>
  <si>
    <t>Antarctica; climate change; global warming; sensitivity; temperature trend; variability</t>
  </si>
  <si>
    <t>SURFACE TEMPERATURES; CLIMATE</t>
  </si>
  <si>
    <t>The upward evolution of temperatures in the Antarctic Peninsula has weakened and even reversed in the last two decades. Due to the long-term variability in the region it is not easy to assess whether recent cooling trends are consistent with the internal variability or not. For this reason, this paper assesses the robustness of the trends by analysing their sensitivity with respect to the period selected. Every possible temperature trend in the interval 1958-2016 has been calculated and displayed in a two-dimensional parameter diagram. The results suggest that the warming observed in the Antarctic Peninsula since 1958 is quite robust, as all periods longer than 30 years exhibit statistically significant changes, especially in summer (with lower magnitude and higher significance) and autumn and winter (with larger magnitude and lower significance). Periods shorter than 30 years exhibit alternations of warming and cooling periods, and therefore do not represent robust trends even if they are statistically significant. Consequently, the recent 20-year cooling trend cannot be considered at the moment as evidence of a shift in the overall sign of the trend.</t>
  </si>
  <si>
    <t>[Gonzalez, Sergi] Spanish Meteorol Serv AEMET, Antarctic Grp, Malaga, Spain; [Gonzalez, Sergi; Fortuny, Didac] Univ Barcelona, Dept Appl Phys, Grp Meteorol, Barcelona, Spain</t>
  </si>
  <si>
    <t>Agencia Estatal de Meteorologia (AEMET); University of Barcelona</t>
  </si>
  <si>
    <t>Gonzalez, S (corresponding author), Spanish Meteorol Serv AEMET, Antarctic Grp, Malaga, Spain.;Gonzalez, S (corresponding author), Univ Barcelona, Dept Appl Phys, Grp Meteorol, Barcelona, Spain.</t>
  </si>
  <si>
    <t>sgonzalezh@aemet.es</t>
  </si>
  <si>
    <t>Gonzalez-Herrero, Sergi/Y-7279-2018</t>
  </si>
  <si>
    <t>Gonzalez-Herrero, Sergi/0000-0002-2505-2435</t>
  </si>
  <si>
    <t>Ministry of Economy and Competitiveness (MINECO) through the AEMET Antarctic program; European Regional Development Fund (FEDER) [CTM201679741-R]; ANTALP (Antarctic, Arctic and Alpine Environments) Research Group of the Catalan Government [2017-SGR-1102]</t>
  </si>
  <si>
    <t>Ministry of Economy and Competitiveness (MINECO) through the AEMET Antarctic program; European Regional Development Fund (FEDER)(European Union (EU)); ANTALP (Antarctic, Arctic and Alpine Environments) Research Group of the Catalan Government</t>
  </si>
  <si>
    <t>We acknowledge the two anonymous reviewers for their useful reviews, which contributed to improving this manuscript. This work is supported by the Ministry of Economy and Competitiveness (MINECO) through the AEMET Antarctic program and the European Regional Development Fund (FEDER), GrantCTM201679741-R for MICROAIRPOLAR project. Research activities of Sergi Gonzalez are partly supported by the ANTALP (Antarctic, Arctic and Alpine Environments, 2017-SGR-1102) Research Group of the Catalan Government.</t>
  </si>
  <si>
    <t>10.1017/S0954102018000251</t>
  </si>
  <si>
    <t>WOS:000446442500007</t>
  </si>
  <si>
    <t>Sienicki, K</t>
  </si>
  <si>
    <t>Sienicki, Krzysztof</t>
  </si>
  <si>
    <t>Comments on An Exceptional Summer during the South Pole Race of 1911/12</t>
  </si>
  <si>
    <t>BULLETIN OF THE AMERICAN METEOROLOGICAL SOCIETY</t>
  </si>
  <si>
    <t>[Sienicki, Krzysztof] Nat Intelligent Syst, Podkowa Lesna, Poland</t>
  </si>
  <si>
    <t>Sienicki, K (corresponding author), Nat Intelligent Syst, Podkowa Lesna, Poland.</t>
  </si>
  <si>
    <t>Antarctic Meteorological Research Center; Automatic Weather Station Program for surface meteorological data: NSF [ANT-0636873, ARC-0713483, ANT 0838834, ANT-0944018]</t>
  </si>
  <si>
    <t>Antarctic Meteorological Research Center; Automatic Weather Station Program for surface meteorological data: NSF</t>
  </si>
  <si>
    <t>The author thanks peer reviewers for comments that improved the presentation. I also thank Kristoffer Nelson-Kilger for comments and proofreading of the manuscript. The author appreciates the support of the Antarctic Meteorological Research Center and the Automatic Weather Station Program for surface meteorological data: NSF Grants ANT-0636873, ARC-0713483, ANT 0838834, and/or ANT-0944018.</t>
  </si>
  <si>
    <t>45 BEACON ST, BOSTON, MA 02108-3693, UNITED STATES</t>
  </si>
  <si>
    <t>0003-0007</t>
  </si>
  <si>
    <t>1520-0477</t>
  </si>
  <si>
    <t>B AM METEOROL SOC</t>
  </si>
  <si>
    <t>Bull. Amer. Meteorol. Soc.</t>
  </si>
  <si>
    <t>10.1175/BAMS-D-17-0282.1</t>
  </si>
  <si>
    <t>GY4CU</t>
  </si>
  <si>
    <t>WOS:000448507900011</t>
  </si>
  <si>
    <t>Akçakaya, HR; Bennett, EL; Brooks, TM; Grace, MK; Heath, A; Hedges, S; Hilton-Taylor, C; Hoffmann, M; Keith, DA; Long, B; Mallon, DP; Meijaard, E; Milner-Gulland, EJ; Rodrigues, ASL; Rodriguez, JP; Stephenson, PJ; Stuart, SN; Young, RP</t>
  </si>
  <si>
    <t>Akcakaya, H. Resit; Bennett, Elizabeth L.; Brooks, Thomas M.; Grace, Molly K.; Heath, Anna; Hedges, Simon; Hilton-Taylor, Craig; Hoffmann, Michael; Keith, David A.; Long, Barney; Mallon, David P.; Meijaard, Erik; Milner-Gulland, E. J.; Rodrigues, Ana S. L.; Paul Rodriguez, Jon; Stephenson, P. J.; Stuart, Simon N.; Young, Richard P.</t>
  </si>
  <si>
    <t>Quantifying species recovery and conservation success to develop an IUCN Green List of Species</t>
  </si>
  <si>
    <t>CONSERVATION BIOLOGY</t>
  </si>
  <si>
    <t>conservation impact; conservation optimism; recovered species; red lists; Saiga tatarica; threatened species</t>
  </si>
  <si>
    <t>FUNCTIONAL EXTINCTION; FUTURE; VERTEBRATES; JUDGMENTS; CRITERIA; IMPACT; SHIFTS; LONG</t>
  </si>
  <si>
    <t>Stopping declines in biodiversity is critically important, but it is only a first step toward achieving more ambitious conservation goals. The absence of an objective and practical definition of species recovery that is applicable across taxonomic groups leads to inconsistent targets in recovery plans and frustrates reporting and maximization of conservation impact. We devised a framework for comprehensively assessing species recovery and conservation success. We propose a definition of a fully recovered species that emphasizes viability, ecological functionality, and representation; and use counterfactual approaches to quantify degree of recovery. This allowed us to calculate a set of 4 conservation metrics that demonstrate impacts of conservation efforts to date (conservation legacy); identify dependence of a species on conservation actions (conservation dependence); quantify expected gains resulting from conservation action in the medium term (conservation gain); and specify requirements to achieve maximum plausible recovery over the long term (recovery potential). These metrics can incentivize the establishment and achievement of ambitious conservation targets. We illustrate their use by applying the framework to a vertebrate, an invertebrate, and a woody and an herbaceous plant. Our approach is a preliminary framework for an International Union for Conservation of Nature (IUCN) Green List of Species, which was mandated by a resolution of IUCN members in 2012. Although there are several challenges in applying our proposed framework to a wide range of species, we believe its further development, implementation, and integration with the IUCN Red List of Threatened Species will help catalyze a positive and ambitious vision for conservation that will drive sustained conservation action.</t>
  </si>
  <si>
    <t>[Akcakaya, H. Resit] SUNY Stony Brook, Dept Ecol &amp; Evolut, Stony Brook, NY 11794 USA; [Akcakaya, H. Resit; Hoffmann, Michael; Keith, David A.; Paul Rodriguez, Jon; Stuart, Simon N.] IUCN Species Survival Commiss, Gland, Switzerland; [Bennett, Elizabeth L.; Hedges, Simon] Wildlife Conservat Soc, 2300 Southern Blvd, Bronx, NY 10460 USA; [Brooks, Thomas M.; Stephenson, P. J.] IUCN, CH-1196 Gland, Switzerland; [Brooks, Thomas M.] Univ Philippines, World Agroforestry Ctr ICRAF, Los Banos, Laguna, Philippines; [Brooks, Thomas M.] Univ Tasmania, Inst Marine &amp; Antarctic Studies, Hobart, Tas, Australia; [Grace, Molly K.; Milner-Gulland, E. J.] Univ Oxford, Dept Zool, Oxford OX2 6BW, England; [Heath, Anna; Stuart, Simon N.] Synchron Earth, 32a Thurloe Pl, London SW7 2HQ, England; [Hedges, Simon] IUCN SSC Asian Elephant &amp; Asian Wild Cattle Speci, Nairobi, Kenya; [Hilton-Taylor, Craig] IUCN Red List Unit, Pembroke St, Cambridge CB2 3QZ, England; [Hoffmann, Michael] Zool Soc London, Conservat Programmes, Regents Pk, London NW1 4RY, England; [Keith, David A.] Univ New South Wales, Sch Biol Earth &amp; Environm Sci, Ctr Ecosyst Sci, Sydney, NSW 2052, Australia; [Keith, David A.] NSW Off Environm &amp; Heritage, 43 Bridge St, Hurstville, NSW 2220, Australia; [Long, Barney] Global Wildlife Conservat, 1250 24th St NW, Washington, DC 20037 USA; [Mallon, David P.] Manchester Metropolitan Univ, Div Biol &amp; Conservat Ecol, Chester St, Manchester M1 5GD, Lancs, England; [Mallon, David P.] IUCN SSC Antelope Specialist Grp, Glossop, England; [Meijaard, Erik] IUCN SSC Wild Pig Specialist Grp, Gland, Switzerland; [Meijaard, Erik] Univ Queensland, Ctr Excellence Environm Decis, Brisbane, Qld, Australia; [Milner-Gulland, E. J.] Univ Oxford, Merton Coll, Oxford OX2 6BW, England; [Rodrigues, Ana S. L.] CNRS, CEFE, UMR5175, Montpellier, France; [Paul Rodriguez, Jon] Inst Venezolano Invest Cient, Caracas, Venezuela; [Paul Rodriguez, Jon] Provita, Caracas, Venezuela; [Stephenson, P. J.] Swiss Fed Inst Technol, Dept Environm Syst Sci, Ecosyst Management Grp, CH-8092 Zurich, Switzerland; [Stephenson, P. J.] IUCN SSC Species Monitoring Specialist Grp, Gland, Switzerland; [Young, Richard P.] Durrell Wildlife Conservat Trust, Trinity JE3 5BP, Jersey, England</t>
  </si>
  <si>
    <t>State University of New York (SUNY) System; State University of New York (SUNY) Stony Brook; Wildlife Conservation Society; CGIAR; World Agroforestry (ICRAF); University of the Philippines System; University of the Philippines Los Banos; University of the Philippines Open University; University of Tasmania; University of Oxford; Zoological Society of London; University of New South Wales Sydney; Office of Environment &amp; Heritage - New South Wales; Manchester Metropolitan University; University of Queensland; University of Oxford;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Venezuelan Institute Science Research; Swiss Federal Institutes of Technology Domain; ETH Zurich</t>
  </si>
  <si>
    <t>Akçakaya, HR (corresponding author), SUNY Stony Brook, Dept Ecol &amp; Evolut, Stony Brook, NY 11794 USA.</t>
  </si>
  <si>
    <t>resit.akcakaya@stonybrook.edu</t>
  </si>
  <si>
    <t>Rodrigues, Ana/GYQ-6273-2022; Rodriguez, Jon P/G-7224-2012; Hoffmann, Michael/E-6419-2010; Stephenson, PJ/AAC-3081-2021; Rodrigues, Ana S.L./A-5914-2009; Meijaard, Erik/A-2687-2016; Stephenson, Peter/JZE-4945-2024; Rodriguez, Jon P/A-1491-2009; Akcakaya, H. Resit/A-7830-2008</t>
  </si>
  <si>
    <t>Hoffmann, Michael/0000-0003-4785-2254; Rodrigues, Ana S.L./0000-0003-4775-0127; Meijaard, Erik/0000-0001-8685-3685; Rodriguez, Jon P/0000-0001-5019-2870; Akcakaya, H. Resit/0000-0002-8679-5929; Young, Richard/0000-0002-6515-6343; Hilton-Taylor, Craig/0000-0003-1163-1425; Keith, David/0000-0002-7627-4150; STEPHENSON, PJ/0000-0002-0087-466X; Grace, Molly/0000-0002-1978-615X</t>
  </si>
  <si>
    <t>IUCN SSC Red List Committee; WWF-US; Environmental Agency Abu Dhabi; National Science Foundation [DEB-1146198]; NERC Knowledge Exchange Fellowship; Division Of Environmental Biology; Direct For Biological Sciences [1146198] Funding Source: National Science Foundation; NERC [NE/R002614/1] Funding Source: UKRI</t>
  </si>
  <si>
    <t>IUCN SSC Red List Committee; WWF-US; Environmental Agency Abu Dhabi; National Science Foundation(National Science Foundation (NSF)); NERC Knowledge Exchange Fellowship(UK Research &amp; Innovation (UKRI)Natural Environment Research Council (NERC)); Division Of Environmental Biology; Direct For Biological Sciences(National Science Foundation (NSF)NSF - Directorate for Biological Sciences (BIO)); NERC(UK Research &amp; Innovation (UKRI)Natural Environment Research Council (NERC))</t>
  </si>
  <si>
    <t>We thank the participants of the workshops and meetings of the Task Force on Assessing Conservation Success convened under the auspices of the IUCN SSC Red List Committee; WWF-US and Environmental Agency Abu Dhabi for funding several of the meetings; and P. Cardoso and 3 anonymous reviewers for helpful comments. National Science Foundation DEB-1146198 supported H.R.A. NERC Knowledge Exchange Fellowship supported M.K.G.</t>
  </si>
  <si>
    <t>0888-8892</t>
  </si>
  <si>
    <t>1523-1739</t>
  </si>
  <si>
    <t>CONSERV BIOL</t>
  </si>
  <si>
    <t>Conserv. Biol.</t>
  </si>
  <si>
    <t>10.1111/cobi.13112</t>
  </si>
  <si>
    <t>Biodiversity Conservation; Ecology; Environmental Sciences</t>
  </si>
  <si>
    <t>GU3MA</t>
  </si>
  <si>
    <t>WOS:000445181300015</t>
  </si>
  <si>
    <t>Oliva, M; Fritz, M</t>
  </si>
  <si>
    <t>Oliva, M.; Fritz, M.</t>
  </si>
  <si>
    <t>Permafrost degradation on a warmer Earth: Challenges and perspectives</t>
  </si>
  <si>
    <t>CURRENT OPINION IN ENVIRONMENTAL SCIENCE &amp; HEALTH</t>
  </si>
  <si>
    <t>Permafrost, the permanently frozen ground, is warming due to global temperature rise. Permafrost research has progressed rapidly in the last decade, as large areas in the Polar Regions, in mountain environments and on high-altitude plateaus are experiencing accelerated environmental changes in response to thaw and permafrost degradation. Climate scenarios for the next decades project a reduced the extent of permafrost coverage and increasing ground temperatures, promoting changes in terrestrial and nearshore ecosystem dynamics. Future research in permafrost regions should focus on a better understanding of the biogeochemical cycles associated with abrupt and long-term permafrost degradation. Risk assessment of natural hazards and geoenvironmental engineering solutions are needed to reduce the potential dramatic socioeconomic implications that permafrost degradation may entail in these regions.</t>
  </si>
  <si>
    <t>[Oliva, M.] Univ Barcelona, Dept Geog, Barcelona, Spain; [Fritz, M.] Helmholtz Ctr Polar &amp; Marine Res AWI, Alfred Wegener Inst, Dept Periglacial Res, Bremerhaven, Germany</t>
  </si>
  <si>
    <t>University of Barcelona; Helmholtz Association; Alfred Wegener Institute, Helmholtz Centre for Polar &amp; Marine Research</t>
  </si>
  <si>
    <t>Oliva, M (corresponding author), Univ Barcelona, Dept Geog, Barcelona, Spain.</t>
  </si>
  <si>
    <t>oliva_marc@yahoo.com</t>
  </si>
  <si>
    <t>Fritz, Michael/AAS-4704-2020; Oliva, Marc/K-5423-2014</t>
  </si>
  <si>
    <t>Fritz, Michael/0000-0003-4591-7325; Oliva, Marc/0000-0001-6521-6388</t>
  </si>
  <si>
    <t>Ramon y Cajal Program - Spanish Ministry of Economy and Competitiveness [RYC-2015-17597]; PALEOGREEN project - Spanish Ministry of Economy and Competitiveness [RYC-2015-17597, CTM2017-87976-P]; research group ANTALP (Antarctic, Arctic and Alpine environments); Daimler and Benz Foundation [32-02/15]; European Union's Horizon 2020 research and innovation programme [773421]; H2020 Societal Challenges Programme [773421] Funding Source: H2020 Societal Challenges Programme</t>
  </si>
  <si>
    <t>Ramon y Cajal Program - Spanish Ministry of Economy and Competitiveness(Spanish Government); PALEOGREEN project - Spanish Ministry of Economy and Competitiveness; research group ANTALP (Antarctic, Arctic and Alpine environments); Daimler and Benz Foundation; European Union's Horizon 2020 research and innovation programme; H2020 Societal Challenges Programme(Horizon 2020European Union (EU)H2020 Societal Challenges Programme)</t>
  </si>
  <si>
    <t>Marc Oliva is supported by the Ramon y Cajal Program and the PALEOGREEN project (CTM2017-87976-P), both funded by the Spanish Ministry of Economy and Competitiveness (RYC-2015-17597), as well as by the research group ANTALP (Antarctic, Arctic and Alpine environments). The work of Michael Fritz is supported by the Daimler and Benz Foundation (grant number 32-02/15). This project has received funding from the European Union's Horizon 2020 research and innovation programme under grant agreement number 773421 (NUNATARYUK).</t>
  </si>
  <si>
    <t>2468-5844</t>
  </si>
  <si>
    <t>CURR OPIN ENV SCI HL</t>
  </si>
  <si>
    <t>Curr. Opin. Environ. Sci. Health</t>
  </si>
  <si>
    <t>10.1016/j.coesh.2018.03.007</t>
  </si>
  <si>
    <t>Environmental Sciences; Public, Environmental &amp; Occupational Health</t>
  </si>
  <si>
    <t>Environmental Sciences &amp; Ecology; Public, Environmental &amp; Occupational Health</t>
  </si>
  <si>
    <t>VJ1LU</t>
  </si>
  <si>
    <t>WOS:000538797600003</t>
  </si>
  <si>
    <t>Bandekar, M; Ramaiah, N; Jain, A; Meena, RM</t>
  </si>
  <si>
    <t>Bandekar, Mandar; Ramaiah, Nagappa; Jain, Anand; Meena, Ram Murti</t>
  </si>
  <si>
    <t>Seasonal and depth-wise variations in bacterial and archaeal groups in the Arabian Sea oxygen minimum zone</t>
  </si>
  <si>
    <t>16S rRNA gene; Cloning; Arabian Sea; OMZ; Bacteria; Archaea</t>
  </si>
  <si>
    <t>AMMONIA-OXIDIZING ARCHAEA; GRADIENT GEL-ELECTROPHORESIS; OCEANIC FIXED NITROGEN; WATER-COLUMN; MICROBIAL COMMUNITY; ANAMMOX BACTERIA; PHYLOGENETIC CHARACTERIZATION; EXOPOLYMER PARTICLES; EASTERN; PROCHLOROCOCCUS</t>
  </si>
  <si>
    <t>Seasonal variations, as well as depth-wise distribution patterns of bacterial and archaeal communities in the Arabian Sea oxygen minimum zone (AS-OMZ), were analyzed by examining 16S rRNA gene clones and their sequences. Sampling was carried out at the Arabian Sea Time Series (ASTS) location (17 degrees 0.126' N, 67 degrees 59.772'E) from five different depths during three different seasons. A total of 743 and 256 non-chimeric bacterial and archaeal 16S rRNA gene sequences were analyzed. Most of the bacterial 16S rRNA gene sequences were affiliated to Gammaproteobacteria (39.31%), Alphaproteobacteria (23.56%) and Cyanobacteria (20.2%). The archaeal 16S rRNA gene sequences mostly aligned with Marine Group II (MG-II, Euryarchaeota). An explicit vertical partitioning of bacterial communities between the surface (surface and DCM) and OMZ (250 m, 500 m, and 1000 m) was observed. Also evident was an apparent seasonal variation among surface bacterial communities but a minimal variation among OMZ bacterial and archaeal communities. LINKTREE and canonical correspondence analysis (CCA) indicates that differences in the concentrations of dissolved oxygen (DO) and total organic carbon (TOC) seem to cause the vertical separation among bacterial communities in the ASTS station. A higher number of shared OTUs affiliated mainly to Alteromonadales (bacteria) and Methanosarcinales (archaea) contributed towards seasonally stable community structure in the OMZ depths.</t>
  </si>
  <si>
    <t>[Bandekar, Mandar; Ramaiah, Nagappa; Jain, Anand; Meena, Ram Murti] CSIR Natl Inst Oceanog, Microbial Ecol Lab, Div Biol Oceanog, Panaji 403004, Goa, India; [Jain, Anand] Natl Ctr Antarctic &amp; Ocean Res, Arctic Grp, Vasco Da Gama 403804, Goa, India</t>
  </si>
  <si>
    <t>Ramaiah, N (corresponding author), CSIR Natl Inst Oceanog, Microbial Ecol Lab, Div Biol Oceanog, Panaji 403004, Goa, India.</t>
  </si>
  <si>
    <t>ramaiah@nio.org</t>
  </si>
  <si>
    <t>Ramaiah, Nagappa/AAV-3530-2021; Bandekar, Mandar/HPG-9211-2023</t>
  </si>
  <si>
    <t>Bandekar, Mandar/0000-0003-0880-4911; jain, anand/0000-0002-2935-5441</t>
  </si>
  <si>
    <t>Council of Scientific and Industrial Research, New Delhi; SCOR [WG 144]; CSIR; Ministry of Earth Sciences, Government of India; SCOR; SIBER Program of the MoES [GAP 2658]</t>
  </si>
  <si>
    <t>Council of Scientific and Industrial Research, New Delhi(Council of Scientific &amp; Industrial Research (CSIR) - India); SCOR; CSIR(Council of Scientific &amp; Industrial Research (CSIR) - India); Ministry of Earth Sciences, Government of India(Ministry of Earth Science (MoES), Government of India); SCOR; SIBER Program of the MoES</t>
  </si>
  <si>
    <t>The authors thank Director CSIR-NIO for coordination and encouragement. Financial Support received under SIBER Program-GAP 2658 of the MoES for this research. MB acknowledges the award of Senior Research Fellowship by the Council of Scientific and Industrial Research, New Delhi. This is CSIR-NIO contribution number 6145. The authors gratefully thank SCOR WG 144 and the SCOR, the CSIR and Ministry of Earth Sciences, Government of India for financial support for the International Symposium on Ocean Deoxygenation at the CSIR-NIO, Goa held during Dec 02-06, 2016.</t>
  </si>
  <si>
    <t>10.1016/j.dsr2.2017.12.015</t>
  </si>
  <si>
    <t>WOS:000454184300002</t>
  </si>
  <si>
    <t>Oliva, M; Zebre, M; Guglielmin, M; Hughes, PD; Çiner, A; Vieira, G; Bodin, X; Andrés, N; Colucci, RR; García-Hernández, C; Mora, C; Nofre, J; Palacios, D; Pérez-Alberti, A; Ribolini, A; Ruiz-Fernández, J; Sarikaya, MA; Serrano, E; Urdea, P; Valcárcel, M; Woodward, JC; Yildirim, C</t>
  </si>
  <si>
    <t>Oliva, M.; Zebre, M.; Guglielmin, M.; Hughes, P. D.; Ciner, A.; Vieira, G.; Bodin, X.; Andres, N.; Colucci, R. R.; Garcia-Hernandez, C.; Mora, C.; Nofre, J.; Palacios, D.; Perez-Alberti, A.; Ribolini, A.; Ruiz-Fernandez, J.; Sarikaya, M. A.; Serrano, E.; Urdea, P.; Valcarcel, M.; Woodward, J. C.; Yildirim, C.</t>
  </si>
  <si>
    <t>Permafrost conditions in the Mediterranean region since the Last Glaciation</t>
  </si>
  <si>
    <t>Mediterranean region; permafrost; Last Glacial Maximum; deglaciation; Holocene</t>
  </si>
  <si>
    <t>LATE PLEISTOCENE GLACIERS; HIGH-MOUNTAIN ENVIRONMENT; INTERNATIONAL POLAR YEAR; RELICT ROCK GLACIERS; BE-10 EXPOSURE AGES; CORRAL DEL VELETA; SIERRA-NEVADA; ICE-AGE; CANTABRIAN MOUNTAINS; CLIMATE-CHANGE</t>
  </si>
  <si>
    <t>The relatively warm climate conditions prevailing today in the Mediterranean region limit cold geomorphological processes only to the highest mountain environments. However, climate variability during the Late Pleistocene and Holocene has led to significant spatio-temporal variations of the glacial and periglacial domain in these mountains, including permafrost conditions. Here, we examine the distribution and evolution of permafrost in the Mediterranean region considering five time periods: Last Glaciation, deglaciation, Holocene, Little Ice Age (LIA) and present-day. The distribution of inactive permafrost-derived features as well as sedimentary records indicates that the elevation limit of permafrost during the Last Glaciation was between 1000 m and even 2000 m lower than present. Permafrost was also widespread in non-glaciated slopes above the snowline forming rock glaciers and block streams, as well as meter-sized stone circles in relatively flat summit areas. As in most of the Northern Hemisphere, the onset of deglaciation in the Mediterranean region started around 19-20 ka. The ice-free terrain left by retreating glaciers was subject to paraglacial activity and intense periglacial processes under permafrost conditions. Many rock glaciers, protalus lobes and block streams formed in these recently deglaciated environments, though most of them became gradually inactive as temperatures kept rising, especially those at lower altitudes. Following the Younger Dryas glacial advance, the Early Holocene saw the last massive deglaciation in Mediterranean mountains accompanied by a progressive shift of permafrost conditions to higher elevations. It is unlikely that air temperatures recorded in Mediterranean mountains during the Holocene favoured the existence of widespread permafrost regimes, with the only exception of the highest massifs exceeding 2500-3000 m. LIA colder climate promoted a minor glacial advance and the spatial expansion of permafrost, with the development of new protalus lobes and rock glaciers in the highest massifs. Finally, post-LIA warming has led to glacial retreat/disappearance, enhanced paraglacial activity, shift of periglacial processes to higher elevations, degradation of alpine permafrost along with geoecological changes.</t>
  </si>
  <si>
    <t>[Oliva, M.] Univ Barcelona, Dept Geog, Barcelona, Spain; [Zebre, M.] Geol Survey Slovenia, Ljubljana, Slovenia; [Guglielmin, M.] Insubria Univ, Dept Theoret &amp; Appl Sci, Varese, Italy; [Hughes, P. D.; Woodward, J. C.] Univ Manchester, Dept Geog, Manchester, Lancs, England; [Ciner, A.; Sarikaya, M. A.; Yildirim, C.] Istanbul Tech Univ, Eurasia Inst Earth Sci, Istanbul, Turkey; [Vieira, G.; Mora, C.] Univ Lisbon, CEG Inst Geog &amp; Spatial Planning, Lisbon, Portugal; [Bodin, X.] Univ Grenoble, Environm Dynam &amp; Terr Mt EDYTEM, Grenoble, France; [Andres, N.; Palacios, D.] Univ Complutense Madrid, Dept Geog, Madrid, Spain; [Colucci, R. R.] ISMAR CNR, Dept Earth Syst Sci &amp; Environm Technol, Venice, Italy; [Garcia-Hernandez, C.; Ruiz-Fernandez, J.] Univ Oviedo, Dept Geog, Oviedo, Spain; [Nofre, J.] Univ Nova Lisboa, Interdisciplinary Ctr Social Sci, Lisbon, Portugal; [Perez-Alberti, A.; Valcarcel, M.] Univ Santiago de Compostela, Dept Geog, Santiago, Spain; [Ribolini, A.] Univ Pisa, Dept Earth Sci, Pisa, Italy; [Serrano, E.] Univ Valladolid, Dept Geog, Valladolid, Spain; [Urdea, P.] West Univ Timisoara, Dept Geog, Timisoara, Romania</t>
  </si>
  <si>
    <t>University of Barcelona; University of Insubria; University of Manchester; Istanbul Technical University; Universidade de Lisboa; Communaute Universite Grenoble Alpes; Universite Grenoble Alpes (UGA); Complutense University of Madrid; Consiglio Nazionale delle Ricerche (CNR); Istituto di Scienze Marine (ISMAR-CNR); University of Oviedo; Universidade Nova de Lisboa; Universidade de Santiago de Compostela; University of Pisa; Universidad de Valladolid; West University of Timisoara</t>
  </si>
  <si>
    <t>Oliva, M (corresponding author), Univ Barcelona, Fac Geog &amp; Hist, Dept Geog, C Montalegre 6, Barcelona 08001, Spain.</t>
  </si>
  <si>
    <t>marcoliva@ub.edu</t>
  </si>
  <si>
    <t>SERRANO, ENRIQUE/L-3151-2014; Ribolini, Adriano/B-8330-2018; Mora, Carla/D-2706-2012; NOFRE, JORDI/M-3380-2017; SARIKAYA, Mehmet Akif/J-6754-2012; PALACIOS, DAVID/H-3737-2015; Zebre, Manja/O-7843-2017; Oliva, Marc/K-5423-2014; Bodin, Xavier/H-2677-2018; Vieira, Goncalo/G-5958-2010</t>
  </si>
  <si>
    <t>SERRANO, ENRIQUE/0000-0001-9760-3876; Ribolini, Adriano/0000-0001-5851-8775; Mora, Carla/0000-0002-0843-3658; NOFRE, JORDI/0000-0002-7367-1337; SARIKAYA, Mehmet Akif/0000-0001-8254-8974; Woodward, Jamie/0000-0002-6709-0050; PALACIOS, DAVID/0000-0002-8289-0398; Zebre, Manja/0000-0001-6772-2866; Hughes, Philip/0000-0002-8284-0219; Perez Alberti, Augusto/0000-0001-7428-4622; Oliva, Marc/0000-0001-6521-6388; Bodin, Xavier/0000-0001-6245-4030; Vieira, Goncalo/0000-0001-7611-3464; YILDIRIM, Cengiz/0000-0001-5253-028X</t>
  </si>
  <si>
    <t>Spanish Ministry of Economy, Industry and Competitiveness [CTM2017-87976-P]; Ramon y Cajal Program of the Spanish Ministry of Economy and Competitiveness [RYC-2015-17597]; Research Group ANTALP (Antarctic, Arctic, Alpine Environments) - Government of Catalonia through the AGAUR agency [2017-SGR-1102]; TUBITAK [101Y002, 107Y069, 110Y300, 112Y139, 114Y548T, 116Y155]</t>
  </si>
  <si>
    <t>Spanish Ministry of Economy, Industry and Competitiveness(Spanish Government); Ramon y Cajal Program of the Spanish Ministry of Economy and Competitiveness(Spanish Government); Research Group ANTALP (Antarctic, Arctic, Alpine Environments) - Government of Catalonia through the AGAUR agency; TUBITAK(Turkiye Bilimsel ve Teknolojik Arastirma Kurumu (TUBITAK))</t>
  </si>
  <si>
    <t>This research was supported by the project CTM2017-87976-P of the Spanish Ministry of Economy, Industry and Competitiveness. Marc Oliva is supported by the Ramon y Cajal Program of the Spanish Ministry of Economy and Competitiveness (RYC-2015-17597) and the Research Group ANTALP (Antarctic, Arctic, Alpine Environments; 2017-SGR-1102) funded by the Government of Catalonia through the AGAUR agency. Attila Ciner and M. Akif Sarikaya are grateful to TUBITAK (Project no: 101Y002, 107Y069, 110Y300, 112Y139, 114Y548T and 116Y155) for continuous support to the glacial/periglacial research in Turkey. The authors are grateful to Prof. Dr. Wilfried Haeberli for his valuable comments and suggestions that improved the manuscript.</t>
  </si>
  <si>
    <t>10.1016/j.earscirev.2018.06.018</t>
  </si>
  <si>
    <t>WOS:000448493500020</t>
  </si>
  <si>
    <t>Pickett, EP; Fraser, WR; Patterson-Fraser, DL; Cimino, MA; Torres, LG; Friedlaender, AS</t>
  </si>
  <si>
    <t>Pickett, Erin P.; Fraser, William R.; Patterson-Fraser, Donna L.; Cimino, Megan A.; Torres, Leigh G.; Friedlaender, Ari S.</t>
  </si>
  <si>
    <t>Spatial niche partitioning may promote coexistence of Pygoscelis penguins as climate-induced sympatry occurs</t>
  </si>
  <si>
    <t>Adelie penguin; climate change; ecological segregation; foraging; gentoo penguin; interspecific competition; Pygoscelis adeliae; Pygoscelis papua; range shift; space use</t>
  </si>
  <si>
    <t>KING-GEORGE-ISLAND; DIVING BEHAVIOR; EUPHAUSIA-SUPERBA; CHINSTRAP PENGUINS; ANTARCTIC KRILL; ADELIE PENGUINS; PALMER LTER; SPACE USE; SEA-ICE; COMPETITION</t>
  </si>
  <si>
    <t>Climate-induced range overlap can result in novel interactions between similar species and potentially lead to competitive exclusion. The West Antarctic Peninsula (WAP) is one of the most rapidly warming regions on Earth and is experiencing a poleward climate migration from a polar to subpolar environment. This has resulted in a range expansion of the ice-intolerant gentoo penguins (Pygoscelis papua) and a coincident decrease in ice-obligate Adelie penguins (P.adeliae) near Palmer Station, Anvers Island, WAP. Ecologically similar species that share a limited prey resource must occupy disparate foraging niches in order to co-exist. Therefore, we determined the extent of foraging and dietary niche segregation between Adelie and gentoo penguins during the austral breeding season near Palmer Station. This research was conducted across six breeding seasons, from 2009 to 2014, which allowed us to investigate niche overlap in the context of interannual resource variability. Using biotelemetry and diet sampling, we found substantial overlap in the diets of Adelie and gentoo penguins, who primarily consumed Antarctic krill (Euphausia superba); however, our results showed that Adelie and gentoo penguins partitioned this shared prey resource through horizontal segregation of their core foraging areas. We did not find evidence that Antarctic krill were a limiting resource during the breeding season or that climate-induced sympatry of Adelie and gentoo penguins resulted in competition for prey or caused the subsequent differing population trajectories. This apparent absence of resource competition between Adelie and gentoo penguins throughout this study implies that current population trends in this region are governed by other biological and physical factors. Our results highlight the importance of understanding the mechanistic processes that influence top predator populations in the context of climate-driven ecosystem shifts.</t>
  </si>
  <si>
    <t>[Pickett, Erin P.; Torres, Leigh G.; Friedlaender, Ari S.] Oregon State Univ, Marine Mammal Inst, Dept Fisheries &amp; Wildlife, Newport, OR 97331 USA; [Fraser, William R.; Patterson-Fraser, Donna L.] Polar Oceans Res Grp, Sheridan, MT USA; [Cimino, Megan A.] Univ Calif San Diego, Scripps Inst Oceanog, San Diego, CA 92103 USA; [Friedlaender, Ari S.] Univ Calif Santa Cruz, Inst Marine Sci, Santa Cruz, CA 95064 USA</t>
  </si>
  <si>
    <t>Oregon State University; University of California System; University of California San Diego; Scripps Institution of Oceanography; University of California System; University of California Santa Cruz</t>
  </si>
  <si>
    <t>Pickett, EP (corresponding author), Oregon State Univ, Marine Mammal Inst, Dept Fisheries &amp; Wildlife, Newport, OR 97331 USA.</t>
  </si>
  <si>
    <t>erin.p.pickett@gmail.com</t>
  </si>
  <si>
    <t>U.S. National Science Foundation, Office of Polar Programs [OPP-0823101, PLR-1326167, PLR-1440435]; Directorate For Geosciences; Office of Polar Programs (OPP) [1326541] Funding Source: National Science Foundation</t>
  </si>
  <si>
    <t>U.S. National Science Foundation, Office of Polar Programs(National Science Foundation (NSF)); Directorate For Geosciences; Office of Polar Programs (OPP)(National Science Foundation (NSF)NSF - Directorate for Geosciences (GEO))</t>
  </si>
  <si>
    <t>U.S. National Science Foundation, Office of Polar Programs, Grant/Award Number: OPP-0823101, PLR-1326167 and PLR-1440435</t>
  </si>
  <si>
    <t>10.1002/ece3.4445</t>
  </si>
  <si>
    <t>WOS:000448803000017</t>
  </si>
  <si>
    <t>Szilo, J; Bialik, RJ</t>
  </si>
  <si>
    <t>Szilo, Joanna; Bialik, Robert Jozef</t>
  </si>
  <si>
    <t>Recession and Ice Surface Elevation Changes of Baranowski Glacier and Its Impact on Proglacial Relief (King George Island, West Antarctica)</t>
  </si>
  <si>
    <t>deglaciation; proglacial landform; ice surface elevation changes; terrestrial laser scanning</t>
  </si>
  <si>
    <t>LIVINGSTON ISLAND; FOURCADE GLACIER; PENINSULA; CAP; TIDEWATER; ECOLOGY; RETREAT; DRIVEN</t>
  </si>
  <si>
    <t>Glacial forefields areas are dynamic landscapes, and due to the glacier frontal position changes, they are sensitive to climatic fluctuations. The results of the analysis of aerial photos, satellite imagery, archival maps, and terrestrial laser scanning surveys are presented. These investigations reveal that the ice surface decreased during the period 1989-2001, when almost the entire current forefield was already uncovered. Moreover, it is shown that, since 1969, there has been a relationship between the changes in air temperature and the changes of the annual front position rate of Baranowski Glacier. Specifically, the results demonstrate that during the cooling observed for the Antarctic Peninsula Regions since 2000, there is a deceleration of the recession rate and ice surface elevation changes of Baranowski Glacier. It is also shown that the fluctuation of the areal extent of the glacier as well as ice surface elevation changes are closely associated with proglacial relief. Moreover, it is shown that the difference in the retreat of the northern and southern tongue of the glacier can be explained by the presence of relatively warm water in the shallow bay, which can enhance the melting process of the northern part. In addition, existence of long flutes and crevasse fill ridges on the analyzed forefield of Baranowski Glacier suggest that the former episodes of its surge, which could happen at least in the northern part of the forefield and middle part of the southern forefield of the glacier.</t>
  </si>
  <si>
    <t>[Szilo, Joanna] Polish Acad Sci, Inst Geophys, Ul Ksiecia Janusza 64, PL-01452 Warsaw, Poland; [Bialik, Robert Jozef] Polish Acad Sci, Inst Biochem &amp; Biophys, Ul Pawinskiego 5a, PL-02106 Warsaw, Poland</t>
  </si>
  <si>
    <t>Polish Academy of Sciences; Institute of Geophysics of the Polish Academy of Sciences; Polish Academy of Sciences; Institute of Biochemistry &amp; Biophysics - Polish Academy of Sciences</t>
  </si>
  <si>
    <t>Szilo, J (corresponding author), Polish Acad Sci, Inst Geophys, Ul Ksiecia Janusza 64, PL-01452 Warsaw, Poland.</t>
  </si>
  <si>
    <t>jszilo@igf.edu.pl; rbialik@ibb.waw.pl</t>
  </si>
  <si>
    <t>Bialik, Robert/0000-0002-0254-6352; Szilo, Joanna/0000-0002-8000-0507</t>
  </si>
  <si>
    <t>Leading National Research Centre (KNOW)</t>
  </si>
  <si>
    <t>This publication has been partially financed by funds from the Leading National Research Centre (KNOW) received by the Centre for Polar Studies for the period 2014-2018.</t>
  </si>
  <si>
    <t>10.3390/geosciences8100355</t>
  </si>
  <si>
    <t>gold, Green Published, Green Submitted</t>
  </si>
  <si>
    <t>WOS:000448548800001</t>
  </si>
  <si>
    <t>Kohlbach, D; Graeve, M; Lange, BA; David, C; Schaafsma, FL; van Franeker, JA; Vortkamp, M; Brandt, A; Flores, H</t>
  </si>
  <si>
    <t>Kohlbach, Doreen; Graeve, Martin; Lange, Benjamin A.; David, Carmen; Schaafsma, Fokje L.; van Franeker, Jan Andries; Vortkamp, Martina; Brandt, Angelika; Flores, Hauke</t>
  </si>
  <si>
    <t>Dependency of Antarctic zooplankton species on ice algae-produced carbon suggests a sea ice-driven pelagic ecosystem during winter</t>
  </si>
  <si>
    <t>GLOBAL CHANGE BIOLOGY</t>
  </si>
  <si>
    <t>Antarctic food web; carbon sources; climate change; Compound-specific Stable Isotope Analysis; marker fatty acids; sea ice algae; under-ice community</t>
  </si>
  <si>
    <t>COPEPODS CALANUS-PROPINQUUS; KRILL EUPHAUSIA-SUPERBA; UNSATURATED FATTY-ACIDS; LIFE-CYCLE STRATEGY; NW WEDDELL SEA; FOOD-WEB; CALANOIDES-ACUTUS; SOUTHERN-OCEAN; COMMUNITY STRUCTURE; CLIMATE-CHANGE</t>
  </si>
  <si>
    <t>How the abundant pelagic life of the Southern Ocean survives winter darkness, when the sea is covered by pack ice and phytoplankton production is nearly zero, is poorly understood. Ice-associated (sympagic) microalgae could serve as a high-quality carbon source during winter, but their significance in the food web is so far unquantified. To better understand the importance of ice algae-produced carbon for the overwintering of Antarctic organisms, we investigated fatty acid (FA) and stable isotope compositions of 10 zooplankton species, and their potential sympagic and pelagic carbon sources. FA-specific carbon stable isotope compositions were used in stable isotope mixing models to quantify the contribution of ice algae-produced carbon ((Ice)) to the body carbon of each species. Mean (Ice) estimates ranged from 4% to 67%, with large variations between species and depending on the FA used for the modelling. Integrating the (Ice) estimates from all models, the sympagic amphipod Eusirus laticarpus was the most dependent on ice algal carbon ((Ice): 54%-67%), and the salp Salpa thompsoni showed the least dependency on ice algal carbon ((Ice): 8%-40%). Differences in (Ice) estimates between FAs associated with short-term vs. long-term lipid pools suggested an increasing importance of ice algal carbon for many species as the winter season progressed. In the abundant winter-active copepod Calanus propinquus, mean (Ice) reached more than 50% in late winter. The trophic carbon flux from ice algae into this copepod was between 3 and 5mgCm(-2)day(-1). This indicates that copepods and other ice-dependent zooplankton species transfer significant amounts of carbon from ice algae into the pelagic system, where it fuels the food web, the biological carbon pump and elemental cycling. Understanding the role of ice algae-produced carbon in these processes will be the key to predictions of the impact of future sea ice decline on Antarctic ecosystem functioning.</t>
  </si>
  <si>
    <t>[Kohlbach, Doreen; Graeve, Martin; Lange, Benjamin A.; David, Carmen; Vortkamp, Martina; Flores, Hauke] Helmholtz Zentrum Polar &amp; Meeresforsch, Alfred Wegener Inst, Bremerhaven, Germany; [Kohlbach, Doreen; Lange, Benjamin A.; David, Carmen; Brandt, Angelika; Flores, Hauke] Univ Hamburg, Zool Museum, Ctr Nat Hist CeNak, Hamburg, Germany; [Kohlbach, Doreen; Lange, Benjamin A.] Fisheries &amp; Oceans Canada, Freshwater Inst, 501 Univ Crescent, Winnipeg, MB R3T 2N6, Canada; [Schaafsma, Fokje L.; van Franeker, Jan Andries] Wageningen Marine Res, Den Helder, Netherlands; [Brandt, Angelika] Senckenberg Nat Museum, Frankfurt, Germany</t>
  </si>
  <si>
    <t>Helmholtz Association; Alfred Wegener Institute, Helmholtz Centre for Polar &amp; Marine Research; University of Hamburg; Fisheries &amp; Oceans Canada; Wageningen University &amp; Research; Senckenberg Gesellschaft fur Naturforschung (SGN)</t>
  </si>
  <si>
    <t>Kohlbach, D (corresponding author), Fisheries &amp; Oceans Canada, Freshwater Inst, 501 Univ Crescent, Winnipeg, MB R3T 2N6, Canada.</t>
  </si>
  <si>
    <t>doreen.kohlbach@awi.de</t>
  </si>
  <si>
    <t>Lange, Benjamin/H-4733-2017; Flores, Hauke/ABD-1888-2020; Graeve, Martin/B-5751-2017</t>
  </si>
  <si>
    <t>Flores, Hauke/0000-0003-1617-5449; Schaafsma, Fokje/0000-0002-8945-2868; Lange, Benjamin Allen/0000-0003-4534-8978; Graeve, Martin/0000-0002-2294-1915; Kohlbach, Doreen/0000-0002-9245-2500; David, Carmen L/0000-0002-4241-1284</t>
  </si>
  <si>
    <t>Helmholtz Association [VH-NG-800]; Netherlands Ministry of EZ [WOT-04-009-036]; Netherlands Polar Program [ALW 866.13.009]</t>
  </si>
  <si>
    <t>Helmholtz Association(Helmholtz Association); Netherlands Ministry of EZ; Netherlands Polar Program</t>
  </si>
  <si>
    <t>This study was conducted under the Helmholtz Association Research Programme Polar regions and coasts in the changing earth system II (PACES II), Topic 1, WP 5 as part of the Helmholtz Association Young Investigators Group Iceflux: Ice ecosystem carbon flux in polar oceans (VH-NG-800). SUIT was developed by Wageningen Marine Research with support from the Netherlands Ministry of EZ (project WOT-04-009-036) and the Netherlands Polar Program (project ALW 866.13.009).</t>
  </si>
  <si>
    <t>1354-1013</t>
  </si>
  <si>
    <t>1365-2486</t>
  </si>
  <si>
    <t>GLOBAL CHANGE BIOL</t>
  </si>
  <si>
    <t>Glob. Change Biol.</t>
  </si>
  <si>
    <t>10.1111/gcb.14392</t>
  </si>
  <si>
    <t>GV0DZ</t>
  </si>
  <si>
    <t>WOS:000445728800017</t>
  </si>
  <si>
    <t>DuVivier, AK; Large, WG; Small, RJ</t>
  </si>
  <si>
    <t>DuVivier, Alice K.; Large, William G.; Small, R. Justin</t>
  </si>
  <si>
    <t>Argo Observations of the Deep Mixing Band in the Southern Ocean: A Salinity Modeling Challenge</t>
  </si>
  <si>
    <t>Southern Ocean; Mixed Layer; Turner Angle; Argo; Model; Salinity</t>
  </si>
  <si>
    <t>MIXED-LAYER DEPTH; CLIMATE; PARAMETERIZATION; VARIABILITY; HEAT</t>
  </si>
  <si>
    <t>The Southern Ocean plays an important role in mediating oceanic uptake of CO2 and heat due to a strong meridional overturning circulation. Gridded Argo float data for 2004-2017 were used to evaluate subsurface processes at the mixed layer depth (MLD) that occur in a narrow deep mixing band. Shifts in the value of the Turner Angle at the MLD indicate that early in the season the MLD deepens slowly as it encounters and is stabilized by a subsurface salt maximum. By September mixing has penetrated this salinity feature and the rate of deepening is faster once the MLD is deeper than the depth where the maximum salinity occurs (150-200m). This distinctive salinity layer is the result of surface Ekman transport of fresh water from the south and subsurface advection of high-salinity water from the north. Two configurations of the Community Earth System Model (CESM) ocean-ice forced hindcast experimentsone with 1 degrees and the other with 0.1 degrees horizontal resolution (Parallel Ocean Program low and high resolutions [POP-LR and POP-HR], respectively)are compared with the Argo data for 2005-2009. POP-LR has a shallow MLD bias common to many Fifth Coupled Models Intercomparison Project (CMIP5) models, while POP-HR has a mix of deep and shallow MLD biases. While both models were able to replicate the large-scale processes leading to formation of a high-salinity layer, the salinity feature in POP-HR is too strong and deep. Neither model was able to replicate the vertical mixing processes leading to penetration of the subsurface salt maximum. The Southern Ocean that circles the Antarctic continent is important in controlling the amount of global heat and carbon exchanges with the atmosphere because during the winter the surface waters mix deeply down into the ocean. Argo floats drift throughout the world oceans collecting temperature and salinity data from the surface to about 2,000-m depth. This study uses gridded Argo float data for 2004-2017 to understand the vertical mixing. We identify the importance of a subsurface high-salinity feature in the Southern Ocean that stabilizes the column and impacts the depth of vertical mixing, and we investigate the origin of this salinity feature. We also analyze the representation of the salinity feature in the Community Earth System Model (CESM) at both a coarse and a fine resolution for 2005-2009. We find that both model configurations capture the main processes leading to the formation of the high-salinity layer. However, neither model configuration was unable to replicate the vertical mixing processes leading to penetration of the subsurface salt maximum.</t>
  </si>
  <si>
    <t>[DuVivier, Alice K.; Large, William G.; Small, R. Justin] Natl Ctr Atmospher Res, POB 3000, Boulder, CO 80307 USA</t>
  </si>
  <si>
    <t>National Center Atmospheric Research (NCAR) - USA</t>
  </si>
  <si>
    <t>DuVivier, AK (corresponding author), Natl Ctr Atmospher Res, POB 3000, Boulder, CO 80307 USA.</t>
  </si>
  <si>
    <t>duvivier@ucar.edu</t>
  </si>
  <si>
    <t>DuVivier, Alice K./JJC-1516-2023</t>
  </si>
  <si>
    <t>DuVivier, Alice K./0000-0001-6920-5926; Small, Richard/0000-0002-3452-2179</t>
  </si>
  <si>
    <t>U.S. Department of Energy [DE-FOA-0001036, SC-0012605]; National Science Foundation</t>
  </si>
  <si>
    <t>U.S. Department of Energy(United States Department of Energy (DOE)); National Science Foundation(National Science Foundation (NSF))</t>
  </si>
  <si>
    <t>This work was made possible by support from the U.S. Department of Energy under solicitation DE-FOA-0001036, Climate and Earth System Modeling: SciDAC and Climate Variability and Change, Grant SC-0012605. The National Science Foundation sponsors the National Center for Atmospheric Research. We also acknowledge the contributions of other principal investigators: Todd Ringler, Gokhan Danabasoglu, Peter Sullivan, Edward Patton, and Matt Long. Many useful conversations with Daniel Whitt and Ian Grooms also helped direct this work. The gridded Argo data are freely available for the years 2004-2017 at http://sio-argo.ucsd.edu/RG_Climatology.html. Thanks to Steve Yeager for providing the POP-LR data, which is freely available as case g40.000 at http://www.cesm.ucar.edu/experiments/cesm1.0/ and to Frank Bryan for providing the POP-HR data, both of which were run on high-performance computing provided by NCAR's Computational and Information Systems Laboratory. The Ssalto/Duacs altimeter products were produced and distributed by the Copernicus Marine and Environment Monitoring Service (CMEMS; http://www.marine.copernicus.eu).</t>
  </si>
  <si>
    <t>10.1029/2018JC014275</t>
  </si>
  <si>
    <t>WOS:000451274900036</t>
  </si>
  <si>
    <t>Vaux, F; Trewick, SA; Crampton, JS; Marshall, BA; Beu, AG; Hills, SFK; Morgan-Richards, M</t>
  </si>
  <si>
    <t>Vaux, Felix; Trewick, Steven; Crampton, James; Marshall, Bruce; Beu, Alan; Hills, Simon; Morgan-Richards, Mary</t>
  </si>
  <si>
    <t>Evolutionary lineages of marine snails identified using molecular phylogenetics and geometric morphometric analysis of shells</t>
  </si>
  <si>
    <t>MOLECULAR PHYLOGENETICS AND EVOLUTION</t>
  </si>
  <si>
    <t>Evolutionary lineage; Geometric morphometric; Neogastropoda; Phenotype; Phylogenomic; Speciation</t>
  </si>
  <si>
    <t>FOSSIL RECORD; SHAPE; MORPHOLOGY; GASTROPODA; MOLLUSCA; SEA; CAENOGASTROPODA; DIVERGENCE; SPECIATION; BUCCINIDAE</t>
  </si>
  <si>
    <t>The relationship between morphology and inheritance is of perennial interest in evolutionary biology and palaeontology. Using three marine snail genera Penion, Antarctoneptunea and Kelletia, we investigate whether systematics based on shell morphology accurately reflect evolutionary lineages indicated by molecular phylogenetics. Members of these gastropod genera have been a taxonomic challenge due to substantial variation in shell morphology, conservative radular and soft tissue morphology, few known ecological differences, and geographical overlap between numerous species. Sampling all sixteen putative taxa identified across the three genera, we infer mitochondrial and nuclear ribosomal DNA phylogenetic relationships within the group, and compare this to variation in adult shell shape and size. Results of phylogenetic analysis indicate that each genus is monophyletic, although the status of some phylogenetically derived and likely more recently evolved taxa within Penion is uncertain. The recently described species P. lineatus is supported by genetic evidence. Morphology, captured using geometric morphometric analysis, distinguishes the genera and matches the molecular phylogeny, although using the same dataset, species and phylogenetic subclades are not identified with high accuracy. Overall, despite abundant variation, we find that shell morphology accurately reflects genus-level classification and the corresponding deep phylogenetic splits identified in this group of marine snails.</t>
  </si>
  <si>
    <t>[Vaux, Felix; Trewick, Steven; Hills, Simon; Morgan-Richards, Mary] Massey Univ, Ecol Grp PN624, Private Bag 11222, Palmerston North 4442, New Zealand; [Crampton, James; Beu, Alan] GNS Sci, POB 30-368, Lower Hutt, New Zealand; [Crampton, James] Victoria Univ Wellington, Sch Geog Environm &amp; Earth Sci, POB 600, Wellington, New Zealand; [Marshall, Bruce] Museum New Zealand Te Papa Tongarewa, POB 467, Wellington, New Zealand</t>
  </si>
  <si>
    <t>Massey University; GNS Science - New Zealand; Victoria University Wellington</t>
  </si>
  <si>
    <t>Vaux, F (corresponding author), Massey Univ, Ecol Grp PN624, Private Bag 11222, Palmerston North 4442, New Zealand.</t>
  </si>
  <si>
    <t>felixvaux.evolution@gmail.com</t>
  </si>
  <si>
    <t>Hills, Simon F K/L-3244-2016; Vaux, Felix/V-6883-2019</t>
  </si>
  <si>
    <t>Hills, Simon F K/0000-0002-9115-0375; Vaux, Felix/0000-0002-2882-7996; Trewick, Steven/0000-0002-4680-8457</t>
  </si>
  <si>
    <t>Royal Society of New Zealand Te Aparangi Marsden Fund grant [12-MAU-008]; Ministry of Business, Innovation and Employment Te Tipu Putaiao Postdoctoral Fellowship [CONT-22922-TTP-MAU]; New Zealand Ministry of Fisheries [TAN0402]; New Zealand Government under the New Zealand International Polar Year Census of Antarctic Marine Life Project [TAN0802, So001IPY, IPY2007-01]</t>
  </si>
  <si>
    <t>Royal Society of New Zealand Te Aparangi Marsden Fund grant(Royal Society of New Zealand); Ministry of Business, Innovation and Employment Te Tipu Putaiao Postdoctoral Fellowship(New Zealand Ministry of Business, Innovation and Employment (MBIE)); New Zealand Ministry of Fisheries; New Zealand Government under the New Zealand International Polar Year Census of Antarctic Marine Life Project</t>
  </si>
  <si>
    <t>This work was supported by the Royal Society of New Zealand Te Aparangi Marsden Fund grant (12-MAU-008), and a Ministry of Business, Innovation and Employment Te Tipu Putaiao Postdoctoral Fellowship (CONT-22922-TTP-MAU). This work includes samples collected as part of two Antarctic survey projects: TAN0402: A biodiversity survey financed by the former New Zealand Ministry of Fisheries, and TAN0802: funded by the New Zealand Government under the New Zealand International Polar Year Census of Antarctic Marine Life Project (Phase 1: So001IPY; Phase 2; IPY2007-01).</t>
  </si>
  <si>
    <t>ACADEMIC PRESS INC ELSEVIER SCIENCE</t>
  </si>
  <si>
    <t>SAN DIEGO</t>
  </si>
  <si>
    <t>525 B ST, STE 1900, SAN DIEGO, CA 92101-4495 USA</t>
  </si>
  <si>
    <t>1055-7903</t>
  </si>
  <si>
    <t>1095-9513</t>
  </si>
  <si>
    <t>MOL PHYLOGENET EVOL</t>
  </si>
  <si>
    <t>Mol. Phylogenet. Evol.</t>
  </si>
  <si>
    <t>10.1016/j.ympev.2018.06.009</t>
  </si>
  <si>
    <t>GV3UB</t>
  </si>
  <si>
    <t>WOS:000446021300055</t>
  </si>
  <si>
    <t>Ingels, J; Aronson, RB; Smith, CR</t>
  </si>
  <si>
    <t>Ingels, Jeroen; Aronson, Richard B.; Smith, Craig R.</t>
  </si>
  <si>
    <t>The scientific response to Antarctic ice-shelf loss</t>
  </si>
  <si>
    <t>DYNAMICS; LIFE</t>
  </si>
  <si>
    <t>[Ingels, Jeroen] Florida State Univ, Coastal &amp; Marine Lab, St Teresa, FL 32358 USA; [Aronson, Richard B.] Florida Inst Technol, Program Marine Biol, Melbourne, FL 32901 USA; [Smith, Craig R.] Univ Hawaii Manoa, Dept Oceanog, Honolulu, HI 96822 USA</t>
  </si>
  <si>
    <t>State University System of Florida; Florida State University; Florida Institute of Technology; University of Hawaii System; University of Hawaii Manoa</t>
  </si>
  <si>
    <t>Ingels, J (corresponding author), Florida State Univ, Coastal &amp; Marine Lab, St Teresa, FL 32358 USA.</t>
  </si>
  <si>
    <t>jingels@fsu.edu</t>
  </si>
  <si>
    <t>Ingels, Jeroen/A-1691-2008</t>
  </si>
  <si>
    <t>Ingels, Jeroen/0000-0001-8342-2222</t>
  </si>
  <si>
    <t>National Science Foundation's Office of Polar Programs</t>
  </si>
  <si>
    <t>National Science Foundation's Office of Polar Programs(National Science Foundation (NSF))</t>
  </si>
  <si>
    <t>This Comment benefited from discussions at the 'Antarctic Ecosystem Research Following Ice Shelf Collapse and Iceberg Calving Events' workshop held in November 2017 at the Florida State University Coastal and Marine Laboratory. The workshop and the creation of this product were funded by the National Science Foundation's Office of Polar Programs through collaborative grants to all authors. We gratefully acknowledge the contributions of the 38 Antarctic scientists who participated in the workshop. This is contribution number 201 from the Institute for Global Ecology at the Florida Institute of Technology, and contribution number 10419 from the School of Ocean and Earth Sciences, University of Hawaii at Manoa.</t>
  </si>
  <si>
    <t>MACMILLAN BUILDING, 4 CRINAN ST, LONDON N1 9XW, ENGLAND</t>
  </si>
  <si>
    <t>10.1038/s41558-018-0290-y</t>
  </si>
  <si>
    <t>WOS:000445927700005</t>
  </si>
  <si>
    <t>Robinson, SA; King, DH; Bramley-Alves, J; Waterman, MJ; Ashcroft, MB; Wasley, J; Turnbull, JD; Miller, RE; Ryan-Colton, E; Benny, T; Mullany, K; Clarke, L; Barry, LA; Hua, Q</t>
  </si>
  <si>
    <t>Robinson, Sharon A.; King, Diana H.; Bramley-Alves, Jessica; Waterman, Melinda J.; Ashcroft, Michael B.; Wasley, Jane; Turnbull, Johanna D.; Miller, Rebecca E.; Ryan-Colton, Ellen; Benny, Taylor; Mullany, Kathryn; Clarke, Laurencej; Barry, Linda A.; Hua, Quan</t>
  </si>
  <si>
    <t>Rapid change in East Antarctic terrestrial vegetation in response to regional drying</t>
  </si>
  <si>
    <t>CARBON-ISOTOPE DISCRIMINATION; SOUTHERN ANNULAR MODE; CLIMATE-CHANGE; WINDMILL ISLANDS; WATER-CONTENT; MOSS; PATTERNS; PHOTOSYNTHESIS; RADIOCARBON; TOLERANCE</t>
  </si>
  <si>
    <t>East Antarctica has shown little evidence of warming to date(1-3) with no coherent picture of how climate change is affecting vegetation(4-6). In stark contrast, the Antarctic Peninsula experienced some of the most rapid warming on the planet at the end of the last century(2,3,7,8) causing changes to the growth and distribution of plants(9-11). Here, we show that vegetation in the Windmill Islands, East Antarctica is changing rapidly in response to a drying climate. This drying trend is evident across the region, as demonstrated by changes in isotopic signatures measured along moss shoots(12,13), moss community composition and declining health, as well as long-term observations of lake salinity(14) and weather. The regional drying is possibly due to the more positive Southern Annular Mode in recent decades. The more positive Southern Annular Mode is a consequence of Antarctic ozone depletion and increased greenhouse gases, and causes strong westerly winds to circulate closer to the continent, maintaining colder temperatures in East Antarctica despite the increasing global average(15-18). Colder summers in this region probably result in reduced snow melt and increased aridity. We demonstrate that rapid vegetation change is occurring in East Antarctica and that its mosses provide potentially important proxies for monitoring coastal climate change.</t>
  </si>
  <si>
    <t>[Robinson, Sharon A.; King, Diana H.; Bramley-Alves, Jessica; Waterman, Melinda J.; Ashcroft, Michael B.; Wasley, Jane; Turnbull, Johanna D.; Miller, Rebecca E.; Ryan-Colton, Ellen; Benny, Taylor; Mullany, Kathryn; Clarke, Laurencej] Univ Wollongong, Ctr Sustainable Ecosyst Solut, Sch Biol Sci, Wollongong, NSW, Australia; [Robinson, Sharon A.] Univ Wollongong, Global Challenges Program, Wollongong, NSW, Australia; [Barry, Linda A.; Hua, Quan] Australian Nucl Sci &amp; Technol Org, Sydney, NSW, Australia; [Wasley, Jane; Clarke, Laurencej] Australian Antarctic Div, Antarctic Conservat &amp; Management Program, Kingston, Tas, Australia; [Miller, Rebecca E.] Univ Melbourne, Sch Ecosyst &amp; Forest Sci, Melbourne, Vic, Australia; [Ryan-Colton, Ellen] Charles Darwin Univ, Res Inst Environm &amp; Livelihoods, Alice Springs, NT, Australia; [Clarke, Laurencej] Univ Tasmania, Antarctic Climate &amp; Ecosyst Cooperat Res Ctr, Hobart, Tas, Australia</t>
  </si>
  <si>
    <t>University of Wollongong; University of Wollongong; Australian Nuclear Science &amp; Technology Organisation; Australian Antarctic Division; Melbourne Genomics Health Alliance; University of Melbourne; Charles Darwin University; Antarctic Climate &amp; Ecosystems Cooperative Research Centre (ACE CRC); University of Tasmania</t>
  </si>
  <si>
    <t>Robinson, SA (corresponding author), Univ Wollongong, Ctr Sustainable Ecosyst Solut, Sch Biol Sci, Wollongong, NSW, Australia.;Robinson, SA (corresponding author), Univ Wollongong, Global Challenges Program, Wollongong, NSW, Australia.</t>
  </si>
  <si>
    <t>sharonr@uow.edu.au</t>
  </si>
  <si>
    <t>Clarke, Laurence/N-3579-2017; Wasley, Jane/KHX-4880-2024; King, Diana/K-1061-2019; Hua, Quan/F-9593-2014; Ryan-Colton, Ellen/HKV-0815-2023; Robinson, Sharon/B-2683-2008; Waterman, Melinda/N-5880-2019</t>
  </si>
  <si>
    <t>Clarke, Laurence/0000-0002-0844-4453; King, Diana/0000-0001-6313-4450; Robinson, Sharon/0000-0002-7130-9617; Waterman, Melinda/0000-0001-5907-4512; Wasley, Jane/0000-0001-9379-664X; Ashcroft, Michael/0000-0003-2157-5965; Turnbull, Johanna/0000-0002-4214-1675</t>
  </si>
  <si>
    <t>Australian Research Council [DP110101714, DP180100113]; Antarctic Science Grants [1313, 3129, 3042, 4046]; Australian Institute of Nuclear Science and Engineering [05142P, 06155]; Australian Government for the Centre for Accelerator Science at ANSTO through the National Collaborative Research Infrastructure Strategy; University of Wollongong's Global Challenges Program as part of the Sustaining Coastal and Marine Zones challenge; Australian Postgraduate Awards/Research Training Program scholarships; Australian Institute of Nuclear Science and Engineering postgraduate award [ALNSTU2110]</t>
  </si>
  <si>
    <t>Australian Research Council(Australian Research Council); Antarctic Science Grants; Australian Institute of Nuclear Science and Engineering; Australian Government for the Centre for Accelerator Science at ANSTO through the National Collaborative Research Infrastructure Strategy; University of Wollongong's Global Challenges Program as part of the Sustaining Coastal and Marine Zones challenge; Australian Postgraduate Awards/Research Training Program scholarships; Australian Institute of Nuclear Science and Engineering postgraduate award</t>
  </si>
  <si>
    <t>The authors wish to thank D. Bergstrom, Z. Malenovsky, A. Nydahl, J. Dunn, A. Lucieer and other Australian National Antarctic Research Expedition expeditioners for assistance in the field, A. Netherwood for production of Fig. 1, and B. Raymond and A. Constable for providing feedback on the manuscript. Funding was provided by the Australian Research Council (DP110101714 and DP180100113), Antarctic Science Grants 1313, 3129, 3042 and 4046, and Australian Institute of Nuclear Science and Engineering grants 05142P and 06155. We acknowledge financial support from the Australian Government for the Centre for Accelerator Science at ANSTO through the National Collaborative Research Infrastructure Strategy and the University of Wollongong's Global Challenges Program as part of the Sustaining Coastal and Marine Zones challenge. J.W., L.J.C., J.B.-A., M.J.W. and D.H.K. were supported by Australian Postgraduate Awards/Research Training Program scholarships. M.J.W. also received an Australian Institute of Nuclear Science and Engineering postgraduate award (grant ALNSTU2110).</t>
  </si>
  <si>
    <t>10.1038/s41558-018-0280-0</t>
  </si>
  <si>
    <t>WOS:000445927700018</t>
  </si>
  <si>
    <t>Tsujino, H; Urakawa, S; Nakano, H; Small, RJ; Kim, WM; Yeager, SG; Danabasoglu, G; Suzuki, T; Bamber, JL; Bentsen, M; Böning, CW; Bozec, A; Chassignet, EP; Curchitser, E; Dias, FB; Durack, PJ; Griffes, SM; Harada, Y; Ilicak, M; Josey, SA; Kobayashi, C; Kobayashi, S; Komuro, Y; Large, WG; Le Sommer, J; Marsland, SJ; Masina, S; Scheinert, M; Tomita, H; Valdivieso, M; Yamazaki, D</t>
  </si>
  <si>
    <t>Tsujino, Hiroyuki; Urakawa, Shogo; Nakano, Hideyuki; Small, R. Justin; Kim, Who M.; Yeager, Stephen G.; Danabasoglu, Gokhan; Suzuki, Tatsuo; Bamber, Jonathan L.; Bentsen, Mats; Boening, Claus W.; Bozec, Alexandra; Chassignet, Eric P.; Curchitser, Enrique; Dias, Fabio Boeira; Durack, Paul J.; Griffes, Stephen M.; Harada, Yayoi; Ilicak, Mehmet; Josey, Simon A.; Kobayashi, Chiaki; Kobayashi, Shinya; Komuro, Yoshiki; Large, William G.; Le Sommer, Julien; Marsland, Simon J.; Masina, Simona; Scheinert, Markus; Tomita, Hiroyuki; Valdivieso, Maria; Yamazaki, Dai</t>
  </si>
  <si>
    <t>JRA-55 based surface dataset for driving ocean-sea-ice models (JRA55-do)</t>
  </si>
  <si>
    <t>OCEAN MODELLING</t>
  </si>
  <si>
    <t>Ocean model forcing; Surface fluxes; COREs; OMIP; JRA55-do</t>
  </si>
  <si>
    <t>CORE-II SIMULATIONS; NORTH-ATLANTIC SIMULATIONS; FRESH-WATER; ARCTIC-OCEAN; PRECIPITATION CLIMATOLOGY; OVERTURNING CIRCULATION; REANALYSIS PROJECT; HEAT FLUXES; NCEP-NCAR; SUITE</t>
  </si>
  <si>
    <t>We present a new surface-atmospheric dataset for driving ocean-sea-ice models based on Japanese 55-year atmospheric reanalysis (JRA-55), referred to here as JRA55-do. The JRA55-do dataset aims to replace the CORE interannual forcing version 2 (hereafter called the CORE dataset), which is currently used in the framework of the Coordinated Ocean-ice Reference Experiments (COREs) and the Ocean Model Intercomparison Project (OMIP). A major improvement in JRA55-do is the refined horizontal grid spacing (similar to 55 km) and temporal interval (3 hr). The data production method for JRA55-do essentially follows that of the CORE dataset, whereby the surface fields from an atmospheric reanalysis are adjusted relative to reference datasets. To improve the adjustment method, we use high-quality products derived from satellites and from several other atmospheric reanalysis projects, as well as feedback on the CORE dataset from the ocean modelling community. Notably, the surface air temperature and specific humidity are adjusted using multi-reanalysis ensemble means. In JRA55-do, the downwelling radiative fluxes and precipitation, which are affected by an ambiguous cloud parameterisation employed in the atmospheric model used for the reanalysis, are based on the reanalysis products. This approach represents a notable change from the CORE dataset, which imported independent observational products. Consequently, the JRA55-do dataset is more self-contained than the CORE dataset, and thus can be continually updated in near real-time. The JRA55-do dataset extends from 1958 to the present, with updates expected at least annually. This paper details the adjustments to the original JRA-55 fields, the scientific rationale for these adjustments, and the evaluation of JRA55-do. The adjustments successfully corrected the biases in the original JRA-55 fields. The globally averaged features are similar between the JRA55-do and CORE datasets, implying that JRA55-do can suitably replace the CORE dataset for use in driving global ocean-sea-ice models.</t>
  </si>
  <si>
    <t>[Tsujino, Hiroyuki; Urakawa, Shogo; Nakano, Hideyuki; Harada, Yayoi; Kobayashi, Chiaki] JMA Meteorol Res Inst, Tsukuba, Ibaraki, Japan; [Small, R. Justin; Kim, Who M.; Yeager, Stephen G.; Danabasoglu, Gokhan; Large, William G.] NCAR, Boulder, CO USA; [Suzuki, Tatsuo; Komuro, Yoshiki; Yamazaki, Dai] Japan Agcy Marine Earth Sci &amp; Technol JAMSTEC, Yokohama, Kanagawa, Japan; [Bamber, Jonathan L.] Univ Bristol, Bristol, Avon, England; [Bentsen, Mats; Ilicak, Mehmet] Bjerknes Ctr Climate Res, Uni Res Climate, Bergen, Norway; [Boening, Claus W.; Scheinert, Markus] GEOMAR Helmholtz Ctr Ocean Res Kiel, Kiel, Germany; [Bozec, Alexandra; Chassignet, Eric P.] Florida State Univ, COAPS, Tallahassee, FL 32306 USA; [Curchitser, Enrique] Rutgers State Univ, New Brunswick, NJ USA; [Dias, Fabio Boeira; Marsland, Simon J.] Univ Tasmania, Inst Marine &amp; Antarctic Studies, Hobart, Tas, Australia; [Dias, Fabio Boeira; Marsland, Simon J.] Univ Tasmania, Antarctic Climate &amp; Ecosyst Cooperat Res Ctr, Hobart, Tas, Australia; [Dias, Fabio Boeira; Marsland, Simon J.] ARC Ctr Excellence Climate Syst Sci, Sydney, NSW, Australia; [Dias, Fabio Boeira; Marsland, Simon J.] CSIRO Oceans &amp; Atmosphere, Canberra, ACT, Australia; [Durack, Paul J.] Lawrence Livermore Natl Lab, Program Climate Model Diag &amp; Intercomparison, Livermore, CA USA; [Griffes, Stephen M.] NOAA, GFDL, Princeton, NJ USA; [Ilicak, Mehmet] Istanbul Tech Univ, Eurasia Inst Earth Sci, Istanbul, Turkey; [Josey, Simon A.] NOC, Southampton, Hants, England; [Kobayashi, Shinya] JMA, Tokyo, Japan; [Le Sommer, Julien] Univ Grenoble Akves, CNRS, IRD, G INP,IGE, Grenoble, France; [Masina, Simona] Ctr Euromediterraneo Cambiamenti Climat CMCC, Bologna, Italy; [Masina, Simona] INGV, Bologna, Italy; [Tomita, Hiroyuki] Nagoya Univ, Inst Space Earth Environm Res ISEE, Nagoya, Aichi, Japan; [Valdivieso, Maria; Yamazaki, Dai] Univ Reading, Reading, Berks, England</t>
  </si>
  <si>
    <t>National Center Atmospheric Research (NCAR) - USA; Japan Agency for Marine-Earth Science &amp; Technology (JAMSTEC); University of Bristol; Bjerknes Centre for Climate Research; Helmholtz Association; GEOMAR Helmholtz Center for Ocean Research Kiel; State University System of Florida; Florida State University; Rutgers University System; Rutgers University New Brunswick; University of Tasmania; Antarctic Climate &amp; Ecosystems Cooperative Research Centre (ACE CRC); University of Tasmania; ARC Centre of Excellence for Climate System Science; Commonwealth Scientific &amp; Industrial Research Organisation (CSIRO); United States Department of Energy (DOE); Lawrence Livermore National Laboratory; National Oceanic Atmospheric Admin (NOAA) - USA; Istanbul Technical University; NERC National Oceanography Centre; Centre National de la Recherche Scientifique (CNRS); Institut de Recherche pour le Developpement (IRD); Centro Euro-Mediterraneo sui Cambiamenti Climatici (CMCC); Istituto Nazionale Geofisica e Vulcanologia (INGV); Nagoya University; University of Reading</t>
  </si>
  <si>
    <t>Tsujino, H (corresponding author), JMA Meteorol Res Inst, Tsukuba, Ibaraki, Japan.</t>
  </si>
  <si>
    <t>htsujino@mri-jma.go.jp</t>
  </si>
  <si>
    <t>Marsland, Simon J/A-1453-2012; Bentsen, Mats/JHU-7393-2023; Yamazaki, Dai/J-3029-2012; Bamber, Jonathan/C-7608-2011; Boening, Claus W./B-1686-2012; Boening, Claus W/HIR-8996-2022; Boening, Claus/AAW-6387-2020; Le Sommer, Julien/ABG-8801-2021; Ilicak, Mehmet/AAG-1093-2020; Tomita, Hiroyuki/AAA-3635-2019; Griffies, Stephen Matthew/N-9144-2019; Durack, Paul James/A-8758-2010; Masina, Simona/B-4974-2012; Keyes, Dennis/AAZ-9285-2021; Kim, Who/F-5348-2018</t>
  </si>
  <si>
    <t>Marsland, Simon J/0000-0002-5664-5276; Yamazaki, Dai/0000-0002-6478-1841; Bamber, Jonathan/0000-0002-2280-2819; Boening, Claus W./0000-0002-6251-5777; Boening, Claus W/0000-0002-6251-5777; Boening, Claus/0000-0002-6251-5777; Le Sommer, Julien/0000-0002-6882-2938; Ilicak, Mehmet/0000-0002-4777-8835; Tomita, Hiroyuki/0000-0003-2693-2044; Griffies, Stephen Matthew/0000-0002-3711-236X; Durack, Paul James/0000-0003-2835-1438; Danabasoglu, Gokhan/0000-0003-4676-2732; Tsujino, Hiroyuki/0000-0003-3336-0275; Kim, Who/0000-0001-5754-9852; MASINA, Simona/0000-0001-6273-7065; Boeira Dias, Fabio/0000-0002-2965-2120; Urakawa, Shogo/0000-0001-8087-3239; Chassignet, Eric/0000-0003-4710-7502; SUZUKI, TATSUO/0000-0002-6259-6466; Small, Richard/0000-0002-3452-2179</t>
  </si>
  <si>
    <t>1463-5003</t>
  </si>
  <si>
    <t>1463-5011</t>
  </si>
  <si>
    <t>OCEAN MODEL</t>
  </si>
  <si>
    <t>Ocean Model.</t>
  </si>
  <si>
    <t>10.1016/j.ocemod.2018.07.002</t>
  </si>
  <si>
    <t>Meteorology &amp; Atmospheric Sciences; Oceanography</t>
  </si>
  <si>
    <t>GU4CK</t>
  </si>
  <si>
    <t>WOS:000445228500007</t>
  </si>
  <si>
    <t>Watson, LA; Stark, JS; Johnstone, GJ; Wapstra, E; Miller, K</t>
  </si>
  <si>
    <t>Watson, Leslie A.; Stark, Jonathan S.; Johnstone, Glenn J.; Wapstra, Erik; Miller, Karen</t>
  </si>
  <si>
    <t>Patterns in the distribution and abundance of sea anemones off Dumont d'Urville Station, Antarctica</t>
  </si>
  <si>
    <t>Marine benthos; Actiniaria; Biodiversity; Terre Adelie; Distribution; Abundance</t>
  </si>
  <si>
    <t>COMMUNITIES; REPRODUCTION; ACTINIARIA; WEDDELL; MODES; GASTROPODS; PENINSULA; CNIDARIA; THREATS; SLOPE</t>
  </si>
  <si>
    <t>Knowledge of ecological interactions is integral for informed management, especially in the rapidly changing Antarctic marine ecosystem. Nonetheless, even basic ecological relationships are unknown for most benthic species, including conspicuous predatory species such as sea anemones. The aim of this study is to understand the ecology of sea anemones in the Terre Adelie region. Using video footage collected by remote operated vehicle (ROV), we examined sea anemone distribution and abundance in relation to predator and prey abundance, presence of other taxa and habitat structure. The ROV was deployed over ten different transects with depths ranging from 32 to 251m. A total of 332 sea anemones were observed across 6.6km(2) of seabed surveyed. We compared sea anemone abundance with habitat type and substrate attachment. Multivariate analysis in PRIMER was used to examine community composition. Sea anemone density was not significantly associated with habitat types. However, sea anemones were associated with the biogenic substrates, ascidians and bryozoans. This association suggests a potential future vulnerability for Antarctic sea anemones if bryozoan and ascidian distributions are impacted by climate change-associated ecosystem disturbances.</t>
  </si>
  <si>
    <t>[Watson, Leslie A.; Wapstra, Erik; Miller, Karen] Univ Tasmania, Sch Biol Sci, Private Bag 55, Hobart, Tas 7001, Australia; [Stark, Jonathan S.; Johnstone, Glenn J.] Australian Antarctic Div, 203 Channel Hwy, Kingston, Tas 7050, Australia; [Miller, Karen] Australian Inst Marine Sci, 35 Stirling Hwy, Crawley, WA 6009, Australia</t>
  </si>
  <si>
    <t>University of Tasmania; Australian Antarctic Division; Australian Institute of Marine Science</t>
  </si>
  <si>
    <t>Watson, LA (corresponding author), Univ Tasmania, Sch Biol Sci, Private Bag 55, Hobart, Tas 7001, Australia.</t>
  </si>
  <si>
    <t>Leslie.Watson@utas.edu.au</t>
  </si>
  <si>
    <t>Miller, Karen/V-4098-2019; Stark, Jonathan/ABF-4025-2020; Watson, Leslie/HKM-5475-2023; Wapstra, Erik/J-7482-2014</t>
  </si>
  <si>
    <t>Stark, Jonathan/0000-0002-4268-8072; Watson, Leslie/0000-0002-3391-4533; Johnstone, Glenn/0000-0002-9302-4794; Wapstra, Erik/0000-0002-2050-8026</t>
  </si>
  <si>
    <t>French polar institute Institut Paul-Emile Victor (IPEV); Museum national d'Histoire naturelle (MNHN)</t>
  </si>
  <si>
    <t>We thank the research programme led by Guillaume Lecointre, REVOLTA 1124 (2009-2013) supported by the French polar institute Institut Paul-Emile Victor (IPEV) and the Museum national d'Histoire naturelle (MNHN). We would also like to thank the Departement du Finistere for providing the ROV and to Oceanopolis for the camera. We thank also the ROV pilot Alain Pottier.</t>
  </si>
  <si>
    <t>10.1007/s00300-018-2332-3</t>
  </si>
  <si>
    <t>WOS:000445212100002</t>
  </si>
  <si>
    <t>Gallardo-Cerda, J; Levihuan, J; Lavín, P; Oses, R; Atala, C; Torres-Díaz, C; Cuba-Díaz, M; Barrera, A; Molina-Montenegro, MA</t>
  </si>
  <si>
    <t>Gallardo-Cerda, Jorge; Levihuan, Juana; Lavin, Paris; Oses, Romulo; Atala, Cristian; Torres-Diaz, Cristian; Cuba-Diaz, Marely; Barrera, Andrea; Molina-Montenegro, Marco A.</t>
  </si>
  <si>
    <t>Antarctic rhizobacteria improve salt tolerance and physiological performance of the Antarctic vascular plants</t>
  </si>
  <si>
    <t>Salt tolerance; Antarctica; Plant growth-promoting rhizobacteria; Colobanthus quitensis; Deschampsia antarctica</t>
  </si>
  <si>
    <t>COLOBANTHUS-QUITENSIS; SALINITY TOLERANCE; ABIOTIC STRESSES; DROUGHT STRESS; ACC DEAMINASE; GROWTH; BACTERIA; RESPONSES; ACCUMULATION; ACCLIMATION</t>
  </si>
  <si>
    <t>The two native Antarctic vascular plants, Deschampsia antarctica and Colobanthus quitensis, are mostly restricted to coastal habitats where they are often exposed to sea spray with high levels of salinity. Most of the studies regarding the ability of C. quitensis and D. antarctica to cope with abiotic stress have been focused on their physiological adaptations to tolerate cold stress, but little is known about their tolerance to salinity. We investigated whether rhizospheric bacteria associated to D. antarctica and C. quitensis improve the ability of Antarctic plants to tolerate salt stress. Salt tolerance was assayed in rhizospheric bacteria, and also their effects on the ecophysiological performance (photochemical efficiency of PSII, growth, and survival) of both plants were assessed under salt stress. A total of eight bacterial rhizospheric strains capable of growing at 4 degrees C were isolated. The strains isolated from D. antarctica showed higher levels of salt tolerance than those strains isolated from C. quitensis. The ecophysiological performance of C. quitensis and D. antarctica was significantly increased when plants were inoculated with rhizospheric bacteria. Our results suggest that rhizospheric bacteria improve the ability of both plants to tolerate salinity stress with positive effects on the adaptation and survival of vascular plants to current conditions in Antarctic ecosystem.</t>
  </si>
  <si>
    <t>[Gallardo-Cerda, Jorge; Barrera, Andrea; Molina-Montenegro, Marco A.] Univ Talca, Inst Ciencias Biol, Ctr Estudios Ecol Mol &amp; Func, Avda Lircay S-N, Talca, Chile; [Levihuan, Juana] Inst Antartico Chileno INACH, Lab Biorrecursos Antarticos, Punta Arenas, Chile; [Lavin, Paris] Univ Antofagasta, Lab Complejidad Microbiana &amp; Ecol Func, Antofagasta, Chile; [Oses, Romulo] Univ Atacama, Ctr Reg Invest &amp; Desarrollo Sustentable Atacama C, Av Copayapu 485, Copiapo, Chile; [Atala, Cristian] Pontificia Univ Catolica Valparaiso, Fac Ciencias, Inst Biol, Lab Anat &amp; Ecol Func Plantas AEF, Valparaiso, Chile; [Torres-Diaz, Cristian] Univ Bio Bio, Dept Ciencias Basicas, Grp Biodiversidad &amp; Cambio Global BCG, Chillan, Chile; [Cuba-Diaz, Marely] Univ Concepcion, Dept Ciencias &amp; Tecnol Vegetal, Campus Los Angeles, Los Angeles, Chile; [Molina-Montenegro, Marco A.] Univ Catolica Norte, Fac Ciencias Mar, CEAZA, Coquimbo, Chile</t>
  </si>
  <si>
    <t>Universidad de Talca; Universidad de Antofagasta; Universidad de Atacama; Pontificia Universidad Catolica de Valparaiso; Universidad del Bio-Bio; Universidad de Concepcion; Universidad Catolica del Norte</t>
  </si>
  <si>
    <t>Gallardo-Cerda, J (corresponding author), Univ Talca, Inst Ciencias Biol, Ctr Estudios Ecol Mol &amp; Func, Avda Lircay S-N, Talca, Chile.</t>
  </si>
  <si>
    <t>jgallardocerda@gmail.com</t>
  </si>
  <si>
    <t>Lavin, Paris/AAI-9053-2020; Cuba-Diaz, Marely/V-3109-2019</t>
  </si>
  <si>
    <t>Lavin, Paris/0000-0002-8893-526X; Torres Diaz, Cristian/0000-0002-5741-5288; Oses-Pedraza, Romulo/0000-0003-2310-3339; Molina-Montenegro, Marco/0000-0001-6801-8942; Atala, Cristian/0000-0003-1337-9534</t>
  </si>
  <si>
    <t>Chilean Antarctic Institute (INACH) [RT-14-08, RT-11-13]; FONDECYT [3160333]; CONICYT [PII20150126]</t>
  </si>
  <si>
    <t>Chilean Antarctic Institute (INACH); FONDECYT(Comision Nacional de Investigacion Cientifica y Tecnologica (CONICYT)CONICYT FONDECYT); CONICYT(Comision Nacional de Investigacion Cientifica y Tecnologica (CONICYT))</t>
  </si>
  <si>
    <t>We acknowledge the financial and logistic support of the Chilean Antarctic Institute (INACH Projects: RT-14-08 and RT-11-13. This study was supported by the FONDECYT 3160333 project. This article contributes to the SCAR biological research programs: Antarctic Thresholds-Ecosystem Resilience and Adaptation (AnT-ERA) and State of the Antarctic Ecosystem (Ant-Eco). The funding was provided by CONICYT (Grant Number: PII20150126).</t>
  </si>
  <si>
    <t>10.1007/s00300-018-2336-z</t>
  </si>
  <si>
    <t>WOS:000445212100006</t>
  </si>
  <si>
    <t>Zanutta, A; Negusini, M; Vittuari, L; Martelli, L; Cianfarra, P; Salvini, F; Mancini, F; Sterzai, P; Dubbini, M; Capra, A</t>
  </si>
  <si>
    <t>Zanutta, Antonio; Negusini, Monia; Vittuari, Luca; Martelli, Leonardo; Cianfarra, Paola; Salvini, Francesco; Mancini, Francesco; Sterzai, Paolo; Dubbini, Marco; Capra, Alessandro</t>
  </si>
  <si>
    <t>New Geodetic and Gravimetric Maps to Infer Geodynamics of Antarctica with Insights on Victoria Land</t>
  </si>
  <si>
    <t>REMOTE SENSING</t>
  </si>
  <si>
    <t>VLNDEF; gravity anomaly; GNSS time series; neo-tectonics; Antarctica geodynamics; crustal deformations; PNRA</t>
  </si>
  <si>
    <t>GLACIAL ISOSTATIC-ADJUSTMENT; CENOZOIC EXTENSION; CRUSTAL MOTIONS; EAST ANTARCTICA; JOINT INVERSION; GPS; GRAVITY; MODEL; THICKNESS; SURFACE</t>
  </si>
  <si>
    <t>In order to make inferences on the geodynamics of Antarctica, geodetic and gravimetric maps derived from past and new observations can be used. This paper provides new insights into the geodynamics of Antarctica by integrating data at regional and continental scales. In particular, signatures of geodynamic activity at a regional extent have been investigated in Victoria Land (VL, Antarctica) by means of Global Navigation Satellite System (GNSS) permanent station observations, data from the VLNDEF (Victoria Land Network for Deformation control) discontinuous network, and gravity station measurements. At the continental scale, episodic GNSS observations on VLNDEF sites collected for 20 years, together with continuous data from the International GNSS Service (IGS) and Polar Earth Observing Network (POLENET) sites, were processed, and the Euler pole position assessed with the angular velocity of the Antarctic plate. Both the Bouguer and the free-air gravity anomaly maps were obtained by integrating the available open-access geophysics dataset, and a compilation of 180 gravity measurements collected in the VL within the Italian National Program for Antarctic Research (PNRA) activities. As a result, new evidence has been detected at regional and continental scale. The main absolute motion of VL is towards SE (Ve 9.9 +/- 0.26 mm/yr, Vn -11.9 +/- 0.27 mm/yr) with a pattern similar to the transforms of the Tasman and Balleny fracture zones produced as consequence of Southern Ocean spreading. Residual velocities of the GNSS stations located in VL confirm the active role of the two main tectonic lineaments of the region, the Rennick-Aviator and the Lillie-Tucker faults with right-lateral sense of shear. The resulting VL gravity anomalies show a NW region characterized by small sized Bouguer anomaly with high uplift rates associated and a SE region with low values of Bouguer anomaly and general subsidence phenomena. The East and West Antarctica are characterized by a different thickness of the Earth's crust, and the relative velocities obtained by the observed GNSS data confirm that movements between the two regions are negligible. In East Antarctica, the roots of the main subglacial highlands, Gamburtsev Mts and Dronning Maud Land, are present. The Northern Victoria Land (NVL) is characterized by more scattered anomalies. These confirm the differences between the Glacial Isostatic Adjustment (GIA) modeled and observed uplift rates that could be related to deep-seated, regional scale structures.</t>
  </si>
  <si>
    <t>[Zanutta, Antonio; Vittuari, Luca; Martelli, Leonardo] Univ Bologna, Dipartimento Ingn Civile Chim Ambientale &amp; Mat, I-40136 Bologna, Italy; [Negusini, Monia] Ist Nazl Astrofis, Ist Radioastron, I-40129 Bologna, Italy; [Cianfarra, Paola; Salvini, Francesco] Univ Roma Tre, Dipartimento Sci Geol, I-00146 Rome, Italy; [Mancini, Francesco; Capra, Alessandro] Univ Modena &amp; Reggio Emilia, Dipartimento Ingn Enzo Ferrari, I-41125 Modena, Italy; [Sterzai, Paolo] Ist Nazl Oceanog &amp; Geofis Sperimentale OGS, Infrastruct Sect IRI, I-34010 Sgonico, Trieste, Italy; [Dubbini, Marco] Univ Bologna, Dipartimento Storia Culture Civilta, I-40124 Bologna, Italy</t>
  </si>
  <si>
    <t>University of Bologna; Istituto Nazionale Astrofisica (INAF); Roma Tre University; Universita di Modena e Reggio Emilia; Istituto Nazionale di Oceanografia e di Geofisica Sperimentale; University of Bologna</t>
  </si>
  <si>
    <t>Zanutta, A (corresponding author), Univ Bologna, Dipartimento Ingn Civile Chim Ambientale &amp; Mat, I-40136 Bologna, Italy.</t>
  </si>
  <si>
    <t>antonio.zanutta@unibo.it; negusini@ira.inaf.it; luca.vittuari@unibo.it; leonardo.martelli@unibo.it; paola.cianfarra@uniroma3.it; francesco.salvini@uniroma3.it; francesco.mancini@unimore.it; psterzai@inogs.it; marco.dubbini@unibo.it; acapra@unimore.it</t>
  </si>
  <si>
    <t>Capra, Alessandro/L-9743-2015; Negusini, Monia/N-6493-2015; CIANFARRA, Paola/JCE-5168-2023; Mancini, Francesco/L-2937-2015; Dubbini, Marco/J-1765-2016; ZANUTTA, ANTONIO/L-1647-2019; CIANFARRA, Paola/AAQ-5641-2020; Vittuari, Luca/C-1606-2018</t>
  </si>
  <si>
    <t>Negusini, Monia/0000-0002-0064-5533; Mancini, Francesco/0000-0002-8553-345X; Dubbini, Marco/0000-0001-6158-2727; ZANUTTA, ANTONIO/0000-0003-4872-5222; STERZAI, Paolo/0000-0003-2910-8122; /0000-0003-4698-9996; CIANFARRA, Paola/0000-0001-9396-4519; Vittuari, Luca/0000-0002-9815-1004</t>
  </si>
  <si>
    <t>Italian National Program for Antarctic Research (PNRA)</t>
  </si>
  <si>
    <t>Part of this work was supported by the Italian National Program for Antarctic Research (PNRA).</t>
  </si>
  <si>
    <t>2072-4292</t>
  </si>
  <si>
    <t>REMOTE SENS-BASEL</t>
  </si>
  <si>
    <t>Remote Sens.</t>
  </si>
  <si>
    <t>10.3390/rs10101608</t>
  </si>
  <si>
    <t>Environmental Sciences; Geosciences, Multidisciplinary; Remote Sensing; Imaging Science &amp; Photographic Technology</t>
  </si>
  <si>
    <t>Environmental Sciences &amp; Ecology; Geology; Remote Sensing; Imaging Science &amp; Photographic Technology</t>
  </si>
  <si>
    <t>GY4SZ</t>
  </si>
  <si>
    <t>WOS:000448555800108</t>
  </si>
  <si>
    <t>Gómez, LE</t>
  </si>
  <si>
    <t>Edith Gomez, Lydia</t>
  </si>
  <si>
    <t>HISTORIOGRAPHY ANTARCTIC ARGENTINA: REFERENTS, ACHIEVEMENTS AND CHALLENGES</t>
  </si>
  <si>
    <t>[Edith Gomez, Lydia] Univ Nacl San Juan, San Juan, Argentina</t>
  </si>
  <si>
    <t>Universidad Nacional de San Juan</t>
  </si>
  <si>
    <t>Gómez, LE (corresponding author), Univ Nacl San Juan, Fac Filosofia Humanidades &amp; Artes, Dept Hist, Jose Ignacio de la Roza 230 Oeste Capital, RA-5400 San Juan, Argentina.</t>
  </si>
  <si>
    <t>lydegomez@yahoo.com.ar</t>
  </si>
  <si>
    <t>WOS:000454551000002</t>
  </si>
  <si>
    <t>Aydogan, B; Ayat, B</t>
  </si>
  <si>
    <t>Aydogan, Burak; Ayat, Berna</t>
  </si>
  <si>
    <t>Spatial variability of long-term trends of significant wave heights in the Black Sea</t>
  </si>
  <si>
    <t>APPLIED OCEAN RESEARCH</t>
  </si>
  <si>
    <t>Long-term; Trend; Significant wave height; Theil-Sen estimator; Mann-Kendall test; Black Sea; Spatial variability; Climate indices</t>
  </si>
  <si>
    <t>NORTH-ATLANTIC; WIND-WAVES; ENERGY-RESOURCES; COASTAL REGIONS; REANALYSIS; CLIMATE; MODEL; PACIFIC; IMPACT</t>
  </si>
  <si>
    <t>This study aims to estimate the spatial variability of the long-term trends of Significant Wave Height (SWH) in the Black Sea. A spectral wave model was used to hindcast 38 years of SWH forced by ECMWF ERA Interim wind fields. Long-term trends were estimated from normalized SWH (NSWH) data, for each month separately, by using two non-parametric methodologies; Line of best fit and the Theil-Sen estimator, and then mapped to show their spatial variability. Maps were generated for both mean SWHs and 95th percentile SWHs, the latter is considered to reflect the trends of the severe sea states. The basin-averaged analysis was also carried out to investigate the general tendency of SWHs in the Black Sea. The significance of the trends was evaluated by using Mann-Kendall test. The annual mean SWH is found to be increasing (up to 1.6%/year) in the eastern part of the Black Sea while the western part has a negative trend (down to -1.2%/year). Long-term analysis of the 95th percentile SWHs revealed steeper trend slopes and higher statistical significance compared to the mean SWH trends, showing that storm SWHs have a higher tendency to increase than the mean SWHs. Statistically significant correlations between climate indices; North Atlantic Oscillation (NAO), Arctic Oscillation (AO), Antarctic Oscillation (AAO), Atlantic Multidecadal Oscillation (AMO), Pacific North American (PNA), East Atlantic (EA), East Atlantic/West Russia (EA/WR), Scandinavia (SCAND), Nino3 and the Black Sea wave fields were identified.</t>
  </si>
  <si>
    <t>[Aydogan, Burak; Ayat, Berna] Yildiz Tech Univ, Dept Civil Engn, TR-34220 Istanbul, Turkey</t>
  </si>
  <si>
    <t>Yildiz Technical University</t>
  </si>
  <si>
    <t>Aydogan, B (corresponding author), Yildiz Tech Univ, Dept Civil Engn, TR-34220 Istanbul, Turkey.</t>
  </si>
  <si>
    <t>baydogan@inm.yildiz.edu.tr</t>
  </si>
  <si>
    <t>Ayat, Berna/AAV-6573-2021; Aydoğan, Burak/GZM-1183-2022</t>
  </si>
  <si>
    <t>Ayat, Berna/0000-0002-8460-2839; Aydoğan, Burak/0000-0002-0394-6657</t>
  </si>
  <si>
    <t>Scientific and Technological Research Council of Turkey, TUBITAK; European Union [116M061]; Era.Net Rus-Plus grants [BS STEMA 42/2016]</t>
  </si>
  <si>
    <t>Scientific and Technological Research Council of Turkey, TUBITAK(Turkiye Bilimsel ve Teknolojik Arastirma Kurumu (TUBITAK)); European Union(European Union (EU)); Era.Net Rus-Plus grants</t>
  </si>
  <si>
    <t>This study was funded by the Scientific and Technological Research Council of Turkey, TUBITAK and European Union under 116M061 and Era.Net Rus-Plus BS STEMA 42/2016 grants.</t>
  </si>
  <si>
    <t>0141-1187</t>
  </si>
  <si>
    <t>1879-1549</t>
  </si>
  <si>
    <t>APPL OCEAN RES</t>
  </si>
  <si>
    <t>Appl. Ocean Res.</t>
  </si>
  <si>
    <t>10.1016/j.apor.2018.07.001</t>
  </si>
  <si>
    <t>Engineering, Ocean; Oceanography</t>
  </si>
  <si>
    <t>Engineering; Oceanography</t>
  </si>
  <si>
    <t>GU0IM</t>
  </si>
  <si>
    <t>WOS:000444933000003</t>
  </si>
  <si>
    <t>Alikunju, AP; Joy, S; Salam, JA; Silvester, R; Antony, AC; Rahiman, KMM; Krishnan, KP; Hatha, AAM</t>
  </si>
  <si>
    <t>Alikunju, Aneesa P.; Joy, Susan; Salam, Jaseetha Abdul; Silvester, Reshma; Antony, Ally C.; Rahiman, K. M. Mujeeb; Krishnan, K. P.; Hatha, A. A. Mohamed</t>
  </si>
  <si>
    <t>Functional Characterization of a New Cold-Adapted -Galactosidase from an Arctic Fjord Sediment Bacteria Enterobacter ludwigii MCC 3423</t>
  </si>
  <si>
    <t>CATALYSIS LETTERS</t>
  </si>
  <si>
    <t>Cold-active -galactosidase; Enzyme characterization; Kinetics; Psychrotrophic bacteria; Purification; Transglycosylation</t>
  </si>
  <si>
    <t>ACTIVE BETA-GALACTOSIDASE; ANTIBIOTIC-RESISTANCE; PURIFICATION; CLONING; LACTOSE; GENE; GALACTOOLIGOSACCHARIDES; OLIGOSACCHARIDES; IDENTIFICATION; EXPRESSION</t>
  </si>
  <si>
    <t>In the present study, a new cold-adapted -galactosidase, BgalEL isolated from the fjord sediment bacteria, Enterobacter ludwigii MCC 3423, was purified and characterized. The phylogenetic analysis of partial sequence of bgalEL gene revealed 99% relatedness of the enzyme to Enterobacter cloacae -galactosidase. BgalEL is a homotetramer with molecular weight 465kDa composed of similar to 116.42kDa subunits. The optimal pH range and temperature for maximum hydrolytic activity on ONPG were 7.0-8.0 and 45 degrees C respectively. BgalEL was stable at pH ranges 6.0-8.0. The Km and Vmax for BgalEL were recorded as 2.03mM and 49.3Umg(-1) respectively. The product formation by BgalEL was modelled with various degradation kinetic models and zeroth was found as model was best-fitted model. The kinetic half-life period of ONPG was noted as 9.0x10(-4). The presence of K+, Mg2+ and Mn2+ at 10mM concentrations stimulated BgalEL activity by 313.9, 34 +/- 1.2 and 42 +/- 1.9% respectively. It was interesting to see that BgalEL was least affected by the hydrolytic products, glucose and galactose. Noteworthy, effect of Ca2+ ions on BgalEL activity was negligible at concentrations of 10mM. BgalEL hydrolyzed lactose in milk at refrigerated temperature and also displayed transglycosylation potential in the presence of substantial concentrations of lactose at 40 degrees C. Finally, this is the first report with such a detailed characterization of -galactosidase enzyme from a gram-negative bacterium isolated from the Arctic region. In light of the above mentioned properties, we thus recommend the enzyme BgalEL for the large scale production lactose free milk for the safe consumption in lactose-intolerance and the prebiotic galactooligosaccharides as supplement for infant food formulas [GRAPHICS] .</t>
  </si>
  <si>
    <t>[Alikunju, Aneesa P.; Joy, Susan; Salam, Jaseetha Abdul; Silvester, Reshma; Hatha, A. A. Mohamed] Cochin Univ Sci &amp; Technol, Dept Marine Biol Microbiol &amp; Biochem, Cochin 682016, Kerala, India; [Antony, Ally C.] MES Coll, Marampally 683107, Ernakulam, India; [Rahiman, K. M. Mujeeb] MES Ponnani Coll, Dept Aquaculture &amp; Fishery Microbiol, Ponnani 679586, Kerala, India; [Krishnan, K. P.] Natl Ctr Antarctic &amp; Ocean Res, Vasco Da Gama 403804, Goa, India</t>
  </si>
  <si>
    <t>Cochin University Science &amp; Technology; Ministry of Earth Sciences (MoES) - India; National Centre for Polar and Ocean Research (NCPOR)</t>
  </si>
  <si>
    <t>Alikunju, AP (corresponding author), Cochin Univ Sci &amp; Technol, Dept Marine Biol Microbiol &amp; Biochem, Cochin 682016, Kerala, India.</t>
  </si>
  <si>
    <t>aneesasiraj2005@gmail.com</t>
  </si>
  <si>
    <t>Antony, Ally C./AAU-4975-2021; A, ANEESA P/AGM-1292-2022; P, Krishnan K/ABF-8783-2020; Silvester, Reshma/H-3520-2019</t>
  </si>
  <si>
    <t>A, ANEESA P/0000-0002-8937-1451; Silvester, Reshma/0000-0001-6182-6031; Abdulla, Mohamed Hatha/0000-0003-0136-2911</t>
  </si>
  <si>
    <t>UGC-BSR, India [25-1/2014-15(BSR)/5-24/2007/(BSR)]</t>
  </si>
  <si>
    <t>UGC-BSR, India</t>
  </si>
  <si>
    <t>The first author is thankful to UGC-BSR, India for funding the research work UGC Grant No. F. No.25-1/2014-15(BSR)/5-24/2007/(BSR). Authors are also thankful to the Head, Department of Marine Biology, Microbiology and Biochemistry and Director, Sophisticated Testing and Instrumentation Centre (STIC) at Cochin University of Science and Technology (CUSAT) and National Centre for Antarctic and Ocean Research (NCAOR) for providing the facilities to carry out the research.</t>
  </si>
  <si>
    <t>1011-372X</t>
  </si>
  <si>
    <t>1572-879X</t>
  </si>
  <si>
    <t>CATAL LETT</t>
  </si>
  <si>
    <t>Catal. Lett.</t>
  </si>
  <si>
    <t>10.1007/s10562-018-2504-3</t>
  </si>
  <si>
    <t>Chemistry, Physical</t>
  </si>
  <si>
    <t>Chemistry</t>
  </si>
  <si>
    <t>GT3BQ</t>
  </si>
  <si>
    <t>WOS:000444375300029</t>
  </si>
  <si>
    <t>Audzijonyte, A; Richards, SA</t>
  </si>
  <si>
    <t>Audzijonyte, Asta; Richards, Shane A.</t>
  </si>
  <si>
    <t>The Energetic Cost of Reproduction and Its Effect on Optimal Life-History Strategies</t>
  </si>
  <si>
    <t>AMERICAN NATURALIST</t>
  </si>
  <si>
    <t>condition-dependent mortality; fisheries-induced evolution; indeterminate growth; maturation size; physiologically structured models; threshold reproduction cost</t>
  </si>
  <si>
    <t>COD GADUS-MORHUA; EXPLOITED FISH STOCKS; ATLANTIC COD; INDETERMINATE GROWTH; BALTIC COD; TROPHIC INTERACTIONS; RESOURCE-ALLOCATION; SIZE; EVOLUTIONARY; MODEL</t>
  </si>
  <si>
    <t>Trade-offs in energy allocation between growth, reproduction, and survival are at the core of life-history theory. While age-specific mortality is considered to be the main determinant of the optimal allocation, some life-history strategies, such as delayed or skipped reproduction, may be better understood when also accounting for reproduction costs. Here, we present a two-pool indeterminate grower model that includes survival and energetic costs of reproduction. The energetic cost sets a minimum reserve required for reproduction, while the survival cost reflects increased mortality from low postreproductive body condition. Three life-history parameters determining age-dependent energy allocation to soma, reserve, and reproduction are optimized, and we show that the optimal strategies can reproduce realistic emergent growth trajectories, maturation ages, and reproductive outputs for fish. The model predicts maturation phase shifts along the gradient of condition-related mortality and shows that increased harvesting will select for earlier maturation and higher energy allocation to reproduction. However, since the energetic reproduction cost sets limits on how early an individual can mature, an increase in fitness at high harvesting can only be achieved by diverting most reserves into reproduction. The model presented here can improve predictions of life-history responses to environmental change and human impacts because key life-history traits such as maturation age and size, maximum body size, and size-specific fecundity emerge dynamically.</t>
  </si>
  <si>
    <t>[Audzijonyte, Asta] Univ Tasmania, Inst Marine &amp; Antarctic Studies, Hobart, Tas 7001, Australia; [Richards, Shane A.] Univ Tasmania, Sch Nat Sci, Hobart, Tas 7001, Australia; [Richards, Shane A.] CSIRO, Oceans &amp; Atmosphere, Hobart, Tas 7001, Australia</t>
  </si>
  <si>
    <t>University of Tasmania; University of Tasmania; Commonwealth Scientific &amp; Industrial Research Organisation (CSIRO)</t>
  </si>
  <si>
    <t>Audzijonyte, A (corresponding author), Univ Tasmania, Inst Marine &amp; Antarctic Studies, Hobart, Tas 7001, Australia.</t>
  </si>
  <si>
    <t>asta.audzijonyte@utas.edu.au</t>
  </si>
  <si>
    <t>Audzijonyte, Asta/O-5598-2017</t>
  </si>
  <si>
    <t>Audzijonyte, Asta/0000-0002-9919-9376; Richards, Shane/0000-0002-9638-5827</t>
  </si>
  <si>
    <t>Kone Foundation; Australian Research Council [DP170104240]</t>
  </si>
  <si>
    <t>Kone Foundation; Australian Research Council(Australian Research Council)</t>
  </si>
  <si>
    <t>The authors would like to thank Andre de Roos, Ken Haste Andersen, Anssi Vainikka, editors Daniel I. Bolnick and Jurgen Groeneveld, and two anonymous reviewers for constructive comments on early versions of the manuscript. This study was supported by the Kone Foundation and Australian Research Council Discovery Grant DP170104240.</t>
  </si>
  <si>
    <t>UNIV CHICAGO PRESS</t>
  </si>
  <si>
    <t>CHICAGO</t>
  </si>
  <si>
    <t>1427 E 60TH ST, CHICAGO, IL 60637-2954 USA</t>
  </si>
  <si>
    <t>0003-0147</t>
  </si>
  <si>
    <t>1537-5323</t>
  </si>
  <si>
    <t>AM NAT</t>
  </si>
  <si>
    <t>Am. Nat.</t>
  </si>
  <si>
    <t>E150</t>
  </si>
  <si>
    <t>E162</t>
  </si>
  <si>
    <t>10.1086/698655</t>
  </si>
  <si>
    <t>GT1UW</t>
  </si>
  <si>
    <t>Green Accepted, Green Published</t>
  </si>
  <si>
    <t>WOS:000444262900002</t>
  </si>
  <si>
    <t>Hahn, C; Hans, M; Hein, C; Dennstedt, A; Mücklich, F; Rettberg, P; Hellweg, CE; Leichert, LI; Rensing, C; Moeller, R</t>
  </si>
  <si>
    <t>Hahn, Claudia; Hans, Michael; Hein, Christina; Dennstedt, Anne; Muecklich, Frank; Rettberg, Petra; Hellweg, Christine Elisabeth; Leichert, Lars Ingo; Rensing, Christopher; Moeller, Ralf</t>
  </si>
  <si>
    <t>Antimicrobial properties of ternary eutectic aluminum alloys</t>
  </si>
  <si>
    <t>BIOMETALS</t>
  </si>
  <si>
    <t>Antimicrobial surfaces; Copper/silver alloys; Aluminum; Contact killing; Escherichia coli; Copper release; CopA</t>
  </si>
  <si>
    <t>MULTICOPPER OXIDASE CUEO; INTENSIVE-CARE-UNIT; ESCHERICHIA-COLI; MOLECULAR-GENETICS; COPPER TOLERANCE; SILVER IONS; DNA-DAMAGE; SURFACES; BACTERIA; SYSTEM</t>
  </si>
  <si>
    <t>Several Escherichia coli deletion mutants of the Keio collection were selected for analysis to better understand which genes may play a key role in copper or silver homeostasis. Each of the selected E. coli mutants had a deletion of a single gene predicted to encode proteins for homologous recombination or contained functions directly linked to copper or silver transport or transformation. The survival of these strains on pure copper surfaces, stainless steel, and alloys of aluminum, copper and/or silver was investigated. When exposed to pure copper surfaces, E. coli Delta cueO was the most sensitive, whereas E. coli Delta copA was the most resistant amongst the different strains tested. However, we observed a different trend in sensitivities in E. coli strains upon exposure to alloys of the system Al-Ag-Cu. While minor antimicrobial effects were detected after exposure of E. coli Delta copA and E. coli Delta recA to Al-Ag alloys, no effect was detected after exposure to Al-Cu alloys. The release of copper ions and cell-associated copper ion concentrations were determined for E. coli Delta copA and the wild-type E. coli after exposure to pure copper surfaces. Altogether, compared to binary alloys, ternary eutectic alloys (Al-Ag-Cu) had the highest antimicrobial effect and thus, warrant further investigation.</t>
  </si>
  <si>
    <t>[Hahn, Claudia; Rettberg, Petra; Hellweg, Christine Elisabeth; Moeller, Ralf] Inst Aerosp Med, German Aerosp Ctr DLR eV, Radiat Biol Dept, Cologne, Germany; [Hans, Michael] Goodyear Dunlop Tires Operat SA, Colmar Berg, Luxembourg; [Hans, Michael; Muecklich, Frank] Saarland Univ, Funct Mat, Saarbrucken, Germany; [Hein, Christina] Saarland Univ, Inorgan Solid State Chem, Saarbrucken, Germany; [Dennstedt, Anne] Inst Mat Phys Space, German Aerosp Ctr DLR eV, Cologne, Germany; [Leichert, Lars Ingo] Ruhr Univ Bochum, Dept Microbial Biochem, Bochum, Germany; [Rensing, Christopher] Fujian Agr &amp; Forestry Univ, Coll Resources &amp; Environm, Fuzhou, Fujian, Peoples R China; [Moeller, Ralf] Inst Aerosp Med, German Aerosp Ctr DLR eV, Radiat Biol Dept, Space Microbiol Res Grp, D-51147 Cologne, Germany</t>
  </si>
  <si>
    <t>Helmholtz Association; German Aerospace Centre (DLR); Goodyear Tire &amp; Rubber Company; Saarland University; Saarland University; Helmholtz Association; German Aerospace Centre (DLR); Ruhr University Bochum; Fujian Agriculture &amp; Forestry University; Helmholtz Association; German Aerospace Centre (DLR)</t>
  </si>
  <si>
    <t>Moeller, R (corresponding author), Inst Aerosp Med, German Aerosp Ctr DLR eV, Radiat Biol Dept, Space Microbiol Res Grp, D-51147 Cologne, Germany.</t>
  </si>
  <si>
    <t>ralf.moeller@dlr.de</t>
  </si>
  <si>
    <t>Rensing, Christopher/D-3947-2011; Leichert, Lars I./B-4762-2009; Hellweg, Christine/J-5656-2019; Rettberg, Petra/AAI-4493-2021</t>
  </si>
  <si>
    <t>Rensing, Christopher/0000-0002-5012-7953; Leichert, Lars I./0000-0002-5666-9681; Hellweg, Christine/0000-0002-2223-3580; Rettberg, Petra/0000-0003-4439-2395</t>
  </si>
  <si>
    <t>Helmholtz Space Life Sciences Research School (SpaceLife), German Aerospace Center (DLR) Cologne, Germany - Helmholtz Association (Helmholtz-Gemeinschaft) [VH-KO-300]; DLR; Aerospace Executive Board; Institute of Aerospace Medicine; DLR grant DLR-FuE-Projekt ISS LIFE, Programm RF-FuW, Teilprogramm [475]; ESA [ESA-HSO-ESR-ILSRA-2014-054, ESA-AO-11-Concordia-022]</t>
  </si>
  <si>
    <t>Helmholtz Space Life Sciences Research School (SpaceLife), German Aerospace Center (DLR) Cologne, Germany - Helmholtz Association (Helmholtz-Gemeinschaft); DLR(Helmholtz AssociationGerman Aerospace Centre (DLR)); Aerospace Executive Board; Institute of Aerospace Medicine; DLR grant DLR-FuE-Projekt ISS LIFE, Programm RF-FuW, Teilprogramm; ESA(European Space Agency)</t>
  </si>
  <si>
    <t>Many thanks to R. Wirth, R. Rachel and H. Huber (Regensburg University, Germany) for their support. C. H. was supported by a scholarship of the Helmholtz Space Life Sciences Research School (SpaceLife), German Aerospace Center (DLR) Cologne, Germany, which was funded by the Helmholtz Association (Helmholtz-Gemeinschaft) over a period of 6 years (Grant No. VH-KO-300) and received additional funds from the DLR, including the Aerospace Executive Board and the Institute of Aerospace Medicine. C.H., P.R., C.E.H. and R.M. were supported by DLR grant DLR-FuE-Projekt ISS LIFE, Programm RF-FuW, Teilprogramm 475. R.M. contribution is part of the two ESA projects: BIOFILMS (New Operations towards Biofilm Inhibition On Flight equipment and on-board ISS using microbiologically Lethal Metal Surfaces; No. ESA-HSO-ESR-ILSRA-2014-054) and ANTI-BACS (Antimicrobial materials, surfaces and textiles on-board the Concordia Antarctic Research Station as a test-bed approach for the reduction of the microbial contamination on future human space missions; No. ESA-AO-11-Concordia-022). We express our gratitude to Nikea J. Ulrich for her critical reading of the manuscript. We greatly appreciate the reviewer's constructive comments to improve our manuscript.</t>
  </si>
  <si>
    <t>0966-0844</t>
  </si>
  <si>
    <t>1572-8773</t>
  </si>
  <si>
    <t>Biometals</t>
  </si>
  <si>
    <t>10.1007/s10534-018-0119-1</t>
  </si>
  <si>
    <t>Biochemistry &amp; Molecular Biology</t>
  </si>
  <si>
    <t>GT0OK</t>
  </si>
  <si>
    <t>WOS:000444144000006</t>
  </si>
  <si>
    <t>Tian, J; Ma, XL; Zhou, JH; Jiang, XY; Lyle, M; Shackford, J; Wilkens, R</t>
  </si>
  <si>
    <t>Tian, Jun; Ma, Xiaolin; Zhou, Jianhong; Jiang, Xiaoying; Lyle, Mitch; Shackford, Julia; Wilkens, Roy</t>
  </si>
  <si>
    <t>Paleoceanography of the east equatorial Pacific over the past 16 Myr and Pacific-Atlantic comparison: High resolution benthic foraminiferal δ18O and δ13C records at IODP Site U1337</t>
  </si>
  <si>
    <t>Neogene paleoceanography; benthic foraminiferal delta O-18 and delta C-13; Pliocene and Miocene glaciation; ocean carbon cycle; Atlantic-Pacific delta C-13 divergence; eccentricity forcing</t>
  </si>
  <si>
    <t>LATE MIOCENE; EARLY PLIOCENE; ASTRONOMICAL CALIBRATION; ISOTOPE STRATIGRAPHY; OCEAN; MIDDLE; CLIMATE; ISTHMUS; OXYGEN; TEMPERATURES</t>
  </si>
  <si>
    <t>We present astronomically tuned high resolution (similar to 3-4 Kyr) 15.8-Myr long benthic foraminiferal delta O-18 and delta C-13 records from IODP Site U1337 in the east equatorial Pacific, which provide a reference standard for stratigraphic correlation of deep sea sediments. A long-term glaciation history over the past 15.8 Myr has been recorded in the delta O-18. Two of the most significant glaciation events include the East Antarctic Ice Sheet expansion (EAIE) at 13.8 Ma and the final onset of the Northern Hemisphere Glaciation (NHG) in 3.3-2.5 Ma. A series of Miocene and Pliocene glaciation events exist between the EAIE and NHG, which are important glaciation attempts before the Earth finally entered the full icehouse world in the late Pleistocene. A long-term ocean carbon isotope decrease over the past 15.8 Myr has been recorded in the delta C-13. Ocean circulation change was the major cause of the ocean carbon isotope decrease in 9.4-8.1 Ma and 4-0 Ma, whereas strengthened continental chemical weathering controlled the long-term ocean carbon isotope decrease in most of the time of the past 15.8 Myr. The divergence in benthic foraminiferal delta C-13 and epsilon(Nd) provides strong evidence of significant ocean circulation change between 12.1 and 9.2 Ma which was probably related to the formation of the Isthmus of Panama. The internal feedbacks such as continental weathering and sea surface temperature change have great potential for modulating the weak 100 and 400 Kyr signals in astronomical forcing into strong 100 and 400 Kyr signals in global ice volume and carbon cycle. (C) 2018 Elsevier B.V. All rights reserved.</t>
  </si>
  <si>
    <t>[Tian, Jun; Ma, Xiaolin; Zhou, Jianhong; Jiang, Xiaoying] Tongji Univ, State Key Lab Marine Geol, Shanghai 200092, Peoples R China; [Lyle, Mitch] Oregon State Univ, Coll Earth Ocean &amp; Atmospher Sci, 104 CEOAS Admin Bldg, Corvallis, OR 97331 USA; [Shackford, Julia] Texas A&amp;M Univ, Dept Oceanog, College Stn, TX 77840 USA; [Wilkens, Roy] Univ Hawaii Manoa, Hawaii Inst Geophys &amp; Planetol, 1680 East West Rd, Honolulu, HI 96822 USA</t>
  </si>
  <si>
    <t>Tongji University; Oregon State University; Texas A&amp;M University System; Texas A&amp;M University College Station; University of Hawaii System; University of Hawaii Manoa</t>
  </si>
  <si>
    <t>Tian, J (corresponding author), Tongji Univ, State Key Lab Marine Geol, Shanghai 200092, Peoples R China.</t>
  </si>
  <si>
    <t>tianjun@tongji.edu.cn</t>
  </si>
  <si>
    <t>Ma, Xiaolin/0000-0002-5073-418X</t>
  </si>
  <si>
    <t>NSFC [41525020, 91428310, 41776051]; Shanghai Human Development Fund [201336]; Program of Shanghai Subject Chief Scientist (A type) [16XD1403000]</t>
  </si>
  <si>
    <t>NSFC(National Natural Science Foundation of China (NSFC)); Shanghai Human Development Fund; Program of Shanghai Subject Chief Scientist (A type)</t>
  </si>
  <si>
    <t>This research used samples provided by the Integrated Ocean Drilling Program (IODP). Funding for this research was provided by the NSFC (Grant Nos. 41525020, 91428310, 41776051), Shanghai Human Development Fund (201336), and Program of Shanghai Subject Chief Scientist (A type) (16XD1403000).</t>
  </si>
  <si>
    <t>10.1016/j.epsl.2018.07.025</t>
  </si>
  <si>
    <t>WOS:000444359800016</t>
  </si>
  <si>
    <t>Milos, B; Josef, H; Jana, M; Katerina, S; Alica, K</t>
  </si>
  <si>
    <t>Milos, Bartak; Josef, Hajek; Jana, Morkusova; Katerina, Skacelova; Alica, Kosuthova</t>
  </si>
  <si>
    <t>Dehydration-induced changes in spectral reflectance indices and chlorophyll fluorescence of Antarctic lichens with different thallus color, and intrathalline photobiont</t>
  </si>
  <si>
    <t>ACTA PHYSIOLOGIAE PLANTARUM</t>
  </si>
  <si>
    <t>Spectral indices; PRI; NDVI; Non-photochemical quenching; James Ross Island</t>
  </si>
  <si>
    <t>CYANOBACTERIUM NOSTOC-COMMUNE; LIGHT-USE EFFICIENCY; THERMAL-ENERGY DISSIPATION; UMBILICARIA-ANTARCTICA; GREEN-ALGAE; LEAF; PHOTOPROTECTION; PHOTOSYNTHESIS; CANOPY; STRESS</t>
  </si>
  <si>
    <t>In this study, we investigated responses of the Photochemical Reflectance Index (PRI), and Normalized Difference Vegetation Index (NDVI) to gradual dehydration of several Antarctic lichen species (chlorolichens: Xanthoria elegans, Rhizoplaca melanophthalma, Physconia muscigena, cyanolichen: Leptogium puberulum), and a Nostoc commune colony from fully wet to a dry state. The gradual loss of physiological activity during dehydration was evaluated by chlorophyll fluorescence parameters. The experimental lichen species differed in thallus color, and intrathalline photobiont. In the species that did not exhibit color change with desiccation (X. elegans), NDVI and PRI were more or less constant (mean of 0.25, -0.36, respectively) throughout a wide range of thallus hydration status showing a linear relation to relative water content (RWC). In contrast, the species with apparent species-specific color change during dehydration exhibited a curvilinear relation of NDVI and PRI to RWC. PRI decreased (R. melanophthalma, L. puberulum), increased (N. commune) or showed a polyphasic response (P. muscigena) with desiccation. Except for X. elegans, a curvilinear relation was found between the NDVI response to RWC in all species indicating the potential of combined ground research and remote sensing spectral data analyses in polar regions dominated by lichen flora. The chlorophyll fluorescence data recorded during dehydration (RWC decreased from 100 to 0%) revealed a polyphasic species-specific response of variable fluorescence measured at steady stateF(s), effective quantum yield of photosystem II (phi(PSII)), and non-photochemical quenching (qN). Full hydration caused an inhibition of phi(PSII) in N. commune while other species remained unaffected. The dehydration-dependent fall in phi(PSII) was species-specific, starting at an RWC range of 22-32%. Critical RWC for phi(PSII) was around 5-10%. Desiccation led to a species-specific polyphasic decrease in F-s and an increase in qN indicating the involvement of protective mechanisms in the chloroplastic apparatus of lichen photobionts and N. commune cells. In this study, the spectral reflectance and chlorophyll fluorescence data are discussed in relation to the potential of ecophysiological processes in Antarctic lichens, their resistance to desiccation and survival in Antarctic vegetation oases.</t>
  </si>
  <si>
    <t>[Milos, Bartak; Josef, Hajek; Jana, Morkusova; Katerina, Skacelova] Masaryk Univ, Lab Photosynthet Proc, Dept Expt Biol, Fac Sci, Univ Campus Bohunice,Kamenice 5, Brno 62500, Czech Republic; [Alica, Kosuthova] Masaryk Univ, Dept Bot &amp; Zool, Fac Sci, Univ Campus Bohunice,Kamenice 5, Brno 62500, Czech Republic</t>
  </si>
  <si>
    <t>Masaryk University Brno; Masaryk University Brno</t>
  </si>
  <si>
    <t>Josef, H (corresponding author), Masaryk Univ, Lab Photosynthet Proc, Dept Expt Biol, Fac Sci, Univ Campus Bohunice,Kamenice 5, Brno 62500, Czech Republic.</t>
  </si>
  <si>
    <t>jhajek@sci.muni.cz</t>
  </si>
  <si>
    <t>Barták, Miloš/F-4714-2019; Hájek, Josef/F-4694-2019; Kosuthova, Alica/HOH-9548-2023</t>
  </si>
  <si>
    <t>Hájek, Josef/0000-0002-2679-1707; Kosuthova, Alica/0000-0001-5991-7444; Bartak, Milos/0000-0002-3898-3626</t>
  </si>
  <si>
    <t>project CzechPolar-I [LM2010009]; project CzechPolar-II [LM2015078]; ECOPOLARIS project [CZ.02.1.01/0.0/0.0/16_013/0001708]</t>
  </si>
  <si>
    <t>project CzechPolar-I; project CzechPolar-II; ECOPOLARIS project</t>
  </si>
  <si>
    <t>The authors thank the projects CzechPolar-I, II (LM2010009 and LM2015078) for providing field facilities in Antarctica and the infrastructure for the research reported in this study. The authors thank also for the support from ECOPOLARIS project (CZ.02.1.01/0.0/0.0/16_013/0001708).</t>
  </si>
  <si>
    <t>0137-5881</t>
  </si>
  <si>
    <t>1861-1664</t>
  </si>
  <si>
    <t>ACTA PHYSIOL PLANT</t>
  </si>
  <si>
    <t>Acta Physiol. Plant.</t>
  </si>
  <si>
    <t>10.1007/s11738-018-2751-3</t>
  </si>
  <si>
    <t>GS9BQ</t>
  </si>
  <si>
    <t>WOS:000444010700001</t>
  </si>
  <si>
    <t>Bonnet-Lebrun, AS; Phillips, RA; Manica, A; Rodrigues, ASL</t>
  </si>
  <si>
    <t>Bonnet-Lebrun, A. -S.; Phillips, R. A.; Manica, A.; Rodrigues, A. S. L.</t>
  </si>
  <si>
    <t>Quantifying individual specialization using tracking data: a case study on two species of albatrosses</t>
  </si>
  <si>
    <t>MARINE PREDATOR; SITE FIDELITY; SOUTH GEORGIA; RESOURCE SPECIALIZATION; NONBREEDING ALBATROSSES; MIGRATION STRATEGIES; BREEDING PERFORMANCE; FORAGING STRATEGIES; BEHAVIOR; NICHE</t>
  </si>
  <si>
    <t>Many predictive models of spatial and temporal distribution (e.g. in response to climate change or species introductions) assume that species have one environmental niche that applies to all individuals. However, there is growing evidence that individuals can have environmental preferences that are narrower than the species niche. Such individual specialization has mainly been studied in terms of dietary niches, but a recent increase in the availability of individual movement data opens the possibility of extending these analyses to specialisation in environmental preferences. Yet, no study to date on individual specialisation has considered the environmental niche in its multidimensionality. Here we propose a new method for quantifying individual specialisation in multiple dimensions simultaneously. We compare the hypervolumes in n-dimensional environmental niche space of each individual against that of the population, testing for significant differences against a null model. The same method can be applied to a 2-dimensional geographic space to test for site fidelity. We applied this method to test for individual environmental specialisation (across three dimensions: sea surface temperature, eddy kinetic energy, depth) and for site fidelity among satellite-tracked black-browed albatrosses (Thalassarche melanophris) and grey-headed albatrosses (Thalassarche chrysostoma), during chick-rearing at South Georgia. We found evidence for site fidelity in both species and of environmental specialisation among individual grey-headed but not black-browed albatrosses. Specialisation can affect the resilience of populations affected by natural and anthropogenic changes in the environment, and hence has implications for population dynamics and conservation.</t>
  </si>
  <si>
    <t>[Bonnet-Lebrun, A. -S.; Manica, A.] Univ Cambridge, Dept Zool, Downing St, Cambridge CB2 3EJ, England; [Bonnet-Lebrun, A. -S.; Rodrigues, A. S. L.] Univ Paul Valery Montpellier, EPHE, Univ Montpellier, CEFE,UMR 5175,CNRS, F-34293 Montpellier, France; [Phillips, R. A.] British Antarctic Survey, Nat Environm Res Council, Madingley Rd, Cambridge CB3 0ET, England</t>
  </si>
  <si>
    <t>University of Cambridge; 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UK Research &amp; Innovation (UKRI); Natural Environment Research Council (NERC); NERC British Antarctic Survey</t>
  </si>
  <si>
    <t>Bonnet-Lebrun, AS (corresponding author), Univ Cambridge, Dept Zool, Downing St, Cambridge CB2 3EJ, England.;Bonnet-Lebrun, AS (corresponding author), Univ Paul Valery Montpellier, EPHE, Univ Montpellier, CEFE,UMR 5175,CNRS, F-34293 Montpellier, France.</t>
  </si>
  <si>
    <t>anne-sophie.bonnet-lebrun@normale.fr</t>
  </si>
  <si>
    <t>Rodrigues, Ana/GYQ-6273-2022; Manica, Andrea/N-9013-2019; Rodrigues, Ana S.L./A-5914-2009; Manica, Andrea/B-5497-2008; Bonnet-Lebrun, Anne-Sophie/GYU-2977-2022</t>
  </si>
  <si>
    <t>Manica, Andrea/0000-0003-1895-450X; Rodrigues, Ana S.L./0000-0003-4775-0127; Bonnet-Lebrun, Anne-Sophie/0000-0002-7587-615X</t>
  </si>
  <si>
    <t>St John's College (Cambridge, UK); NERC [bas0100035] Funding Source: UKRI</t>
  </si>
  <si>
    <t>St John's College (Cambridge, UK); NERC(UK Research &amp; Innovation (UKRI)Natural Environment Research Council (NERC))</t>
  </si>
  <si>
    <t>This study was done as part of Anne-Sophie Bonnet-Lebrun's PhD thesis, which was funded by St John's College (Cambridge, UK) through a Benefactors' scholarship.</t>
  </si>
  <si>
    <t>10.1007/s00227-018-3408-x</t>
  </si>
  <si>
    <t>GS8ZJ</t>
  </si>
  <si>
    <t>Green Accepted, Green Published, hybrid</t>
  </si>
  <si>
    <t>WOS:000444003900001</t>
  </si>
  <si>
    <t>Saleh, R; Burri, L; Benitez-Santana, T; Turkmen, S; Castro, P; Izquierdo, M</t>
  </si>
  <si>
    <t>Saleh, Reda; Burri, Lena; Benitez-Santana, Tibiabin; Turkmen, Serhat; Castro, Pedro; Izquierdo, Marisol</t>
  </si>
  <si>
    <t>Dietary krill meal inclusion contributes to better growth performance of gilthead seabream juveniles</t>
  </si>
  <si>
    <t>AQUACULTURE RESEARCH</t>
  </si>
  <si>
    <t>fishmeal replacement; growth performance; krill meal; seabream juvenile</t>
  </si>
  <si>
    <t>HALIBUT HIPPOGLOSSUS-HIPPOGLOSSUS; TROUT ONCORHYNCHUS-MYKISS; BASS MICROPTERUS-SALMOIDES; EUPHAUSIA-SUPERBA MEAL; FREEZE-DRIED KRILL; FISH-MEAL; RAINBOW-TROUT; ATLANTIC SALMON; SPARUS-AURATA; DICENTRARCHUS-LABRAX</t>
  </si>
  <si>
    <t>There is a need to find sustainable alternatives to fishmeal (FM) and fish oil (FO) in feed formulations to support the continued growth of aquaculture. FM is mostly produced from mass-caught pelagic species, but the production has been relatively constant for several decades. The aim of this study was to investigate the potential of dietary krill meal (KM) inclusion as a sustainable alternative to FM. In view of that, a feeding trial with gilthead seabream juveniles was conducted to evaluate whether dietary KM at 3%, 6% and 9% inclusion improves growth performance in comparison with a control diet. At the end of the study, fish in the 9% KM group showed significantly higher body weight (32.76 g) compared with fish fed the control diet (30.30 g). Moreover, FM replacement by 9% KM indicated a reduction in the accumulation of lipid droplets in the hepatocytes and around the pancreatic islets. In summary, this study suggests that FM can be reduced in diets for seabream without negatively affecting growth performance, when KM is added. On the contrary, KM enhances gilthead seabream growth and reduces lipid accumulation and damage of hepatocytes, which will open an interesting innovation line to completely replace FM by alternative terrestrial protein sources and the partial inclusion of KM.</t>
  </si>
  <si>
    <t>[Saleh, Reda; Turkmen, Serhat; Castro, Pedro; Izquierdo, Marisol] Univ Las Palmas Gran Canaria, Inst Sustainable Aquaculture &amp; Marine Ecosyst ECO, Aquaculture Res Grp GIA, Telde, Spain; [Saleh, Reda] Alexandria Univ, Fac Sci, Oceanog Dept, Alexandria, Egypt; [Burri, Lena; Benitez-Santana, Tibiabin] Aker BioMarine Antarctic AS, Oksenoyveien 10, NO-13327 Lysaker, Norway</t>
  </si>
  <si>
    <t>Universidad de Las Palmas de Gran Canaria; Egyptian Knowledge Bank (EKB); Alexandria University</t>
  </si>
  <si>
    <t>Burri, L (corresponding author), Aker BioMarine Antarctic AS, Oksenoyveien 10, NO-13327 Lysaker, Norway.</t>
  </si>
  <si>
    <t>lena.burri@akerbiomarine.com</t>
  </si>
  <si>
    <t>Turkmen, Serhat/I-7735-2019; Castro, Pedro Luis/ABF-6635-2021</t>
  </si>
  <si>
    <t>Turkmen, Serhat/0000-0003-0410-9161; Castro, Pedro Luis/0000-0002-0395-899X; Izquierdo, Marisol/0000-0003-3583-6660; saleh, reda/0000-0003-3598-1825; Marisol, Izquierdo/0000-0003-4297-210X</t>
  </si>
  <si>
    <t>1355-557X</t>
  </si>
  <si>
    <t>1365-2109</t>
  </si>
  <si>
    <t>AQUAC RES</t>
  </si>
  <si>
    <t>Aquac. Res.</t>
  </si>
  <si>
    <t>10.1111/are.13792</t>
  </si>
  <si>
    <t>Fisheries</t>
  </si>
  <si>
    <t>GS3TO</t>
  </si>
  <si>
    <t>WOS:000443545100005</t>
  </si>
  <si>
    <t>Klockmann, M; Mikolajewicz, U; Marotzke, J</t>
  </si>
  <si>
    <t>Klockmann, Marlene; Mikolajewicz, Uwe; Marotzke, Jochem</t>
  </si>
  <si>
    <t>Two AMOC States in Response to Decreasing Greenhouse Gas Concentrations in the Coupled Climate Model MPI-ESM</t>
  </si>
  <si>
    <t>MERIDIONAL OVERTURNING CIRCULATION; LAST GLACIAL MAXIMUM; ANTARCTIC SEA-ICE; THERMOHALINE CIRCULATION; OCEAN CIRCULATION; NORTH-ATLANTIC; VARIABILITY; CO2; SYSTEM; SHEETS</t>
  </si>
  <si>
    <t>This study analyzes the response of the Atlantic meridional overturning circulation (AMOC) to different CO2 concentrations and two ice sheet configurations in simulations with the coupled climate model MPI-ESM. With preindustrial (PI) ice sheets, there are two different AMOC states within the studied CO2 range: one state with a strong and deep upper overturning cell at high CO2 concentrations and one state with a weak and shallow upper cell at low CO2 concentrations. Changes in AMOC variability with decreasing CO2 indicate two stability thresholds. The strong state is stable above the first threshold near 217 ppm, and the weak state is stable below the second threshold near 190 ppm. Between the two thresholds, both states are marginally unstable, and the AMOC oscillates between them on millennial time scales. The weak AMOC state is stable when Antarctic Bottom Water becomes dense and salty enough to replace North Atlantic Deep Water (NADW) in the deep North Atlantic and when the density gain over the North Atlantic becomes too weak to sustain continuous NADW formation. With Last Glacial Maximum (LGM) ice sheets, the density gain over the North Atlantic and the northward salt transport are enhanced with respect to the PI ice sheet case. This enables active NADW formation and a strong AMOC for the entire range of studied CO2 concentrations. The AMOC variability indicates that the simulated AMOC is far away from a stability threshold with LGM ice sheets. The nonlinear relationship among AMOC, CO2, and prescribed ice sheets provides an explanation for the large intermodel spread of AMOC states found in previous coupled LGM simulations.</t>
  </si>
  <si>
    <t>[Klockmann, Marlene; Mikolajewicz, Uwe; Marotzke, Jochem] Max Planck Inst Meteorol, Hamburg, Germany</t>
  </si>
  <si>
    <t>Max Planck Society</t>
  </si>
  <si>
    <t>Klockmann, M (corresponding author), Max Planck Inst Meteorol, Hamburg, Germany.</t>
  </si>
  <si>
    <t>marlene.klockmann@hzg.de</t>
  </si>
  <si>
    <t>Klockmann, Marlene/0000-0003-1012-830X</t>
  </si>
  <si>
    <t>International Max Planck Research School on Earth System Modelling</t>
  </si>
  <si>
    <t>The authors thank Chao Li and three anonymous reviewers for their helpful comments. This study was part of the Ph.D. thesis of M.K. (Klockmann 2017) and was funded by the International Max Planck Research School on Earth System Modelling. This study is a contribution to the BMBF project PalMod. All simulations were performed on the super-computers of the Deutsches Klimarechenzentrum (DKRZ). The code of MPI-ESM is available at http://www.mpimet.mpg.de/en/science/models/mpi-esm.html. The scripts for analysis and processing can be obtained at http://hdl.handle.net/11858/00-001M-0000-002E-9BE0-9. Selected model output can be obtained from the CERA database at https://cera-www.dkrz.de/WDCC/ui/cerasearch/entry?acronym=DKRZ_LTA_033_ds00002. Additional model output can be requested directly from M.K.</t>
  </si>
  <si>
    <t>10.1175/JCLI-D-17-0859.1</t>
  </si>
  <si>
    <t>GR4HP</t>
  </si>
  <si>
    <t>Green Submitted, Bronze, Green Accepted</t>
  </si>
  <si>
    <t>WOS:000442564100002</t>
  </si>
  <si>
    <t>Amrhein, DE; Wunsch, C; Marchal, O; Forget, G</t>
  </si>
  <si>
    <t>Amrhein, Daniel E.; Wunsch, Carl; Marchal, Olivier; Forget, Gael</t>
  </si>
  <si>
    <t>A Global Glacial Ocean State Estimate Constrained by Upper-Ocean Temperature Proxies</t>
  </si>
  <si>
    <t>GENERAL-CIRCULATION MODEL; ANTARCTIC SEA-ICE; NORTH-ATLANTIC; SOUTHERN-OCEAN; DEEP-OCEAN; MAXIMUM; WATER; SIMULATIONS; SURFACE; RECONSTRUCTION</t>
  </si>
  <si>
    <t>We use the method of least squares with Lagrange multipliers to fit an ocean general circulation model to the Multiproxy Approach for the Reconstruction of the Glacial Ocean Surface (MARGO) estimate of near sea surface temperature (NSST) at the Last Glacial Maximum (LGM; circa 23-19 thousand years ago). Compared to a modern simulation, the resulting global, last-glacial ocean state estimate, which fits the MARGO data within uncertainties in a free-running coupled ocean-sea ice simulation, has global-mean NSSTs that are 2 degrees C lower and greater sea ice extent in all seasons in both the Northern and Southern Hemispheres. Increased brine rejection by sea ice formation in the Southern Ocean contributes to a stronger abyssal stratification set principally by salinity, qualitatively consistent with pore fluid measurements. The upper cell of the glacial Atlantic overturning circulation is deeper and stronger. Dye release experiments show similar distributions of Southern Ocean source waters in the glacial and modern western Atlantic, suggesting that LGM NSST data do not require a major reorganization of abyssal water masses. Outstanding challenges in reconstructing LGM ocean conditions include reducing effects from model biases and finding computationally efficient ways to incorporate abyssal tracers in global circulation inversions. Progress will be aided by the development of coupled ocean-atmosphere-ice inverse models, by improving high-latitude model processes that connect the upper and abyssal oceans, and by the collection of additional paleoclimate observations.</t>
  </si>
  <si>
    <t>[Amrhein, Daniel E.] Massachusetts Inst Technol Woods Hole Oceanog Ins, Cambridge, MA 02139 USA; [Wunsch, Carl] Harvard Univ, Cambridge, MA 02138 USA; [Marchal, Olivier] Woods Hole Oceanog Inst, Woods Hole, MA 02543 USA; [Forget, Gael] MIT, 77 Massachusetts Ave, Cambridge, MA 02139 USA; [Amrhein, Daniel E.] Univ Washington, Sch Oceanog, Seattle, WA 98195 USA; [Amrhein, Daniel E.] Univ Washington, Dept Atmospher Sci, Seattle, WA 98195 USA</t>
  </si>
  <si>
    <t>Harvard University; Woods Hole Oceanographic Institution; Massachusetts Institute of Technology (MIT); University of Washington; University of Washington Seattle; University of Washington; University of Washington Seattle</t>
  </si>
  <si>
    <t>Amrhein, DE (corresponding author), Massachusetts Inst Technol Woods Hole Oceanog Ins, Cambridge, MA 02139 USA.;Amrhein, DE (corresponding author), Univ Washington, Sch Oceanog, Seattle, WA 98195 USA.;Amrhein, DE (corresponding author), Univ Washington, Dept Atmospher Sci, Seattle, WA 98195 USA.</t>
  </si>
  <si>
    <t>amrhein@uw.edu</t>
  </si>
  <si>
    <t>Amrhein, Daniel/0000-0002-8442-1528</t>
  </si>
  <si>
    <t>NSF Graduate Research Fellowship; NSF [OCE-1060735]; NSF; NASA [1553749]; Simons Foundation [549931]</t>
  </si>
  <si>
    <t>NSF Graduate Research Fellowship(National Science Foundation (NSF)); NSF(National Science Foundation (NSF)); NSF(National Science Foundation (NSF)); NASA(National Aeronautics &amp; Space Administration (NASA)); Simons Foundation</t>
  </si>
  <si>
    <t>The authors acknowledge Patrick Heimbach, Raffaele Ferrari, Mick Follows, David McGee, and LuAnne Thompson for helpful comments on earlier versions of the work, as well as thoughtful comments from three reviewers that improved the manuscript. An Nguyen, Jeff Scott, and Jean-Michel Campin provided important assistance with the MITgcm adjoint. Computing time was provided by NASA Advanced Supercomputing and Ames Research Center. DEA was supported by a NSF Graduate Research Fellowship and NSF Grant OCE-1060735. OM acknowledges support from the NSF. GF was supported by NASA Award 1553749 and Simons Foundation Award 549931. The adjoint model was generated using TAF (Giering and Kaminski 1998). Output from the state estimate is available by contacting the corresponding author.</t>
  </si>
  <si>
    <t>10.1175/JCLI-D-17-0769.1</t>
  </si>
  <si>
    <t>GR7CP</t>
  </si>
  <si>
    <t>Bronze, Green Submitted</t>
  </si>
  <si>
    <t>WOS:000442845400001</t>
  </si>
  <si>
    <t>Yao, YB; Liu, L; Kong, J; Zhai, CZ</t>
  </si>
  <si>
    <t>Yao, Yibin; Liu, Lei; Kong, Jian; Zhai, Changzhi</t>
  </si>
  <si>
    <t>Global ionospheric modeling based on multi-GNSS, satellite altimetry, and Formosat-3/COSMIC data</t>
  </si>
  <si>
    <t>Global ionospheric maps (GIM); Total electron content (TEC); Multi-GNSS; Satellite altimetry; Formosat-3/COSMIC (F3/C) occultation</t>
  </si>
  <si>
    <t>DIFFERENTIAL CODE BIASES; MAPS; BEIDOU; VTEC; DELAY</t>
  </si>
  <si>
    <t>Ionosphere total electron content (TEC) from global ionospheric maps (GIM) is widely applied in both ionospheric delay correction and research on space weather monitoring. Global ionospheric modeling based on multisource data is an effective method to improve conventional GIM accuracy and reliability. In this study, a global ionospheric model is constructed from multi-GNSS (here, GPS/GLONASS/BDS), satellite altimetry and Formosat-3/COSMIC (F3/C) observations using a spherical harmonic (SH) function. The results show that compared to the conventional GIM derived from GPS/GLONASS data, the combined GIM performance from multisource data improves significantly; the RMS versus external data decreases from [2, 5] to [2, 3] TECU, and the BIAS decreases from [- 3, 1] to [- 1, 1] TECU. Specifically, BDS observations improve the IPP distributions, especially over the region of Australia; compared with GPS-based ionospheric TEC. Our calculated GIM with BDS data has better performance than that without BDS data. By combining JASON 2 and GPS/GLONASS data, the residual distribution is more concentrated, and the RMS is improved effectively in mid-high latitudes of the southern hemisphere and in the equatorial region. F3/C TEC also exhibits relatively minor improvements on GIM; the standard deviation reduces from 2.89 to 1.92 TECU, and the BIAS regarding extra F3/C data decreases from - 2.02 to - 1.71 TECU.</t>
  </si>
  <si>
    <t>[Yao, Yibin; Liu, Lei; Zhai, Changzhi] Wuhan Univ, Sch Geodesy &amp; Geomat, Wuhan, Hubei, Peoples R China; [Yao, Yibin] Wuhan Univ, Key Lab Geospace Environm &amp; Geodesy, Minist Educ, Wuhan, Hubei, Peoples R China; [Yao, Yibin] Collaborat Innovat Ctr Geospatial Technol, Wuhan, Hubei, Peoples R China; [Kong, Jian] Wuhan Univ, Chinese Antarctic Ctr Surveying &amp; Mapping, Wuhan, Hubei, Peoples R China</t>
  </si>
  <si>
    <t>Wuhan University; Wuhan University; Wuhan University</t>
  </si>
  <si>
    <t>Yao, YB; Liu, L (corresponding author), Wuhan Univ, Sch Geodesy &amp; Geomat, Wuhan, Hubei, Peoples R China.;Yao, YB (corresponding author), Wuhan Univ, Key Lab Geospace Environm &amp; Geodesy, Minist Educ, Wuhan, Hubei, Peoples R China.;Yao, YB (corresponding author), Collaborat Innovat Ctr Geospatial Technol, Wuhan, Hubei, Peoples R China.</t>
  </si>
  <si>
    <t>ybyao@whu.edu.cn; leiliu@whu.edu.cn</t>
  </si>
  <si>
    <t>Yao, Yibin/AAM-9653-2020; Lei, Liu/I-3503-2018; lei, liu/HTR-5486-2023; Zhai, Changzhi/JQW-2878-2023</t>
  </si>
  <si>
    <t>Yao, Yibin/0000-0002-7723-4601; Lei, Liu/0000-0002-1040-6026;</t>
  </si>
  <si>
    <t>National Key Research and Development Program of China [2016YFB0501803]; National Natural Science Foundation of China [41574028]; Natural Science Foundation for Distinguished Young Scholars of Hubei Province of China [2015CFA036]</t>
  </si>
  <si>
    <t>National Key Research and Development Program of China; National Natural Science Foundation of China(National Natural Science Foundation of China (NSFC)); Natural Science Foundation for Distinguished Young Scholars of Hubei Province of China</t>
  </si>
  <si>
    <t>This work was supported by the National Key Research and Development Program of China (No. 2016YFB0501803), the National Natural Science Foundation of China (No. 41574028), and the Natural Science Foundation for Distinguished Young Scholars of Hubei Province of China (No. 2015CFA036). The authors gratefully acknowledge the CDDIS for GNSS observations, NOAA for satellite altimetry data, and CDAAC for F3/C ionPrf products.</t>
  </si>
  <si>
    <t>10.1007/s10291-018-0770-6</t>
  </si>
  <si>
    <t>GO8IM</t>
  </si>
  <si>
    <t>WOS:000440331300001</t>
  </si>
  <si>
    <t>O'Driscoll, RL; Canese, S; Ladroit, Y; Parker, SJ; Ghigliotti, L; Mormede, S; Vacchi, M</t>
  </si>
  <si>
    <t>O'Driscoll, Richard L.; Canese, Simonepietro; Ladroit, Yoann; Parker, Steve J.; Ghigliotti, Laura; Mormede, Sophie; Vacchi, Marino</t>
  </si>
  <si>
    <t>First in situ estimates of acoustic target strength of Antarctic toothfish (Dissostichus mawsoni)</t>
  </si>
  <si>
    <t>FISHERIES RESEARCH</t>
  </si>
  <si>
    <t>Echo surveys; Fisheries acoustics; Ross Sea; Antarctica; Marine protected area</t>
  </si>
  <si>
    <t>ROSS SEA REGION</t>
  </si>
  <si>
    <t>Antarctic toothfish (Dissostichus mawsoni) is a large nototheniid endemic in Antarctic waters. They are a top predator, and an important commercially fished species with a circumpolar distribution mostly south of the Antarctic convergence. Fisheries acoustics is a potential tool to estimate toothfish abundance and distribution, but previous studies have been limited by lack of information on the acoustic target strength (TS). In this paper we present the first in situ estimates of TS for Antarctic toothfish. Data were collected by deploying acoustic equipment through the sea ice in conjunction with vertical line fishing and baited underwater video (BUV) observations. Estimated mean TS from 250 tracked single targets detected in situ in Terra Nova Bay was -37.8 dB re 1 m(2) (95% confidence interval -38.2 to -37.5 dB). Estimates of toothfish length from BUV images of 42 individuals ranged from 92 to 201 cm total length (TL) with mean length 134 cm. Estimates from 15 Antarctic toothfish (104-153 cm TL, average 131 cm) captured using vertical lines in McMurdo Sound gave a lower mean TS of -40.2 dB (range of individual fish means - 38.3 to -43.7 dB). Although estimates from hooked fish have a number of potential biases, due to unnatural orientation and acoustic interference from fishing gear and adjacent hooked fish, these results supported the conclusion from our in situ estimates that toothfish have higher TS than previously thought. In situ acoustic observations showed most toothfish within 100 m of the seabed.</t>
  </si>
  <si>
    <t>[O'Driscoll, Richard L.; Ladroit, Yoann; Mormede, Sophie] Natl Inst Water &amp; Atmospher Res Ltd, Private Bag 14-901 Kilbirnie, Wellington 6241, New Zealand; [Canese, Simonepietro] Ist Super Ric &amp; Protez Ambientale ISPRA, Via Vitaliano Brancati 48, I-00144 Rome, Italy; [Parker, Steve J.] Natl Inst Water &amp; Atmospher Res Ltd, POB 893, Nelson, New Zealand; [Ghigliotti, Laura; Vacchi, Marino] Natl Res Council Italy CNR, Inst Marine Sci, Via De Marini 6, I-16149 Genoa, Italy</t>
  </si>
  <si>
    <t>National Institute of Water &amp; Atmospheric Research (NIWA) - New Zealand; Italian Institute for Environmental Protection &amp; Research (ISPRA); National Institute of Water &amp; Atmospheric Research (NIWA) - New Zealand; Consiglio Nazionale delle Ricerche (CNR); Istituto di Scienze Marine (ISMAR-CNR)</t>
  </si>
  <si>
    <t>O'Driscoll, RL (corresponding author), Natl Inst Water &amp; Atmospher Res Ltd, Private Bag 14-901 Kilbirnie, Wellington 6241, New Zealand.</t>
  </si>
  <si>
    <t>richard.odriscoll@niwa.co.nz</t>
  </si>
  <si>
    <t>Canese, Simonepietro/AAA-5499-2019; Ghigliotti, Laura/J-3076-2012; Ghigliotti, Laura/AAN-6843-2021</t>
  </si>
  <si>
    <t>Canese, Simonepietro/0000-0001-6049-4506; Ghigliotti, Laura/0000-0003-2139-1381; Mormede, Sophie/0000-0003-4668-2046; ladroit, Yoann/0000-0002-5723-9501</t>
  </si>
  <si>
    <t>NIWA, Antarctica New Zealand [K086]; New Zealand Ministry for Business, Innovation and Employment [CO1X1710]; New Zealand Ministry for Primary Industries [ANT2016/01]; Italian National Programme of Antarctic Research [PNRA16_00198]</t>
  </si>
  <si>
    <t>NIWA, Antarctica New Zealand; New Zealand Ministry for Business, Innovation and Employment(New Zealand Ministry of Business, Innovation and Employment (MBIE)); New Zealand Ministry for Primary Industries; Italian National Programme of Antarctic Research</t>
  </si>
  <si>
    <t>We thank staff at Antarctica New Zealand, Scott Base, and Mario Zucchelli Station for logistical support. This research was supported by NIWA, Antarctica New Zealand [event K086], the New Zealand Ministry for Business, Innovation and Employment [project CO1X1710], the New Zealand Ministry for Primary Industries [project ANT2016/01], and the Italian National Programme of Antarctic Research [project PNRA16_00198]. The paper was improved following comments from two anonymous reviewers.</t>
  </si>
  <si>
    <t>0165-7836</t>
  </si>
  <si>
    <t>1872-6763</t>
  </si>
  <si>
    <t>FISH RES</t>
  </si>
  <si>
    <t>Fish Res.</t>
  </si>
  <si>
    <t>10.1016/j.fishres.2018.05.008</t>
  </si>
  <si>
    <t>GM3LC</t>
  </si>
  <si>
    <t>WOS:000438005100008</t>
  </si>
  <si>
    <t>Hermans, THJ; van der Wal, W; Broerse, T</t>
  </si>
  <si>
    <t>Hermans, T. H. J.; van der Wal, W.; Broerse, T.</t>
  </si>
  <si>
    <t>Reversal of the Direction of Horizontal Velocities Induced by GIA as a Function of Mantle Viscosity</t>
  </si>
  <si>
    <t>GEOPHYSICAL RESEARCH LETTERS</t>
  </si>
  <si>
    <t>horizontal velocities; mantle viscosity; reversed direction; glacial isostatic adjustment</t>
  </si>
  <si>
    <t>GLACIAL ISOSTATIC-ADJUSTMENT; ANTARCTIC PLATE; SEA LEVELS; EARTH; LEVEL; MODEL; DEFORMATIONS; RHEOLOGY; MOTIONS; SURFACE</t>
  </si>
  <si>
    <t>In regions undergoing glacial isostatic adjustment present-day horizontal surface motion is observed to point mostly, but not always, away from the former ice load. To interpret these observations, we investigate the direction of horizontal velocities using glacial isostatic adjustment models. The direction is controlled by the opposing actions of inward mantle flow and outward lithosphere motion. In contrast with the prevailing idea that glacial isostatic adjustment-induced horizontal velocities point outward, we show that velocities can be either outward or inward. Immediately after deglaciation velocities point inward but change direction to outward after a time that is controlled by mantle viscosity. Present-day horizontal velocities point outward for a uniform mantle viscosity below 1020 Pa s and inward for above 1022 Pa s, with a combination of outward and inward in between. Our results help to interpret GPS-observed horizontal velocities in areas with varying mantle viscosity. Plain Language Summary The rebound of the Earth following the disappearance of large ice sheets leads to vertical and horizontal movements of the Earth's surface that can be observed with GPS. To explain GPS observations of postglacial rebound with models, it is important to understand how deformation rates depend on the internal structure of the Earth. Here we investigate how the direction of horizontal velocities depends on the viscosity of the mantle using numerical models. The horizontal velocities result from the opposite movements of different layers inside of the Earth. After melting velocities initially point toward the previously glaciated area, but their direction changes after a time that depends on mantle viscosity. Present-day horizontal velocities at the surface point toward the former ice load for a relatively high mantle viscosity, and point away from the former ice load for relatively low viscosities. Our results show that the direction of horizontal velocities derived from GPS observations can provide important information about the Earth's interior.</t>
  </si>
  <si>
    <t>[Hermans, T. H. J.] NIOZ Royal Netherlands Inst Sea Res, Dept Estuarine &amp; Delta Syst, Yerseke, Netherlands; [Hermans, T. H. J.] Univ Utrecht, Yerseke, Netherlands; [Hermans, T. H. J.; van der Wal, W.] Delft Univ Technol, Fac Aerosp Engn, Delft, Netherlands; [van der Wal, W.; Broerse, T.] Delft Univ Technol, Dept Geosci &amp; Remote Sensing, Delft, Netherlands; [Broerse, T.] Univ Utrecht, Fac Geosci, Tectonophys Grp, Utrecht, Netherlands</t>
  </si>
  <si>
    <t>Utrecht University; Royal Netherlands Institute for Sea Research (NIOZ); Utrecht University; Delft University of Technology; Delft University of Technology; Utrecht University</t>
  </si>
  <si>
    <t>Hermans, THJ (corresponding author), NIOZ Royal Netherlands Inst Sea Res, Dept Estuarine &amp; Delta Syst, Yerseke, Netherlands.;Hermans, THJ (corresponding author), Univ Utrecht, Yerseke, Netherlands.;Hermans, THJ (corresponding author), Delft Univ Technol, Fac Aerosp Engn, Delft, Netherlands.</t>
  </si>
  <si>
    <t>tim.hermans@nioz.nl</t>
  </si>
  <si>
    <t>Broerse, Taco/0000-0002-3235-0844; van der Wal, Wouter/0000-0001-8030-9080; Hermans, Tim/0000-0002-0253-9291</t>
  </si>
  <si>
    <t>NIOZ; Utrecht University; TU Delft; ISES; ESA project GOCE+ Antarctica</t>
  </si>
  <si>
    <t>T.H.J.H. was funded by NIOZ and Utrecht University, W.W. by TU Delft, and T.B. by ISES. This study is supported by the ESA project GOCE+ Antarctica and contributes to the SCAR SERCE program. No real or perceived financial conflicts of interests were identified. The data used for this article accompany the supporting information. We would like to thank Volker Klemann and an anonymous reviewer for their constructive reviews. We acknowledge Stephanie Sherman, Pippa Whitehouse, Riccardo Riva, and Bert Vermeersen for their useful inputs to this work.</t>
  </si>
  <si>
    <t>0094-8276</t>
  </si>
  <si>
    <t>1944-8007</t>
  </si>
  <si>
    <t>GEOPHYS RES LETT</t>
  </si>
  <si>
    <t>Geophys. Res. Lett.</t>
  </si>
  <si>
    <t>SEP 28</t>
  </si>
  <si>
    <t>10.1029/2018GL078533</t>
  </si>
  <si>
    <t>GX5DG</t>
  </si>
  <si>
    <t>WOS:000447761300030</t>
  </si>
  <si>
    <t>Pauthenet, E; Roquet, F; Madec, G; Guinet, C; Hindell, M; McMahon, CR; Harcourt, R; Nerini, D</t>
  </si>
  <si>
    <t>Pauthenet, E.; Roquet, F.; Madec, G.; Guinet, C.; Hindell, M.; McMahon, C. R.; Harcourt, R.; Nerini, D.</t>
  </si>
  <si>
    <t>Seasonal Meandering of the Polar Front Upstream of the Kerguelen Plateau</t>
  </si>
  <si>
    <t>Antarctic Polar Front; Kerguelen Plateau; Southern Indian Ocean; Southern Ocean fronts; functional principal component analysis</t>
  </si>
  <si>
    <t>SOUTHERN; VARIABILITY; CIRCULATION; ISLANDS</t>
  </si>
  <si>
    <t>The location of the Antarctic Polar Front (PF) is mapped in the Southern Indian Ocean by decomposing the shape of temperature and salinity profiles into vertical modes using a functional Principal Component Analysis. We define the PF as the northernmost minimum of temperature at the subsurface and represent it as a linear combination of the first three modes. This method is applied on an ocean reanalysis data set and on in situ observations, revealing a seasonal variability of the PF latitudinal position that is most pronounced between the Conrad Rise and the Kerguelen Plateau. This shift coincides with variations in the transport across the Northern Kerguelen Plateau. We suggest that seasonal changes of the upper stratification may drive the observed variability of the PF, with potentially large implications for the pathways and residence time of water masses over the plateau and the phytoplankton bloom extending southeast of the Kerguelen Islands. Plain Language Summary The Antarctic Polar Front (PF) is a water mass boundary that flows around Antarctica between approximately 48 degrees S and 56 degrees S in the Southern Indian Ocean. The position of the PF in space and time is important to understand the oceanic circulation, the heat and salt exchanges, and also marine ecosystems. In the Indian sector the PF has to cross the Kerguelen Plateau, a major bottom topography feature. The present study develops and then applies a novel method for mapping the PF taking into account the whole hydrographic structure in the upper 300 m of the ocean. We are able to map the PF position and find that it presents large seasonal variations that are more intense just west of the Kerguelen Plateau. Between the Conrad Rise and the Kerguelen Plateau, the PF is essentially zonally orientated in September and found farther south by up to 4 degrees latitude in March. Shifts in the PF position are shown to correlate with a seasonal variation in volume transport between Kerguelen and Heard Islands. We discuss how these seasonal variations in circulation pathways could have an impact on the local marine ecosystems.</t>
  </si>
  <si>
    <t>[Pauthenet, E.; Roquet, F.] Stockholm Univ, Dept Meteorol MISU, Stockholm, Sweden; [Roquet, F.] Univ Gothenburg, Dept Marine Sci, Gothenburg, Sweden; [Madec, G.] Univ Paris 06, UPMC, LOCEAN Sorbonne Univ, CNRS,IRD,MNHN, Paris, France; [Guinet, C.] CNRS, Ctr Etud Biol Chize, Paris, France; [Hindell, M.; McMahon, C. R.] Univ Tasmania, Inst Marine &amp; Antarctic Studies, Hobart, Tas, Australia; [Hindell, M.] Univ Tasmania, Antarctic Cimate &amp; Ecosyst Cooperat Res Ctr, Hobart, Tas, Australia; [McMahon, C. R.] Sydney Inst Marine Sci, Mosman, NSW, Australia; [McMahon, C. R.; Harcourt, R.] Macquarie Univ, Dept Biol Sci, Sydney, NSW, Australia; [Nerini, D.] Univ Toulon &amp; Var, Aix Marseille Univ, Mediterranean Inst Oceanog, CNRS,INSU,IRD,UM110, Marseille, France</t>
  </si>
  <si>
    <t>Stockholm University; University of Gothenburg; Centre National de la Recherche Scientifique (CNRS); Sorbonne Universite; Institut de Recherche pour le Developpement (IRD); Museum National d'Histoire Naturelle (MNHN); Centre National de la Recherche Scientifique (CNRS); University of Tasmania; University of Tasmania; Sydney Institute of Marine Science; Macquarie University; Institut de Recherche pour le Developpement (IRD); Aix-Marseille Universite; Centre National de la Recherche Scientifique (CNRS); CNRS - National Institute for Earth Sciences &amp; Astronomy (INSU); Universite de Toulon</t>
  </si>
  <si>
    <t>Pauthenet, E (corresponding author), Stockholm Univ, Dept Meteorol MISU, Stockholm, Sweden.</t>
  </si>
  <si>
    <t>etienne.pauthenet@misu.su.se</t>
  </si>
  <si>
    <t>McMahon, Clive R/D-5713-2013; madec, gurvan/E-7825-2010; Hindell, Mark A/K-1131-2013; Guinet, Christophe/AAR-8457-2020; Roquet, Fabien/D-4848-2013</t>
  </si>
  <si>
    <t>McMahon, Clive R/0000-0001-5241-8917; madec, gurvan/0000-0002-6447-4198; Roquet, Fabien/0000-0003-1124-4564; NERINI, DAVID/0000-0002-7995-1364; Harcourt, Robert/0000-0003-4666-2934; Hindell, Mark/0000-0002-7823-7185; Pauthenet, Etienne/0000-0002-0531-3810</t>
  </si>
  <si>
    <t>Bolin Center for Climate Research</t>
  </si>
  <si>
    <t>This work was supported by the Bolin Center for Climate Research. Copernicus Marine Environment Monitoring Service (CMEMS) provided freely the GLORYS reanalysis (http://marine.copernicus.eu/services-portfolio/access-to-products/). The International ARGO Program provided freely the ARGO floats hydrographic data (accessible from the ifremer portal : ftp://ftp.ifremer.fr/ifremer/argo/). The marine mammal data were collected and made freely available (http://meop.net) by the International MEOP Consortium and the national programs that contribute to it, including the Integrated Marine Observing System (IMOS) for Australian data and Mammals as samplers of the Ocean Environment (MEMO) for French data. We thank Isabelle Durand and Yong Sun Kim for providing mean PF paths. Finally, we are grateful to two reviewers for their constructive criticisms and helpful suggestions on the manuscript.</t>
  </si>
  <si>
    <t>10.1029/2018GL079614</t>
  </si>
  <si>
    <t>WOS:000447761300049</t>
  </si>
  <si>
    <t>Balwada, D; Smith, KS; Abernathey, R</t>
  </si>
  <si>
    <t>Balwada, Dhruv; Smith, K. Shafer; Abernathey, Ryan</t>
  </si>
  <si>
    <t>Submesoscale Vertical Velocities Enhance Tracer Subduction in an Idealized Antarctic Circumpolar Current</t>
  </si>
  <si>
    <t>subduction; tracers; submesoscales; mesoscales; ocean tracers; carbon uptake</t>
  </si>
  <si>
    <t>ANTHROPOGENIC CARBON; MIXED-LAYER; PART I; OCEAN; MESOSCALE; IMPACT; PARAMETERIZATION; CIRCULATION; PATHWAYS; FLUXES</t>
  </si>
  <si>
    <t>Upper-ocean submesoscale fronts, with their associated strong vertical velocities, are often claimed to play a significant role in subducting tracers into the interior. The role of these submesoscale processes in restratifying the mixed layer is now well recognized, but whether they simultaneously flux tracers through the base of the boundary layer remains an open question. We vary the resolution in a semirealistic channel model to control turbulent processes at various scales and study their influence on tracers. It is found that the submesoscale-permitting simulations flux far more tracer downward than the lower-resolution simulations: The 1-km simulation takes up 50% more tracer compared to the 20-km simulation, despite the increased restratifying influence of the resolved submesoscale processes. A full frequency-wave number cross-spectra of the vertical velocity and vertical tracer flux show that the high-frequency inertia-gravity waves that appear in the highest-resolution simulation play no role in irreversible downward tracer transport. Plain Language Summary The oceanic uptake and storage of anthropogenic carbon plays a central role in the global carbon budget, and a significant fraction of this uptake occurs in the Southern Ocean. It is well established that the eddies and fronts, turbulent fluctuations of the flow, are important for this uptake, but the relative influence of different scales is less understood. The eddies and fronts associated with the submesoscale (1-50km) have been recognized to play a leading role in shallowing the surface boundary layer depths, but the role of the strong vertical velocities, which are generally associated with these features, in transporting fluid below the mixed layer remains unknown. Here we investigate these questions using an idealized Southern Ocean model with an imposed tracer source at the surface. The model resolution is varied as a means to include or omit turbulent processes at various scales. We find that the submesoscale-permitting simulations flux far more tracer downward than the lower-resolution simulations, despite the reduction in the depths of the vigorously mixed boundary layers. We also found that inertia-gravity waves, which are ubiquitous in the ocean and are generally associated with very strong vertical velocities, had no impact on the net tracer flux.</t>
  </si>
  <si>
    <t>[Balwada, Dhruv; Smith, K. Shafer] NYU, Courant Inst Math Sci, New York, NY 10012 USA; [Abernathey, Ryan] Columbia Univ, Lamont Doherty Earth Observ, Palisades, NY USA</t>
  </si>
  <si>
    <t>New York University; Columbia University</t>
  </si>
  <si>
    <t>Balwada, D (corresponding author), NYU, Courant Inst Math Sci, New York, NY 10012 USA.</t>
  </si>
  <si>
    <t>db194@nyu.edu</t>
  </si>
  <si>
    <t>Balwada, Dhruv/ABD-8429-2020</t>
  </si>
  <si>
    <t>Balwada, Dhruv/0000-0001-6632-0187; Abernathey, Ryan/0000-0001-5999-4917</t>
  </si>
  <si>
    <t>NASA [NNX16AJ35G]; NIH Research Facility Improvement grant [1G20RR030893-01]; New York State Empire State Development, Division of Science Technology and Innovation (NYSTAR) [C090171]; NASA [NNX16AJ35G, 902804] Funding Source: Federal RePORTER</t>
  </si>
  <si>
    <t>NASA(National Aeronautics &amp; Space Administration (NASA)); NIH Research Facility Improvement grant; New York State Empire State Development, Division of Science Technology and Innovation (NYSTAR); NASA(National Aeronautics &amp; Space Administration (NASA))</t>
  </si>
  <si>
    <t>We would like to thank Takaya Uchida, Roy Barkan, and Baylor Fox-Kemper for helpful discussions. We are grateful for support from NASA award NNX16AJ35G. We also thank NYU, the NYU Abu Dhabi Institute, and Columbia University for the use of high-performance computing facilities. The Columbia University's Shared Research Computing Facility project is supported by NIH Research Facility Improvement grant 1G20RR030893-01 and associated funds from the New York State Empire State Development, Division of Science Technology and Innovation (NYSTAR) contract C090171, both awarded 15 April 2010. Scripts used in this analysis and for generating figures in this manuscript can be obtained on the author's github (github.com/dhruvbalwada/submesoscale_subduction_GRL).</t>
  </si>
  <si>
    <t>10.1029/2018GL079244</t>
  </si>
  <si>
    <t>WOS:000447761300051</t>
  </si>
  <si>
    <t>Yang, JW; Han, Y; Orsi, AJ; Kim, SJ; Han, H; Ryu, Y; Jang, Y; Moon, J; Choi, T; Hur, SD; Ahn, J</t>
  </si>
  <si>
    <t>Yang, Ji-Woong; Han, Yeongcheol; Orsi, Anais J.; Kim, Seong-Joong; Han, Hyangsun; Ryu, Yeongjun; Jang, Youngjoon; Moon, Jangil; Choi, Taejin; Hur, Soon Do; Ahn, Jinho</t>
  </si>
  <si>
    <t>Surface Temperature in Twentieth Century at the Styx Glacier, Northern Victoria Land, Antarctica, From Borehole Thermometry</t>
  </si>
  <si>
    <t>SOUTHERN ANNULAR MODE; WEST ANTARCTICA; HIGH-RESOLUTION; ROSS SEA; CLIMATE; CORE; RECORDS; TRENDS; SYNCHRONIZATION; VARIABILITY</t>
  </si>
  <si>
    <t>Reconstruction of the long-term surface temperature history in Antarctica is important for a better understanding of human-induced climate changes, especially since the Industrial Revolution. We present here a surface temperature history spanning the last century at Styx Glacier, located on the eastern coast of northern Victoria Land, which is reconstructed using borehole logging data. Our results indicate that surface temperatures in the 20th century were 1.7 +/- 0.4 degrees C higher than the long term averages over 1600-1900 Common Era, indicating regional warming over the eastern coast of northern Victoria Land. However, we found no evidence for significant warming across the northern Victoria Land since the mid-20th century. A global reanalysis as well as the reconstruction of proxy records demonstrate that the climate in this region was more affected by changes in the Southern Hemisphere Annular Mode than in the Amundsen-Bellingshausen Sea Low. Plain Language Summary The western coast of the Ross Sea, northern Victoria Land, is one of several regions around the world where the temperature history is highly uncertain. Here we provide a temperature reconstruction using borehole logging data from Styx Glacier. The reconstructed temperature history indicates that the surface temperature at Styx Glacier in the 20th century is higher than in previous centuries, although there is no significant trend since similar to 1950s. The lack of recent warming trend off the western Ross Sea is in contrast to the warming in the Antarctic Peninsula and West Antarctica.</t>
  </si>
  <si>
    <t>[Yang, Ji-Woong; Ryu, Yeongjun; Jang, Youngjoon; Ahn, Jinho] Seoul Natl Univ, Sch Earth &amp; Environm Sci, Seoul, South Korea; [Han, Yeongcheol; Kim, Seong-Joong; Han, Hyangsun; Moon, Jangil; Choi, Taejin; Hur, Soon Do] Korea Polar Res Inst, Incheon, South Korea; [Orsi, Anais J.] Univ Paris Saclay, UVSQ, LSCE, IPSL,CEA,CNRS, Gif Sur Yvette, France</t>
  </si>
  <si>
    <t>Seoul National University (SNU); Korea Polar Research Institute (KOPRI); Universite Paris Saclay; CEA; Centre National de la Recherche Scientifique (CNRS); Universite Paris Cite</t>
  </si>
  <si>
    <t>Ahn, J (corresponding author), Seoul Natl Univ, Sch Earth &amp; Environm Sci, Seoul, South Korea.</t>
  </si>
  <si>
    <t>jinhoahn@snu.ac.kr</t>
  </si>
  <si>
    <t>Han, Hyangsun/AAE-7670-2022; Yang, Ji-Woong/KHW-8273-2024</t>
  </si>
  <si>
    <t>Han, Hyangsun/0000-0002-0414-519X; Yang, Ji-Woong/0000-0001-8397-9274; Kim, Seong-joong/0000-0002-6232-8082; Orsi, Anais/0000-0001-5511-3940; Choi, Taejin/0000-0001-8559-1361</t>
  </si>
  <si>
    <t>Korea Meteorological Administration Research and Development grant [KMIPA 2015-6080]; Korea Polar Research Institute [PE 18040]; National Research Foundation of Korea [NRF-2018R1A2B3003256, NRF-2018R1A5A1024958]</t>
  </si>
  <si>
    <t>Korea Meteorological Administration Research and Development grant(Korea Meteorological Administration (KMA)); Korea Polar Research Institute(Korea Polar Research Institute of Marine Research Placement (KOPRI)); National Research Foundation of Korea(National Research Foundation of Korea)</t>
  </si>
  <si>
    <t>We thank Howard Conway and Christo Buizert for helpful discussions. This study was supported by Korea Meteorological Administration Research and Development grant (KMIPA 2015-6080), Korea Polar Research Institute (PE 18040), and National Research Foundation of Korea (NRF-2018R1A2B3003256 and NRF-2018R1A5A1024958). The AWS data were obtained from the Meteo-Climatological Observatory at Mario Zucchelli Station and Victoria Land of Programma Nazionale di Ricerche in Antartide (www.climantartide.it).The data sets supporting this study are given in the supporting information.</t>
  </si>
  <si>
    <t>10.1029/2018GL078770</t>
  </si>
  <si>
    <t>Bronze, Green Published</t>
  </si>
  <si>
    <t>WOS:000447761300055</t>
  </si>
  <si>
    <t>Heindler, FM; Christiansen, H; Frédérich, B; Dettaï, A; Lepoint, G; Maes, GE; Van de Putte, AP; Volckaert, FAM</t>
  </si>
  <si>
    <t>Heindler, Franz M.; Christiansen, Henrik; Frederich, Bruno; Dettai, Agnes; Lepoint, Gilles; Maes, Gregory E.; Van de Putte, Anton P.; Volckaert, Filip A. M.</t>
  </si>
  <si>
    <t>Historical DNA Metabarcoding of the Prey and Microbiome of Trematomid Fishes Using Museum Samples</t>
  </si>
  <si>
    <t>FRONTIERS IN ECOLOGY AND EVOLUTION</t>
  </si>
  <si>
    <t>natural history museum; notothenioidei; 16S rRNA; COI; Southern Ocean; Antarctica</t>
  </si>
  <si>
    <t>TERRA-NOVA BAY; ANTARCTIC NOTOTHENIOID FISHES; POLAR MARINE ECOSYSTEMS; CLIMATE-CHANGE; GUT MICROBIOTA; ANCIENT DNA; EXTRACTION; EVOLUTION; IMPACT; DIVERSIFICATION</t>
  </si>
  <si>
    <t>Antarctic specimens collected during various research expeditions are preserved in natural history collections around the world potentially offering a cornucopia of morphological and molecular data. Historical samples of marine species are, however, often preserved in formaldehyde which may render them useless for genetic analysis. We sampled stomachs and hindguts from 225 Trematomus specimens from the Natural History Museum London. These samples were initially collected between 20 and 100 years ago and fixed in either formaldehyde or ethanol. A 313 bp fragment of the cytochrome c oxidase subunit I (COI) was amplified and sequenced for prey item identification in the stomach and a 450 bp region of the 16S rRNA gene to investigate microbiome composition in the gut system. Both data sets were characterized by large dropout rates during extensive quality controls. Eventually, no unambiguous results regarding stomach content (COI) were retained, possibly due to degraded DNA, inefficient primers and contamination. In contrast, reliable microbiome composition data (16S rRNA) was obtained from 26 samples. These data showed a correlation in change of microbiome composition with fish size as well as year of the catch, indicating a microbiome shift throughout ontogeny and between samples from different decades. A comparison with contemporary samples indicated that the intestinal microbiome of Trematomus may have drastically changed within the last century. Further extensive studies are needed to confirm these patterns with higher sample numbers. Molecular analyses of museum stored fish can provide novel micro evolutionary insights that may benefit current efforts to prioritize conservation units in the Southern Ocean.</t>
  </si>
  <si>
    <t>[Heindler, Franz M.; Christiansen, Henrik; Volckaert, Filip A. M.] Univ Leuven, Lab Biodivers &amp; Evolutionary Genom, Leuven, Belgium; [Frederich, Bruno; Lepoint, Gilles] Univ Liege, Lab Oceanol, FOCUS, Liege, Belgium; [Frederich, Bruno] Univ Liege, Lab Funct &amp; Evolutionary Morphol, FOCUS, Liege, Belgium; [Dettai, Agnes] UPMC, Dept Systemat &amp; Evolut, CNRS, UMR 7138,IRD,MNHN, Paris, France; [Maes, Gregory E.] Univ Leuven, Lab Cytogenet &amp; Genome Res, Genom Core, Leuven, Belgium; [Van de Putte, Anton P.] Royal Belgian Inst Nat Sci, OD Nat, Brussels, Belgium</t>
  </si>
  <si>
    <t>KU Leuven; University of Liege; University of Liege; Institut de Recherche pour le Developpement (IRD); Museum National d'Histoire Naturelle (MNHN); Centre National de la Recherche Scientifique (CNRS); CNRS - National Institute for Biology (INSB); Sorbonne Universite; KU Leuven; Royal Belgian Institute of Natural Sciences</t>
  </si>
  <si>
    <t>Heindler, FM (corresponding author), Univ Leuven, Lab Biodivers &amp; Evolutionary Genom, Leuven, Belgium.</t>
  </si>
  <si>
    <t>franzmaximilian.heindler@kuleuven.be</t>
  </si>
  <si>
    <t>Christiansen, Henrik/GXG-6057-2022; Dettai, Agnes/Q-6743-2019; Maes, Gregory/N-4983-2019; Volckaert, Filip/AAC-7691-2019; Van de Putte, Anton/S-3729-2019; Lepoint, Gilles/I-1130-2014; Heindler, Franz Maximilian/C-2365-2018</t>
  </si>
  <si>
    <t>Christiansen, Henrik/0000-0001-7114-5854; Maes, Gregory/0000-0002-1531-7321; Van de Putte, Anton/0000-0003-1336-5554; Lepoint, Gilles/0000-0003-4375-0357; Heindler, Franz Maximilian/0000-0003-4305-7296</t>
  </si>
  <si>
    <t>SYNTHESYS Project - European Community Research Infrastructure Action under the FP7 Capacities Program; Brilliant Marine Research Idea Philanthropy Award 2017 - Vlaams Instituut voor de Zee (VLIZ), Belgium; Refugia and Ecosystem Tolerance in the Southern Ocean project (RECTO) - Belgian Science Policy Office (BELSPO) [BR/154/A1/RECTO]; Ecosystem Responses to global change-a multiscale approach in the Southern Ocean project (vERSO) - Belgian Science Policy Office (BELSPO) [BR/132/A1/vERSO]</t>
  </si>
  <si>
    <t>SYNTHESYS Project - European Community Research Infrastructure Action under the FP7 Capacities Program; Brilliant Marine Research Idea Philanthropy Award 2017 - Vlaams Instituut voor de Zee (VLIZ), Belgium; Refugia and Ecosystem Tolerance in the Southern Ocean project (RECTO) - Belgian Science Policy Office (BELSPO); Ecosystem Responses to global change-a multiscale approach in the Southern Ocean project (vERSO) - Belgian Science Policy Office (BELSPO)</t>
  </si>
  <si>
    <t>This research received support from the SYNTHESYS Project (http://www.synthesys.info/), which is financed by European Community Research Infrastructure Action under the FP7 Capacities Program. It furthermore received funds through the Brilliant Marine Research Idea Philanthropy Award 2017 issued by the Vlaams Instituut voor de Zee (VLIZ), Belgium. Research was funded by the Refugia and Ecosystem Tolerance in the Southern Ocean project (RECTO; BR/154/A1/RECTO) as well as the Ecosystem Responses to global change-a multiscale approach in the Southern Ocean project (vERSO; BR/132/A1/vERSO) (http://rectoversoprojects.be), both funded by the Belgian Science Policy Office (BELSPO). This is contribution number 003 of the RECTO project and contribution number 029 of the vERSO project. HC was supported by a grant from the former Flemish agency for Innovation by Science and Technology (IWT), now managed through Flanders Innovation &amp; Entrepreneurship (VLAIO, Grant No. 141328).</t>
  </si>
  <si>
    <t>FRONTIERS MEDIA SA</t>
  </si>
  <si>
    <t>LAUSANNE</t>
  </si>
  <si>
    <t>AVENUE DU TRIBUNAL FEDERAL 34, LAUSANNE, CH-1015, SWITZERLAND</t>
  </si>
  <si>
    <t>2296-701X</t>
  </si>
  <si>
    <t>FRONT ECOL EVOL</t>
  </si>
  <si>
    <t>Front. Ecol. Evol.</t>
  </si>
  <si>
    <t>10.3389/fevo.2018.00151</t>
  </si>
  <si>
    <t>HC6JZ</t>
  </si>
  <si>
    <t>WOS:000451909300001</t>
  </si>
  <si>
    <t>Dempsey, JP; Cole, DM; Wang, S</t>
  </si>
  <si>
    <t>Dempsey, J. P.; Cole, D. M.; Wang, S.</t>
  </si>
  <si>
    <t>Tensile fracture of a single crack in first-year sea ice</t>
  </si>
  <si>
    <t>PHILOSOPHICAL TRANSACTIONS OF THE ROYAL SOCIETY A-MATHEMATICAL PHYSICAL AND ENGINEERING SCIENCES</t>
  </si>
  <si>
    <t>fracture; Arctic; Antarctic; stress separation curve</t>
  </si>
  <si>
    <t>STRENGTH</t>
  </si>
  <si>
    <t>The break-up of sea ice in the Arctic and Antarctic has been u ring three field trips in the spring of 1993 at Resolute, NWT, and the tall of 2001 and 2014 on McMurdo Sound via in situ cyclic loading and fracture experiment. In this paper, the back-calculated fracture information necessary to the specification of an accurate viscoelastic fictitious (cohesive) crack model is presented. In particular, the changing shape of the stress separation curve with varying conditions and loading scenarios is rev ea led. This article is part of the theme issue modelling of sea-ice phenomena'.</t>
  </si>
  <si>
    <t>[Dempsey, J. P.] Clarkson Univ, Dept Civil &amp; Environm Engn, Potsdam, NY 13676 USA; [Dempsey, J. P.] Aalto Univ, Dept Mech Engn, POB 14300, Espoo 00076, Finland; [Cole, D. M.] US Army, ERDC Cold Reg Res &amp; Engn Lab Ret, Hanover, NH 03755 USA; [Wang, S.] TerraPower LLC, 330 120th Ave NE STE 100, Bellevue, WA 98005 USA</t>
  </si>
  <si>
    <t>Clarkson University; Aalto University; United States Department of Defense; United States Army; U.S. Army Corps of Engineers; U.S. Army Engineer Research &amp; Development Center (ERDC); Cold Regions Research &amp; Engineering Laboratory (CRREL)</t>
  </si>
  <si>
    <t>Dempsey, JP (corresponding author), Clarkson Univ, Dept Civil &amp; Environm Engn, Potsdam, NY 13676 USA.;Dempsey, JP (corresponding author), Aalto Univ, Dept Mech Engn, POB 14300, Espoo 00076, Finland.</t>
  </si>
  <si>
    <t>jdempsey@clarkson.edu</t>
  </si>
  <si>
    <t>Dempsey, John/0000-0002-5820-7181; Wang, Shen/0000-0002-4327-965X</t>
  </si>
  <si>
    <t>Amoco; Canmar (Canada); Mobil; National Energy Board (Canada); Minerals Management Service; Office of Naval Research (ONR); ONR [N00014-90-J-1360, N00014-93-1-0714, N00014-96-1-1210]; US National Science Foundation [ANT-0338226]; FiDiPro Professorship from Aalto University; Finland Distinguished Professor (FiDiPro) programme Scaling of Ice Strength: Measurements and Modeling (ICESCALE); Academy of Finland [309830]; Aker Arctic; Arctech Helsinki Shipyard; Arctia Shipping; ABB Marine; Finnish Transport Agency</t>
  </si>
  <si>
    <t>Amoco; Canmar (Canada); Mobil(Exxon Mobil Corporation); National Energy Board (Canada); Minerals Management Service; Office of Naval Research (ONR)(Office of Naval Research); ONR(Office of Naval Research); US National Science Foundation(National Science Foundation (NSF)); FiDiPro Professorship from Aalto University; Finland Distinguished Professor (FiDiPro) programme Scaling of Ice Strength: Measurements and Modeling (ICESCALE); Academy of Finland(Research Council of Finland); Aker Arctic; Arctech Helsinki Shipyard; Arctia Shipping; ABB Marine; Finnish Transport Agency</t>
  </si>
  <si>
    <t>The Phase II field trip (Principal Investigator: JPD) was funded by Amoco, Canmar (Canada), Mobil, National Energy Board (Canada), Minerals Management Service and the Office of Naval Research (ONR). The associated ONR awards were N00014-90-J-1360, N00014-93-1-0714 and N00014-96-1-1210. The A2 and A3 field trips (Principal Investigators: J.P.D. and D.M.C.) were funded by the US National Science Foundation through award ANT-0338226. Business Finland provided additional support for J.P.D. by the FiDiPro Professorship from Aalto University, and by the Finland Distinguished Professor (FiDiPro) programme Scaling of Ice Strength: Measurements and Modeling (ICESCALE). The Academy of Finland provided additional support for D.M.C. by the project (309830) Ice Block Breakage: Experiments and Simulations (ICEBES). Projects ICESCALE and ARAJAA also provided additional funding for J.P.D. and D.M.C. from the industrial partners Aker Arctic, Arctech Helsinki Shipyard, Arctia Shipping, ABB Marine and the Finnish Transport Agency.</t>
  </si>
  <si>
    <t>1364-503X</t>
  </si>
  <si>
    <t>1471-2962</t>
  </si>
  <si>
    <t>PHILOS T R SOC A</t>
  </si>
  <si>
    <t>Philos. Trans. R. Soc. A-Math. Phys. Eng. Sci.</t>
  </si>
  <si>
    <t>10.1098/rsta.2017.0346</t>
  </si>
  <si>
    <t>GQ9OF</t>
  </si>
  <si>
    <t>WOS:000442108500011</t>
  </si>
  <si>
    <t>Meylan, MH; Bennetts, LG</t>
  </si>
  <si>
    <t>Meylan, M. H.; Bennetts, L. G.</t>
  </si>
  <si>
    <t>Three-dimensional time-domain scattering of waves in the marginal ice zone</t>
  </si>
  <si>
    <t>sea ice; wave scattering; marginal ice zone</t>
  </si>
  <si>
    <t>LINEAR BOLTZMANN-EQUATION; ANTARCTIC SEA-ICE; OCEAN WAVES; ELASTIC PLATE; MODEL; FLOES; ATTENUATION; THICKNESS; BREAKUP; WATER</t>
  </si>
  <si>
    <t>Three-dimensional scattering of ocean surface waves in the marginal ice zone (MIZ) is determined in the time domain. The solution is found using spectral analysis of the linear operator for the Boltzmann equation. The method to calculate the scattering kernel that arises in the Boltzmann model from the single-floe solution is also presented along with new identities for the far-field scattering, which can be used to validate the single-floe solution. The spectrum of the operator is computed, and it is shown to have a universal structure under a special non-dimensionalization. This universal structure implies that under a scaling wave scattering in the MIZ has similar properties for a large range of ice types and wave periods. A scattering theory solution using fast Fourier transforms is given to find the solution for directional incident wave packets. A numerical solution method is also given using the split-step method and this is used to validate the spectral solution. Numerical calculations of the evolution of a typical wave field are presented. This article is part of the theme issue 'Modelling of sea-ice phenomena'.</t>
  </si>
  <si>
    <t>[Meylan, M. H.] Univ Newcastle, Sch Math &amp; Phys Sci, Callaghan, NSW 2308, Australia; [Bennetts, L. G.] Univ Adelaide, Sch Math Sci, Adelaide, SA 5005, Australia</t>
  </si>
  <si>
    <t>University of Newcastle; University of Adelaide</t>
  </si>
  <si>
    <t>Meylan, MH (corresponding author), Univ Newcastle, Sch Math &amp; Phys Sci, Callaghan, NSW 2308, Australia.</t>
  </si>
  <si>
    <t>mike.meylan@newcastle.edu.au</t>
  </si>
  <si>
    <t>Meylan, Michael/A-7341-2010; Bennetts, Luke/N-1448-2019</t>
  </si>
  <si>
    <t>Meylan, Michael/0000-0002-3164-1367; Bennetts, Luke/0000-0001-9386-7882</t>
  </si>
  <si>
    <t>EPSRC [EP/K032208/1]; Simons Foundation; US Office of Naval Research [N00014-15-1-2611]; ARC Training Centre for Advanced Technologies in Rail Track Infrastructure [IC17010006]; EPSRC [EP/R014604/1, EP/K032208/1] Funding Source: UKRI</t>
  </si>
  <si>
    <t>EPSRC(UK Research &amp; Innovation (UKRI)Engineering &amp; Physical Sciences Research Council (EPSRC)); Simons Foundation; US Office of Naval Research(Office of Naval Research); ARC Training Centre for Advanced Technologies in Rail Track Infrastructure; EPSRC(UK Research &amp; Innovation (UKRI)Engineering &amp; Physical Sciences Research Council (EPSRC))</t>
  </si>
  <si>
    <t>This work was supported by: EPSRC grant no. EP/K032208/1 and was also partially supported by a grant from the Simons Foundation (M.H.M. and L.G.B.). This material is based upon research supported by, or in part by, the US Office of Naval Research under award no. N00014-15-1-2611 (M.H.M.). M.H.M. was also supported by the ARC Training Centre for Advanced Technologies in Rail Track Infrastructure IC17010006.</t>
  </si>
  <si>
    <t>10.1098/rsta.2017.0334</t>
  </si>
  <si>
    <t>Green Published, Green Submitted, hybrid</t>
  </si>
  <si>
    <t>WOS:000442108500002</t>
  </si>
  <si>
    <t>Bossert, K; Fritts, DC; Heale, CJ; Eckermann, SD; Plane, JMC; Snively, JB; Williams, BP; Reid, IM; Murphy, DJ; Spargo, AJ; MacKinnon, AD</t>
  </si>
  <si>
    <t>Bossert, Katrina; Fritts, David C.; Heale, Christopher J.; Eckermann, Stephen D.; Plane, John M. C.; Snively, Jonathan B.; Williams, Bifford P.; Reid, Iain M.; Murphy, Damian J.; Spargo, Andrew J.; MacKinnon, Andrew D.</t>
  </si>
  <si>
    <t>Momentum Flux Spectra of a Mountain Wave Event Over New Zealand</t>
  </si>
  <si>
    <t>JOURNAL OF GEOPHYSICAL RESEARCH-ATMOSPHERES</t>
  </si>
  <si>
    <t>gravity waves; mountain waves; momentum flux; DEEPWAVE</t>
  </si>
  <si>
    <t>ATMOSPHERIC GRAVITY-WAVES; DEEPWAVE CAMPAIGN; SOUNDER OBSERVATIONS; SEASONAL-VARIATION; LOWER THERMOSPHERE; AUCKLAND ISLANDS; SATELLITE LIMB; MESOSPHERE; RADAR; DYNAMICS</t>
  </si>
  <si>
    <t>During the Deep Propagating Gravity Wave Experiment (DEEPWAVE) 13 July 2014 research flight over the South Island of New Zealand, a multiscale spectrum of mountain waves (MWs) was observed. High-resolution measurements of sodium densities were available from similar to 70 to 100km for the duration of this flight. A comprehensive technique is presented for obtaining temperature perturbations, T, from sodium mixing ratios over a range of altitudes, and these T were used to calculate the momentum flux (MF) spectra with respect to horizontal wavelengths, (H), for each flight segment. Spectral analysis revealed MWs with spectral power centered at (H) of similar to 80, 120, and 220km. The temperature amplitudes of these MWs varied between the four cross-mountain flight legs occurring between 6:10UT and 9:10UT. The average spectral T amplitudes near 80km in altitude ranged from 7-13K for the 220km (H) MW and 4-8K for the smaller (H) MWs. These amplitudes decayed significantly up to 90km, where a critical level for MWs was present. The average MF per unit mass near 80km in altitude ranged from similar to 13 to 60m(2)/s(2) across the varying spectra over the duration of the research flight and decayed to similar to 0 by 88km in altitude. These MFs are large compared to zonal means and highlight the importance of MWs in the momentum budget of the mesosphere and lower thermosphere at times when they reach these altitudes.</t>
  </si>
  <si>
    <t>[Bossert, Katrina; Fritts, David C.; Williams, Bifford P.] Global Atmospher Technol &amp; Sci GATS Inc, Boulder, CO 80301 USA; [Heale, Christopher J.; Snively, Jonathan B.] Embry Riddle Aeronaut Univ, Dept Phys Sci, Daytona Beach, FL USA; [Eckermann, Stephen D.] US Naval Res Lab, Space Sci Div, Washington, DC USA; [Plane, John M. C.; MacKinnon, Andrew D.] Univ Leeds, Sch Chem, Leeds, W Yorkshire, England; [Reid, Iain M.] ATRAD Pty Ltd, Thebarton, SA, Australia; [Reid, Iain M.; Spargo, Andrew J.] Univ Adelaide, Sch Phys Sci, Adelaide, SA, Australia; [Murphy, Damian J.] Australian Antarctic Div, Dept Environm &amp; Energy, Kingston, Tas, Australia</t>
  </si>
  <si>
    <t>Embry-Riddle Aeronautical University; United States Department of Defense; United States Navy; Naval Research Laboratory; University of Leeds; ATRAD Pty Ltd.; University of Adelaide; Australian Antarctic Division</t>
  </si>
  <si>
    <t>Bossert, K (corresponding author), Global Atmospher Technol &amp; Sci GATS Inc, Boulder, CO 80301 USA.</t>
  </si>
  <si>
    <t>k.bossert@gats-inc.com</t>
  </si>
  <si>
    <t>Reid, Iain/B-5681-2012; Plane, John/C-7444-2015</t>
  </si>
  <si>
    <t>Reid, Iain/0000-0003-2340-9047; Fritts, Dave/0000-0002-6402-105X; Eckermann, Stephen/0000-0002-8534-1909; Murphy, Damian/0000-0003-1738-5560; Plane, John/0000-0003-3648-6893; Snively, Jonathan/0000-0002-7616-439X; Heale, Christopher/0000-0003-1970-9004; Bossert, Katrina/0000-0002-7076-0449</t>
  </si>
  <si>
    <t>NSF [AGS1524598, AGS1338646, AGS1445783, AGS1151746]; Chief of Naval Research [6.1, 62]; European Research Council [291332CODITA]; ATRAD Pty Ltd.; Australian Antarctic Science [4025]</t>
  </si>
  <si>
    <t>NSF(National Science Foundation (NSF)); Chief of Naval Research; European Research Council(European Research Council (ERC)); ATRAD Pty Ltd.; Australian Antarctic Science</t>
  </si>
  <si>
    <t>Research reported here was made possible via NSF funding (grants AGS1524598, AGS1338646, AGS1445783, and AGS1151746) acknowledged in GEMS. We acknowledge the generous support of the Chief of Naval Research via the base 6.1, 62, and platform support programs. Generation of NAVGEM reanalysis was made possible by the DoD High Performance Computer Modernization Program via grants of computer time at the Navy DoD Supercomputing Resource Center. The Na modeling work was supported by the European Research Council (project 291332CODITA). Installation and operation of the Kingston radar were supported through Australian Antarctic Science project 4025 and by ATRAD Pty Ltd. We also acknowledge major support by the NCAR/EOL team who made these airborne GV measurements possible. DEEPWAVE data are archived and maintained by NCAR and can be accessed at https://www.eol.ucar.edu/field_projects/deepwave.</t>
  </si>
  <si>
    <t>2169-897X</t>
  </si>
  <si>
    <t>2169-8996</t>
  </si>
  <si>
    <t>J GEOPHYS RES-ATMOS</t>
  </si>
  <si>
    <t>J. Geophys. Res.-Atmos.</t>
  </si>
  <si>
    <t>SEP 27</t>
  </si>
  <si>
    <t>10.1029/2018JD028319</t>
  </si>
  <si>
    <t>GX5RG</t>
  </si>
  <si>
    <t>WOS:000447807300043</t>
  </si>
  <si>
    <t>Fritts, DC; Vosper, SB; Williams, BP; Bossert, K; Plane, JMC; Taylor, MJ; Pautet, PD; Eckermann, SD; Kruse, CG; Smith, RB; Dörnbrack, A; Rapp, M; Mixa, T; Reid, IM; Murphy, DJ</t>
  </si>
  <si>
    <t>Fritts, David C.; Vosper, Simon B.; Williams, Bifford P.; Bossert, Katrina; Plane, John M. C.; Taylor, Michael J.; Pautet, P. -Dominique; Eckermann, Stephen D.; Kruse, Christopher G.; Smith, Ronald B.; Doernbrack, Andreas; Rapp, Markus; Mixa, Tyler; Reid, Iain M.; Murphy, Damian J.</t>
  </si>
  <si>
    <t>Large-Amplitude Mountain Waves in the Mesosphere Accompanying Weak Cross-Mountain Flow During DEEPWAVE Research Flight RF22</t>
  </si>
  <si>
    <t>mountain waves; deep gravity wave propagation; gravity wave breaking; mountain wave momentum fluxes</t>
  </si>
  <si>
    <t>INTERNAL GRAVITY-WAVES; MIDDLE-ATMOSPHERE; PART I; NEW-ZEALAND; INSTABILITY DYNAMICS; LOWER STRATOSPHERE; MESOSCALE VARIABILITY; GENERAL-CIRCULATION; SHEAR EXCITATION; AUCKLAND ISLANDS</t>
  </si>
  <si>
    <t>Mountain wave (MW) propagation and dynamics extending into the upper mesosphere accompanying weak forcing are examined using in situ and remote-sensing measurements aboard the National Science Foundation/National Center for Atmospheric Research Gulfstream V (GV) research aircraft and the German Aerospace Center Falcon. The measurements were obtained during Falcon flights FF9 and FF10 and GV Research Flight RF22 of the Deep Propagating Gravity Wave Experiment (DEEPWAVE) performed over Mount Cook, New Zealand, on 12 and 13 July 2014. In situ measurements revealed both trapped lee waves having zonal wavelengths of (x)similar to 12km and less, and larger-scale, vertically propagating MWs primarily at (x)similar to 20-60km and similar to 100-300km extending from west to similar to 400km east of Mount Cook. GV Rayleigh lidar measurements from 25- to 60-km altitudes showed that the weak forcing and zonal winds that increased from similar to 12m/s at 12km to similar to 40 and 130m/s at 30 and 55km, respectively, enabled largely linear MW propagation and strong amplitude growth with altitude into the mesosphere. GV Na lidar and airglow imager measurements revealed an extensive MW response from similar to 70 to 87km with large amplitudes and vertical displacements at (x)similar to 40-300km but with both decreasing with altitude approaching a critical level near 90km. These MWs exhibited large-scale MW breaking and among the largest sustained momentum fluxes observed in the mesosphere. UK Met Office Unified Model simulations of the RF22 MW event captured many aspects of the observed MW field and revealed that despite the dominant large-scale MW responses in the stratosphere, the major momentum fluxes accompanied smaller-scale waves.</t>
  </si>
  <si>
    <t>[Fritts, David C.; Williams, Bifford P.; Bossert, Katrina; Mixa, Tyler] GATS Inc, Boulder, CO 80301 USA; [Vosper, Simon B.] Met Off, Exeter, Devon, England; [Plane, John M. C.] Univ Leeds, Sch Chem, Leeds, W Yorkshire, England; [Taylor, Michael J.; Pautet, P. -Dominique] Utah State Univ, Dept Phys, Logan, UT 84322 USA; [Eckermann, Stephen D.] US Naval Res Lab, Space Sci Div, Washington, DC USA; [Kruse, Christopher G.; Smith, Ronald B.] Yale Univ, Dept Geol &amp; Geophys, New Haven, CT USA; [Doernbrack, Andreas; Rapp, Markus] German Aerosp Ctr, Munich, Germany; [Reid, Iain M.] Univ Adelaide, Dept Phys, Adelaide, SA, Australia; [Murphy, Damian J.] Australian Antarctic Div, Kingston, Tas, Australia</t>
  </si>
  <si>
    <t>Met Office - UK; University of Leeds; Utah System of Higher Education; Utah State University; United States Department of Defense; United States Navy; Naval Research Laboratory; Yale University; Helmholtz Association; German Aerospace Centre (DLR); University of Adelaide; Australian Antarctic Division</t>
  </si>
  <si>
    <t>Fritts, DC (corresponding author), GATS Inc, Boulder, CO 80301 USA.</t>
  </si>
  <si>
    <t>dave@gats-inc.com</t>
  </si>
  <si>
    <t>Reid, Iain/B-5681-2012; Pautet, Pierre-Dominique/HRC-1681-2023; Rapp, Markus/K-6081-2015; Mixa, Tyler/P-4883-2018; Plane, John/C-7444-2015</t>
  </si>
  <si>
    <t>Reid, Iain/0000-0003-2340-9047; Rapp, Markus/0000-0003-1508-5900; Fritts, Dave/0000-0002-6402-105X; Vosper, Simon/0000-0002-1117-4351; Taylor, Michael/0000-0002-3796-0836; Mixa, Tyler/0000-0002-2590-5530; Eckermann, Stephen/0000-0002-8534-1909; Plane, John/0000-0003-3648-6893; Kruse, Christopher/0000-0001-9808-8167; Pautet, Pierre-Dominique/0000-0001-9452-7337; Bossert, Katrina/0000-0002-7076-0449</t>
  </si>
  <si>
    <t>NSF; ONR</t>
  </si>
  <si>
    <t>NSF(National Science Foundation (NSF)); ONR(Office of Naval Research)</t>
  </si>
  <si>
    <t>Research described here was performed under NSF and ONR grants or contracts cited in GEMS. Generation of NAVGEM reanalyses was made possible by resources from the DoD High Performance Computer Modernization Program. We thank the many participants in the DEEPWAVE program for their contributions in enabling the measurements analyzed here and personnel maintaining the DEEPWAVE data archive at NCAR/EOL available at https://www.eol.ucar.edu/field_projects/deepwave, where interested parties can access the DEEPWAVE data. We also thank three anonymus reviewers for valuable comments on the manuscript.</t>
  </si>
  <si>
    <t>10.1029/2017JD028250</t>
  </si>
  <si>
    <t>hybrid, Green Accepted, Green Published</t>
  </si>
  <si>
    <t>WOS:000447807300044</t>
  </si>
  <si>
    <t>Knies, J; Köseoglu, D; Rise, L; Baeten, N; Bellec, VK; Boe, R; Klug, M; Panieri, G; Jernas, PE; Belt, ST</t>
  </si>
  <si>
    <t>Knies, Jochen; Koseoglu, Denizcan; Rise, Leif; Baeten, Nicole; Bellec, Valerie K.; Boe, Reidulv; Klug, Martin; Panieri, Giuliana; Jernas, Patrycja E.; Belt, Simon T.</t>
  </si>
  <si>
    <t>Nordic Seas polynyas and their role in preconditioning marine productivity during the Last Glacial Maximum</t>
  </si>
  <si>
    <t>NATURE COMMUNICATIONS</t>
  </si>
  <si>
    <t>QUATERNARY ICE-SHEET; ARCTIC-OCEAN; PALEOCEANOGRAPHIC EVOLUTION; BRINE FORMATION; FRAM STRAIT; ATLANTIC; RECONSTRUCTION; VARIABILITY; WATER; DEEP</t>
  </si>
  <si>
    <t>Arctic and Antarctic polynyas are crucial sites for deep-water formation, which helps sustain global ocean circulation. During glacial times, the occurrence of polynyas proximal to expansive ice sheets in both hemispheres has been proposed to explain limited ocean ventilation and a habitat requirement for marine and higher-trophic terrestrial fauna. Nonetheless, their existence remains equivocal, not least due to the hitherto paucity of sufficiently characteristic proxy data. Here we demonstrate polynya formation in front of the NW Eurasian ice sheets during the Last Glacial Maximum (LGM), which resulted from katabatic winds blowing seaward of the ice shelves and upwelling of warm, sub-surface Atlantic water. These polynyas sustained ice-sheet build-up, ocean ventilation, and marine productivity in an otherwise glacial Arctic desert. Following the catastrophic meltwater discharge from the collapsing ice sheets at similar to 17.5 ka BP, polynya formation ceased, marine productivity declined dramatically, and sea ice expanded rapidly to cover the entire Nordic Seas.</t>
  </si>
  <si>
    <t>[Knies, Jochen; Rise, Leif; Baeten, Nicole; Bellec, Valerie K.; Boe, Reidulv; Klug, Martin] Geol Survey Norway, NO-7491 Trondheim, Norway; [Knies, Jochen; Panieri, Giuliana; Jernas, Patrycja E.] UiT Arctic Univ Norway, CAGE Ctr Arctic Gas Hydrate Environm &amp; Climate, Dept Geosci, NO-9037 Tromso, Norway; [Koseoglu, Denizcan; Belt, Simon T.] Univ Plymouth, Biogeochem Res Ctr, Sch Geog Earth &amp; Environm Sci, Plymouth PL4 8AA, Devon, England; [Jernas, Patrycja E.] Univ Gdansk, Inst Oceanog, Dept Marine Geol, Al Pifsudskiego 46, PL-81378 Gdynia, Poland</t>
  </si>
  <si>
    <t>Geological Survey of Norway; UiT The Arctic University of Tromso; University of Plymouth; Fahrenheit Universities; University of Gdansk</t>
  </si>
  <si>
    <t>Knies, J (corresponding author), Geol Survey Norway, NO-7491 Trondheim, Norway.;Knies, J (corresponding author), UiT Arctic Univ Norway, CAGE Ctr Arctic Gas Hydrate Environm &amp; Climate, Dept Geosci, NO-9037 Tromso, Norway.</t>
  </si>
  <si>
    <t>jochen.knies@ngu.no</t>
  </si>
  <si>
    <t>Bøe, Reidulv/AAB-7061-2020</t>
  </si>
  <si>
    <t>Bøe, Reidulv/0000-0002-9486-3530; Jernas, Patrycja Ewa/0000-0002-9012-1804; Koseoglu, Denizcan/0000-0002-1569-9788; Belt, Simon/0000-0002-1570-2924; Panieri, Giuliana/0000-0001-9411-1729</t>
  </si>
  <si>
    <t>MAREANO; Norwegian Deep-water Program (NDP); Norwegian Research Council (RCN grants) [223259, 255150]</t>
  </si>
  <si>
    <t>MAREANO; Norwegian Deep-water Program (NDP); Norwegian Research Council (RCN grants)</t>
  </si>
  <si>
    <t>This research was supported by MAREANO (www.mareano.no), the Norwegian Deep-water Program (NDP) and the Norwegian Research Council (RCN grants 223259, 255150). We thank the captain and crew on RV G.O. Sars for cooperation during data acquisition and Irene Lundquist for the artwork.</t>
  </si>
  <si>
    <t>2041-1723</t>
  </si>
  <si>
    <t>NAT COMMUN</t>
  </si>
  <si>
    <t>Nat. Commun.</t>
  </si>
  <si>
    <t>10.1038/s41467-018-06252-8</t>
  </si>
  <si>
    <t>GV1GM</t>
  </si>
  <si>
    <t>WOS:000445819400010</t>
  </si>
  <si>
    <t>Kim, MK; Kim, MA; Yim, JH; Lee, DH; Cho, SK; Yang, SG</t>
  </si>
  <si>
    <t>Kim, Min-Kyoung; Kim, Min A.; Yim, Joung Han; Lee, Don-Haeng; Cho, Steve K.; Yang, Su-Geun</t>
  </si>
  <si>
    <t>Ramalin, an antioxidant compound derived from Antarctic lichen, prevents progression of liver fibrosis induced by dimethylnitrosamine (DNM) in rats</t>
  </si>
  <si>
    <t>BIOCHEMICAL AND BIOPHYSICAL RESEARCH COMMUNICATIONS</t>
  </si>
  <si>
    <t>Ramalin; Antarctic lichen extract; Antioxidant; Hepatic fibrosis; Reactive oxigen species</t>
  </si>
  <si>
    <t>INJURY</t>
  </si>
  <si>
    <t>Hepatic fibrosis is characterized by the excessive accumulation of extracellular matrix (ECM), primarily collagen, within the liver. Because reactive oxygen species (ROS) has been implicated in its pathogenesis, the use of antioxidants as a potential treatment has been broadly explored. Here, we investigated the hepatoprotective properties of ramalin (RM), a compound extracted from the Antarctic lichen Ramalina terebrata, against hepatic fibrosis in vitro and in vivo. RM suppressed hepatic stellate cell (HSC) activation in vitro without any significant signs of adverse effects on the cells tested, and the accumulation of ECM was dramatically reduced in the liver tissue. Oral administration of RM in rats noticeably improved the gross appearance of the liver with increased body and liver weight relative to the DMN injected rats, and all of the serum biochemical markers returned to the normal range. RM treatment have ameliorated hepatic fibrosis in rats induced by DMN by repressing alpha-smooth muscle actin (alpha-SMA) and upregulating heme oxygenase-1 (HO-1). In addition, RM significantly reduced collagen accumulation, and levels of malondialdehyde (MDA) and hydroxyproline (HP) in the liver tissue of DMN injected rats. The efficacy exerted by RM was through erythroid 2-related factor 2 (Nrf2) mediated antioxidant response proteins such as HO-1 and NAD(P)H quinone dehydrogenase 1 (NQO-1). Our results show the beneficial effect of RM against the progression of hepatic fibrosis. (C) 2018 Elsevier Inc. All rights reserved.</t>
  </si>
  <si>
    <t>[Kim, Min-Kyoung; Kim, Min A.; Yang, Su-Geun] Inha Univ, Coll Med, Dept New Drug Dev, World Class Smart Lab, B-308,Chungsuk Bldg 366, Incheon 22332, South Korea; [Yim, Joung Han] KOPRI, Div Life Sci, Korea Polar Res Inst, Incheon 406840, South Korea; [Lee, Don-Haeng] Inha Univ Hosp, Div Gastroenterol &amp; Hepatol, Incheon 400711, South Korea; [Cho, Steve K.] GIST, Dept Biomed Sci &amp; Engn, Gwangju 61005, South Korea; [Cho, Steve K.] GIST, Sch Life Sci, Gwangju 61005, South Korea</t>
  </si>
  <si>
    <t>Inha University; Korea Polar Research Institute (KOPRI); Inha University; Inha University Hospital; Gwangju Institute of Science &amp; Technology (GIST); Gwangju Institute of Science &amp; Technology (GIST)</t>
  </si>
  <si>
    <t>Yang, SG (corresponding author), Inha Univ, Coll Med, Dept New Drug Dev, World Class Smart Lab, B-308,Chungsuk Bldg 366, Incheon 22332, South Korea.;Cho, SK (corresponding author), GIST, Sch Life Sci, Dept Biomed Sci &amp; Engn, Gwangju 61005, South Korea.</t>
  </si>
  <si>
    <t>scho@gist.ac.kr; sugeun.yang@inha.ac.kr</t>
  </si>
  <si>
    <t>Cho, Steve Kyungrae/0000-0001-8547-8430</t>
  </si>
  <si>
    <t>Basic Science Research Program; Korea Research Fellowship Program through the National Research Foundation of Korea [2017R1A2A2A07001272, 2017R1A6A3A11035722]; World Class Smart Lab research grant by Inha University; GIST Research Institute grant -</t>
  </si>
  <si>
    <t>Basic Science Research Program; Korea Research Fellowship Program through the National Research Foundation of Korea(National Research Foundation of Korea); World Class Smart Lab research grant by Inha University; GIST Research Institute grant -</t>
  </si>
  <si>
    <t>This work was supported by the Basic Science Research Program and Korea Research Fellowship Program through the National Research Foundation of Korea (2017R1A2A2A07001272 and 2017R1A6A3A11035722), by World Class Smart Lab research grant directed by Inha University, and by a GIST Research Institute grant funded by GIST in 2018.</t>
  </si>
  <si>
    <t>0006-291X</t>
  </si>
  <si>
    <t>1090-2104</t>
  </si>
  <si>
    <t>BIOCHEM BIOPH RES CO</t>
  </si>
  <si>
    <t>Biochem. Biophys. Res. Commun.</t>
  </si>
  <si>
    <t>SEP 26</t>
  </si>
  <si>
    <t>10.1016/j.bbrc.2018.08.103</t>
  </si>
  <si>
    <t>Biochemistry &amp; Molecular Biology; Biophysics</t>
  </si>
  <si>
    <t>GW3JI</t>
  </si>
  <si>
    <t>WOS:000446794100005</t>
  </si>
  <si>
    <t>Vanstreels, RET; Ferreira, FC; Dutra, DD; Epiphanio, S; Braga, ÉM; Pistorius, PA; Catao-Dias, JL</t>
  </si>
  <si>
    <t>Thijl Vanstreels, Ralph Eric; Ferreira Junior, Francisco C.; Dutra, Daniela de Angeli; Epiphanio, Sabrina; Braga, Erika M.; Pistorius, Pierre A.; Catao-Dias, Jose Luiz</t>
  </si>
  <si>
    <t>Investigation of Babesia sp in pygoscelid penguins at the South Shetland Islands</t>
  </si>
  <si>
    <t>POLAR RESEARCH</t>
  </si>
  <si>
    <t>Antarctica; blood; seabird; Spheniscidae; tick-borne pathogen; PCR: polymerase chain reaction technique</t>
  </si>
  <si>
    <t>MOLECULAR PHYLOGENY; EUDYPTULA-MINOR; BORNE DISEASES; CLIMATE-CHANGE; ANTARCTICA; PIROPLASMIDS; UGWIDIENSIS; PEIRCEI; TICKS; WILD</t>
  </si>
  <si>
    <t>Babesia spp. are tick-borne parasites, and 16 avian-infecting species have been described to date, including one species (Babesia peircei) that infects penguins. Considering the results of a recent study reporting Babesia sp. in penguins on Deception Island, South Shetland Islands, we re-examined the samples obtained in a previous investigation on the occurrence of blood parasites in adult Adelie (Pygoscelis adeliae), chinstrap (Pygoscelis antarcticus) and gentoo penguins (Pygoscelis papua) on King George and Elephant islands, South Shetland Islands. Notwithstanding a comprehensive re-examination of the blood smears, Babesia sp. was not detected. When we employed two nested PCR tests targeting the 18S rRNA gene of Babesia, a considerable proportion of the samples produced positive results; however, gene sequencing revealed these were due to cross-amplification of non-target organisms. We therefore did not detect Babesia sp. infection in penguins on King George and Elephant islands. Additional studies will be valuable to clarify the distribution and epidemiology of tick-borne pathogens in sub-Antarctic and Antarctic seabirds.</t>
  </si>
  <si>
    <t>[Thijl Vanstreels, Ralph Eric; Catao-Dias, Jose Luiz] Univ Sao Paulo, Fac Med Vet &amp; Zootecnia, Dept Patol, Lab Patol Comparada Anim Selvagens, Ave Prof Dr Orlando Marques de Paiva 87, BR-05508270 Sao Paulo, Brazil; [Thijl Vanstreels, Ralph Eric; Pistorius, Pierre A.] Nelson Mandela Univ, Inst Coastal &amp; Marine Res, Marine Apex Predator Res Unit, Port Elizabeth, South Africa; [Thijl Vanstreels, Ralph Eric; Pistorius, Pierre A.] Nelson Mandela Univ, FitzPatrick Inst African Ornithol, Dept Sci &amp; Technol, Port Elizabeth, South Africa; [Thijl Vanstreels, Ralph Eric; Pistorius, Pierre A.] Nelson Mandela Univ, FitzPatrick Inst African Ornithol, Natl Res Fdn Ctr Excellence, Dept Zool, Port Elizabeth, South Africa; [Ferreira Junior, Francisco C.; Dutra, Daniela de Angeli; Braga, Erika M.] Univ Fed Minas Gerais, Inst Ciencias Biol, Dept Parasitol, Belo Horizonte, MG, Brazil; [Epiphanio, Sabrina] Univ Sao Paulo, Fac Ciencias Farmaceut, Dept Anal Clin &amp; Toxicol, Lab Imunopatol Celular &amp; Mol Malaria, Sao Paulo, Brazil</t>
  </si>
  <si>
    <t>Universidade de Sao Paulo; Nelson Mandela University; Nelson Mandela University; Nelson Mandela University; National Research Foundation - South Africa; Universidade Federal de Minas Gerais; Universidade de Sao Paulo</t>
  </si>
  <si>
    <t>Vanstreels, RET (corresponding author), Univ Sao Paulo, Fac Med Vet &amp; Zootecnia, Dept Patol, Lab Patol Comparada Anim Selvagens, Ave Prof Dr Orlando Marques de Paiva 87, BR-05508270 Sao Paulo, Brazil.</t>
  </si>
  <si>
    <t>ralph_vanstreels@yahoo.com.br</t>
  </si>
  <si>
    <t>, Ralph ET Vanstreels/H-8029-2015; de Angeli Dutra, Daniela/AAF-7402-2021; Braga, Erika Martins/A-6776-2008; Epiphanio, Sabrina/S-2564-2019; Ferreira, Francisco/G-4013-2017; Catão-Dias, José Luiz/C-4897-2012</t>
  </si>
  <si>
    <t>de Angeli Dutra, Daniela/0000-0003-2341-2035; Braga, Erika Martins/0000-0001-5550-7157; Epiphanio, Sabrina/0000-0001-6094-9750; Ferreira, Francisco/0000-0002-2034-4121; Catão-Dias, José Luiz/0000-0003-2999-3395; Pistorius, Pierre/0000-0001-6561-7069</t>
  </si>
  <si>
    <t>Sao Paulo Research Foundation [FAPESP 2009/53956-9, 2010/51801-5]; Program for Technological Development in Tools for Health; National Counsel of Technological and Scientific Development; Brazilian Federal Agency for the Support and Evaluation of Graduate Education; South African National Research Foundation</t>
  </si>
  <si>
    <t>Sao Paulo Research Foundation(Fundacao de Amparo a Pesquisa do Estado de Sao Paulo (FAPESP)); Program for Technological Development in Tools for Health; National Counsel of Technological and Scientific Development(Conselho Nacional de Desenvolvimento Cientifico e Tecnologico (CNPQ)); Brazilian Federal Agency for the Support and Evaluation of Graduate Education; South African National Research Foundation(National Research Foundation - South Africa)</t>
  </si>
  <si>
    <t>This work was supported by Sao Paulo Research Foundation (FAPESP 2009/53956-9, 2010/51801-5), Program for Technological Development in Tools for Health, National Counsel of Technological and Scientific Development, Brazilian Federal Agency for the Support and Evaluation of Graduate Education and the South African National Research Foundation.</t>
  </si>
  <si>
    <t>TAYLOR &amp; FRANCIS LTD</t>
  </si>
  <si>
    <t>ABINGDON</t>
  </si>
  <si>
    <t>2-4 PARK SQUARE, MILTON PARK, ABINGDON OR14 4RN, OXON, ENGLAND</t>
  </si>
  <si>
    <t>0800-0395</t>
  </si>
  <si>
    <t>1751-8369</t>
  </si>
  <si>
    <t>POLAR RES</t>
  </si>
  <si>
    <t>Polar Res.</t>
  </si>
  <si>
    <t>10.1080/17518369.2018.1500267</t>
  </si>
  <si>
    <t>Ecology; Geosciences, Multidisciplinary; Oceanography</t>
  </si>
  <si>
    <t>Environmental Sciences &amp; Ecology; Geology; Oceanography</t>
  </si>
  <si>
    <t>GU9GT</t>
  </si>
  <si>
    <t>WOS:000445653800001</t>
  </si>
  <si>
    <t>Ackerley, D; Chadwick, R; Dommenget, D; Petrelli, P</t>
  </si>
  <si>
    <t>Ackerley, Duncan; Chadwick, Robin; Dommenget, Dietmar; Petrelli, Paola</t>
  </si>
  <si>
    <t>An ensemble of AMIP simulations with prescribed land surface temperatures</t>
  </si>
  <si>
    <t>GEOSCIENTIFIC MODEL DEVELOPMENT</t>
  </si>
  <si>
    <t>SEA WARMING CONTRAST; GLOBAL PRECIPITATION; TROPICAL CIRCULATION; MODEL DESCRIPTION; PART I; CLIMATE; ATMOSPHERE; CO2; PATTERNS; FEEDBACK</t>
  </si>
  <si>
    <t>General circulation models (GCMs) are routinely run under Atmospheric Modelling Intercomparison Project (AMIP) conditions with prescribed sea surface temperatures (SSTs) and sea ice concentrations (SICs) from observations. These AMIP simulations are often used to evaluate the role of the land and/or atmosphere in causing the development of systematic errors in such GCMs. Extensions to the original AMIP experiment have also been developed to evaluate the response of the global climate to increased SSTs (prescribed) and carbon dioxide (CO2) as part of the Cloud Feedback Model Intercomparison Project (CFMIP). None of these international modelling initiatives has undertaken a set of experiments where the land conditions are also prescribed, which is the focus of the work presented in this paper. Experiments are performed initially with freely varying land conditions (surface temperature, and soil temperature and moisture) under five different configurations (AMIP, AMIP with uniform 4K added to SSTs, AMIP SST with quadrupled CO2, AMIP SST and quadrupled CO2 without the plant stomata response, and increasing the solar constant by 3.3 %). Then, the land surface temperatures from the free land experiments are used to perform a set of AMIP prescribed land (PL) simulations, which are evaluated against their free land counterparts. The PL simulations agree well with the free land experiments, which indicates that the land surface is prescribed in a way that is consistent with the original free land configuration. Further experiments are also performed with different combinations of SSTs, CO2 concentrations, solar constant and land conditions. For example, SST and land conditions are used from the AMIP simulation with quadrupled CO2 in order to simulate the atmospheric response to increased CO2 concentrations without the surface temperature changing. The results of all these experiments have been made publicly available for further analysis. The main aims of this paper are to provide a description of the method used and an initial validation of these AMIP prescribed land experiments.</t>
  </si>
  <si>
    <t>[Ackerley, Duncan; Dommenget, Dietmar] Monash Univ, ARC Ctr Excellence Climate Syst Sci, Sch Earth Atmosphere &amp; Environm, Clayton, Vic, Australia; [Ackerley, Duncan] Met Off, Exeter, Devon, England; [Chadwick, Robin] Met Off, Hadley Ctr, Exeter, Devon, England; [Petrelli, Paola] Univ Tasmania, Inst Marine &amp; Antarctic Studies, ARC Ctr Excellence Climate Syst Sci, Hobart, Tas, Australia</t>
  </si>
  <si>
    <t>Monash University; Met Office - UK; Met Office - UK; Hadley Centre; ARC Centre of Excellence for Climate System Science; University of Tasmania</t>
  </si>
  <si>
    <t>Ackerley, D (corresponding author), Monash Univ, ARC Ctr Excellence Climate Syst Sci, Sch Earth Atmosphere &amp; Environm, Clayton, Vic, Australia.;Ackerley, D (corresponding author), Met Off, Exeter, Devon, England.</t>
  </si>
  <si>
    <t>duncan.ackerley@metoffice.gov.uk</t>
  </si>
  <si>
    <t>ACKERLEY, DUNCAN/JGE-5894-2023; Dommenget, Dietmar/B-9828-2011</t>
  </si>
  <si>
    <t>ACKERLEY, DUNCAN/0000-0001-9027-4088; Dommenget, Dietmar/0000-0002-5129-7719; Petrelli, Paola/0000-0002-0164-5105</t>
  </si>
  <si>
    <t>ARC Centre of Excellence for Climate System Science [CE110001028]; Met Office through the Joint BEIS/Defra Met Office Hadley Centre Climate Programme [GA01101]; Australian Government; Newton Fund through the Met Office Climate Science for Service Partnership Brazil (CSSP Brazil)</t>
  </si>
  <si>
    <t>ARC Centre of Excellence for Climate System Science(Australian Research Council); Met Office through the Joint BEIS/Defra Met Office Hadley Centre Climate Programme; Australian Government(Australian Government); Newton Fund through the Met Office Climate Science for Service Partnership Brazil (CSSP Brazil)</t>
  </si>
  <si>
    <t>This project was primarily funded by the ARC Centre of Excellence for Climate System Science (CE110001028). Duncan Ackerley also acknowledges the Met Office for funding time to complete this work through the Joint BEIS/Defra Met Office Hadley Centre Climate Programme (GA01101). The ACCESS simulations were undertaken with the assistance of the resources from the National Computational Infrastructure (NCI), which is supported by the Australian Government. Robin Chadwick was supported by the Newton Fund through the Met Office Climate Science for Service Partnership Brazil (CSSP Brazil). We would also like to thank the European Centre For Medium-Range Weather Forecasts for providing the ERA-Interim data.</t>
  </si>
  <si>
    <t>COPERNICUS GESELLSCHAFT MBH</t>
  </si>
  <si>
    <t>GOTTINGEN</t>
  </si>
  <si>
    <t>BAHNHOFSALLEE 1E, GOTTINGEN, 37081, GERMANY</t>
  </si>
  <si>
    <t>1991-959X</t>
  </si>
  <si>
    <t>1991-9603</t>
  </si>
  <si>
    <t>GEOSCI MODEL DEV</t>
  </si>
  <si>
    <t>Geosci. Model Dev.</t>
  </si>
  <si>
    <t>10.5194/gmd-11-3865-2018</t>
  </si>
  <si>
    <t>GU9UH</t>
  </si>
  <si>
    <t>WOS:000445698200002</t>
  </si>
  <si>
    <t>Liu, XY</t>
  </si>
  <si>
    <t>Liu, Xiying</t>
  </si>
  <si>
    <t>Modeling the effect of Ross Ice Shelf melting on the Southern Ocean in quasi-equilibrium</t>
  </si>
  <si>
    <t>CRYOSPHERE</t>
  </si>
  <si>
    <t>SEA-ICE; COUPLED MODEL; CIRCULATION; ANTARCTICA; VARIABILITY; PARAMETERIZATION; TEMPERATURE; SHELF/OCEAN; MELTWATER; RONNE</t>
  </si>
  <si>
    <t>To study the influence of basal melting of the Ross Ice Shelf (BMRIS) on the Southern Ocean (ocean southward of 35 degrees S) in quasi-equilibrium, numerical experiments with and without the BMRIS effect were performed using a global ocean-sea ice-ice shelf coupled model. In both experiments, the model started from a state of quasi-equilibrium ocean and was integrated for 500 years forced by CORE (Coordinated Ocean-ice Reference Experiment) normal-year atmospheric fields. The simulation results of the last 100 years were analyzed. The melt rate averaged over the entire Ross Ice Shelf is 0.25 m a(-1), which is associated with a freshwater lflux of 3.15 mSv (1 mSv = 10(3) m(3) s(-1)). The extra freshwater flux decreases the salinity in the region from 1500 m depth to the sea floor in the southern Pacific and Indian oceans, with a maximum difference of nearly 0.005 PSU in the Pacific Ocean. Conversely, the effect of concurrent heat flux is mainly confined to the middle depth layer (approximately 1500 to 3000 m). The decreased density due to the BMRIS effect, together with the influence of ocean topography, creates local differences in circulation in the Ross Sea and nearby waters. Through advection by the Antarctic Circumpolar Current, the flux difference from BMRIS gives rise to an increase of sea ice thickness and sea ice concentration in the Ross Sea adjacent to the coast and ocean water to the east. Warm advection and accumulation of warm water associated with differences in local circulation decrease sea ice concentration on the margins of sea ice cover adjacent to open water in the Ross Sea in September. The decreased water density weakens the subpolar cell as well as the lower cell in the global residual meridional overturning circulation (MOC). Moreover, we observe accompanying reduced southward meridional heat transport at most latitudes of the Southern Ocean.</t>
  </si>
  <si>
    <t>[Liu, Xiying] Chinese Acad Sci, Inst Atmospher Phys, Beijing 100029, Peoples R China; [Liu, Xiying] Hohai Univ, Coll Oceanog, Nanjing 210098, Jiangsu, Peoples R China</t>
  </si>
  <si>
    <t>Chinese Academy of Sciences; Institute of Atmospheric Physics, CAS; Hohai University</t>
  </si>
  <si>
    <t>Liu, XY (corresponding author), Chinese Acad Sci, Inst Atmospher Phys, Beijing 100029, Peoples R China.;Liu, XY (corresponding author), Hohai Univ, Coll Oceanog, Nanjing 210098, Jiangsu, Peoples R China.</t>
  </si>
  <si>
    <t>liuxy@lasg.iap.ac.cn</t>
  </si>
  <si>
    <t>liu, xiying/0000-0002-5597-9119</t>
  </si>
  <si>
    <t>China Special Fund for Research in the Public Interest [GYHY201506011]; Natural Science Foundation of China [41276190]</t>
  </si>
  <si>
    <t>China Special Fund for Research in the Public Interest; Natural Science Foundation of China(National Natural Science Foundation of China (NSFC))</t>
  </si>
  <si>
    <t>I would like to thank Xylar Asay-Davis and Ryan Walker for their thorough review and helpful comments and suggestions. The experiments in the work were designed and performed during visits to Cecilia M. Bitz at the University of Washington in Seattle. I would also like to thank Xuehong Zhang for his helpful questions on the manuscript. This work was partly sponsored by the China Special Fund for Research in the Public Interest (grant no. GYHY201506011) and the Natural Science Foundation of China (grant no. 41276190).</t>
  </si>
  <si>
    <t>1994-0416</t>
  </si>
  <si>
    <t>1994-0424</t>
  </si>
  <si>
    <t>Cryosphere</t>
  </si>
  <si>
    <t>10.5194/tc-12-3033-2018</t>
  </si>
  <si>
    <t>GU8XC</t>
  </si>
  <si>
    <t>gold, Green Submitted</t>
  </si>
  <si>
    <t>WOS:000445625900001</t>
  </si>
  <si>
    <t>Lawrence, ZD; Manney, GL; Wargan, K</t>
  </si>
  <si>
    <t>Lawrence, Zachary D.; Manney, Gloria L.; Wargan, Krzysztof</t>
  </si>
  <si>
    <t>Reanalysis intercomparisons of stratospheric polar processing diagnostics</t>
  </si>
  <si>
    <t>ATMOSPHERIC CHEMISTRY AND PHYSICS</t>
  </si>
  <si>
    <t>ANTARCTIC OZONE HOLE; PROJECT S-RIP; METEOROLOGICAL ANALYSES; POTENTIAL VORTICITY; SOUTHERN-HEMISPHERE; ERA-INTERIM; INTERANNUAL VARIABILITY; VORTEX; WINTER; TEMPERATURE</t>
  </si>
  <si>
    <t>We compare herein polar processing diagnostics derived from the four most recent full-input reanalysis datasets: the National Centers for Environmental Prediction Climate Forecast System Reanalysis/Climate Forecast System, version 2 (CFSR/CFSv2), the European Centre for Medium-Range Weather Forecasts Interim (ERA-Interim) reanalysis, the Japanese Meteorological Agency's 55-year (JRA-55) reanalysis, and the National Aeronautics and Space Administration (NASA) Modern-Era Retrospective analysis for Research and Applications, version 2 (MERRA-2). We focus on diagnostics based on temperatures and potential vorticity (PV) in the lower-to-middle stratosphere that are related to formation of polar stratospheric clouds (PSCs), chlorine activation, and the strength, size, and longevity of the stratospheric polar vortex. Polar minimum temperatures (T-min) and the area of regions having temperatures below PSC formation thresholds (A PSC) show large persistent differences between the reanalyses, especially in the Southern Hemisphere (SH), for years prior to 1999. Average absolute differences of the reanalyses from the reanalysis ensemble mean (REM) in T-min are as large as 3K at some levels in the SH (1.5K in the Northern Hemisphere - NH), and absolute differences of reanalysis A PSC from the REM up to 1.5% of a hemisphere (0.75% of a hemisphere in the NH). After 1999, the reanalyses converge toward better agreement in both hemispheres, dramatically so in the SH: average T-min differences from the REM are generally less than 1K in both hemispheres, and average A PSC differences less than 0.3% of a hemisphere. The comparisons of diagnostics based on isentropic PV for assessing polar vortex characteristics, including maxi-mum PV gradients (MPVGs) and the area of the vortex in sunlight (or sunlit vortex area, SVA), show more complex behavior: SH MPVGs showed convergence toward better agreement with the REM after 1999, while NH MPVGs differences remained largely constant over time; differences in SVA remained relatively constant in both hemispheres. While the average differences from the REM are generally small for these vortex diagnostics, understanding such differences among the reanalyses is complicated by the need to use different methods to obtain vertically resolved PV for the different reanalyses. We also evaluated other winter season summary diagnostics, including the winter mean volume of air below PSC thresholds, and vortex decay dates. For the volume of air below PSC thresholds, the reanalyses generally agree best in the SH, where relatively small interannual variability has led to many winter seasons with similar polar processing potential and duration, and thus low sensitivity to differences in meteorological conditions among the reanalyses. In contrast, the large interannual variability of NH winters has given rise to many seasons with marginal conditions that are more sensitive to reanalysis differences. For vortex decay dates, larger differences are seen in the SH than in the NH; in general, the differences in decay dates among the reanalyses follow from persistent differences in their vortex areas. Our results indicate that the transition from the reanalyses assimilating Tiros Operational Vertical Sounder (TOVS) data to advanced TOVS and other data around 1998-2000 resulted in a profound improvement in the agreement of the temperature diagnostics presented (especially in the SH) and to a lesser extent the agreement of the vortex diagnostics. We present several recommendations for using reanalyses in polar processing studies, particularly related to the sensitivity to changes in data inputs and assimilation. Because of these sensitivities, we urge great caution for studies aiming to assess trends derived from reanalysis temperatures. We also argue that one of the best ways to assess the sensitivity of scientific results on polar processing is to use multiple reanalysis datasets.</t>
  </si>
  <si>
    <t>[Lawrence, Zachary D.; Manney, Gloria L.] New Mexico Inst Min &amp; Technol, Socorro, NM 87801 USA; [Lawrence, Zachary D.; Manney, Gloria L.] NorthWest Res Associates, Socorro, NM 87801 USA; [Wargan, Krzysztof] NASA, Goddard Space Flight Ctr, Greenbelt, MD USA; [Wargan, Krzysztof] Sci Syst &amp; Applicat Inc, Lanham, MD USA</t>
  </si>
  <si>
    <t>New Mexico Institute of Mining Technology; NorthWest Research Associates; National Aeronautics &amp; Space Administration (NASA); NASA Goddard Space Flight Center; Science Systems and Applications Inc</t>
  </si>
  <si>
    <t>Lawrence, ZD (corresponding author), New Mexico Inst Min &amp; Technol, Socorro, NM 87801 USA.;Lawrence, ZD (corresponding author), NorthWest Res Associates, Socorro, NM 87801 USA.</t>
  </si>
  <si>
    <t>zachary.lawrence@student.nmt.edu</t>
  </si>
  <si>
    <t>Lawrence, Zachary/X-6766-2019; Manney, Gloria/JED-7207-2023</t>
  </si>
  <si>
    <t>Wargan, Krzysztof/0000-0002-3795-2983; Lawrence, Zachary/0000-0003-0901-3839</t>
  </si>
  <si>
    <t>JPL Microwave Limb Sounder team under JPL; NASA Modeling, Analysis and Prediction (MAP) program</t>
  </si>
  <si>
    <t>JPL Microwave Limb Sounder team under JPL; NASA Modeling, Analysis and Prediction (MAP) program(National Aeronautics &amp; Space Administration (NASA))</t>
  </si>
  <si>
    <t>We thank the Microwave Limb Sounder team at JPL, especially Brian W. Knosp and Ryan A. Fuller, for computational, data processing, management, and analysis support; Will McCarty and Larry Coy of the GMAO for helpful comments; NASA's GMAO, ECMWF, JMA, and NCEP for providing their assimilated data products; Amy Butler, Jeremiah Sjoberg, Craig Long, Sean Davis, Henry L. Miller, and Karen Rosenlof for processing and providing the model level CFSR/CFSv2 data; and Simon Chabrillat and an anonymous reviewer for their constructive and helpful comments that improved this paper. GLM and ZDL were supported by the JPL Microwave Limb Sounder team under JPL subcontracts to NWRA and NMT; KW was supported by the NASA Modeling, Analysis and Prediction (MAP) program, which also provides support for MERRA and MERRA-2.</t>
  </si>
  <si>
    <t>1680-7316</t>
  </si>
  <si>
    <t>1680-7324</t>
  </si>
  <si>
    <t>ATMOS CHEM PHYS</t>
  </si>
  <si>
    <t>Atmos. Chem. Phys.</t>
  </si>
  <si>
    <t>SEP 25</t>
  </si>
  <si>
    <t>10.5194/acp-18-13547-2018</t>
  </si>
  <si>
    <t>GU7OQ</t>
  </si>
  <si>
    <t>Green Accepted, Green Submitted, gold</t>
  </si>
  <si>
    <t>WOS:000445514600002</t>
  </si>
  <si>
    <t>Moraes, MM; Mendes, TT; Martins, YAT; Espinosa, CN; Maluf, CB; Soares, DD; Wanner, SP; Arantes, RME</t>
  </si>
  <si>
    <t>Moraes, Michele M.; Mendes, Thiago T.; Martins, Ygor A. T.; Espinosa, Cristian N.; Maluf, Chams B.; Soares, Danusa D.; Wanner, Samuel P.; Arantes, Rosa M. E.</t>
  </si>
  <si>
    <t>The changes in maximal oxygen uptake (VoO2MAX) induced by physical exertion during an Antarctic expedition depend on the initial VoO2MAX of the individuals: a case study of the Brazilian expedition</t>
  </si>
  <si>
    <t>INTERNATIONAL JOURNAL OF CIRCUMPOLAR HEALTH</t>
  </si>
  <si>
    <t>Cold; fitness; heart rate variability; physical capacity; training load</t>
  </si>
  <si>
    <t>HEART-RATE-VARIABILITY; EXERCISE; METABOLISM; INTENSITY; FREQUENCY; LACTATE; TEMPERATURE; PERFORMANCE; ADAPTATION; EXPOSURE</t>
  </si>
  <si>
    <t>Antarctic climate is challenging, since the cold, wind and sensory monotony are stressful stimuli to individuals. Moreover, camp activities and heavy clothes may contribute to increase physiological strain. Thus, we aimed to characterise the physiological demand of a 24-day period in the Antarctic field and then to evaluate the effect of this expedition on the aerobic fitness in individuals with heterogeneous initial aerobic fitness (as determined by estimating maximum oxygen consumption - VoO(2MAX)). Before and after the 24-day period in Antarctica, 7 researchers and 2 mountaineers were subjected to incremental tests to estimate their VoO(2MAX). Field effort was characterised by measuring heart rate (HR). During the field trips, their HR remained 33.4% of the recording time between 50-60% HRMAX, 22.3% between 60-70% HRMAX, and only 1.4% between 80 and 90% HRMAX. The changes in estimated VoO(2MAX) during the expedition depended on the pre-expedition aerobic fitness. The post-expedition VoO(2MAX) increased by 5.9% and decreased by 14.3%in individuals with lower (researchers) and higher (mountaineers) initial VoO(2MAX), respectively. We concluded that physical effort in the Antarctic field is characterised as predominantly of low- to moderate-intensity. This effort represented an effective training load for individuals with lower initial (V) over dotO(2MAX), but not for those with higher (V) over dotO(2MAX).</t>
  </si>
  <si>
    <t>[Moraes, Michele M.; Arantes, Rosa M. E.] Univ Fed Minas Gerais, Inst Biol Sci, Lab Neuroimmunol Expt Pathol, Belo Horizonte, MG, Brazil; [Moraes, Michele M.; Mendes, Thiago T.; Martins, Ygor A. T.; Soares, Danusa D.; Wanner, Samuel P.] Univ Fed Minas Gerais, Sch Phys Educ Physiotherapy &amp; Occupat Therapy, Exercise Physiol Lab, Belo Horizonte, MG, Brazil; [Mendes, Thiago T.] Univ Fed Maranhao, Ctr Nat &amp; Human Sci, Hlth &amp; Technol, Pinheiro, MA, Brazil; [Maluf, Chams B.] Univ Fed Minas Gerais, Dept Complementary Propaedeut, Fac Med, Belo Horizonte, MG, Brazil; [Espinosa, Cristian N.] Univ Magallanes, Sch Med, Physiol Lab, Punta Arenas, Chile</t>
  </si>
  <si>
    <t>Universidade Federal de Minas Gerais; Universidade Federal de Minas Gerais; Universidade Federal do Maranhao; Universidade Federal de Minas Gerais; Universidad de Magallanes</t>
  </si>
  <si>
    <t>Arantes, RME (corresponding author), Univ Fed Minas Gerais, Inst Biol Sci, Lab Neuroimmunol Expt Pathol, Belo Horizonte, MG, Brazil.</t>
  </si>
  <si>
    <t>rosa.esteves.arantes@gmail.com</t>
  </si>
  <si>
    <t>Wanner, Samuel P./F-9654-2012; Núñez-Espinosa, Cristian A/ADF-6181-2022; Soares, Danusa/AAW-1915-2021; MORAES, MICHELE/W-4042-2019; Mendes, Thiago Teixeira/GWZ-5533-2022; ARANTES, ROSA MARIA ESTEVES/C-5749-2013</t>
  </si>
  <si>
    <t>Wanner, Samuel P./0000-0002-4659-1032; Núñez-Espinosa, Cristian A/0000-0002-9896-7062; MORAES, MICHELE/0000-0003-4707-6099; Mendes, Thiago Teixeira/0000-0003-1644-4020; Soares, Danusa/0000-0002-5705-8890; ARANTES, ROSA MARIA ESTEVES/0000-0003-1428-9717; Martins, Ygor/0000-0002-5534-7330</t>
  </si>
  <si>
    <t>Coordenacao de Aperfeicoamento de Pessoal de Nivel Superior (CAPES) [2248/2011]; UFMG - PRPq; Conselho Nacional de Desenvolvimento Cientifico e Tecnologico (CNPq) [305952/2017-0]; Fundacao de Amparo a Pesquisa do Estado de Minas Gerais (FAPEMIG) [CDS- PPM 000304/16]; [edital 64/2013/PROANTAR/MCTI/CNPq/FNDCT]; [407803/2013-0]</t>
  </si>
  <si>
    <t>Coordenacao de Aperfeicoamento de Pessoal de Nivel Superior (CAPES)(Coordenacao de Aperfeicoamento de Pessoal de Nivel Superior (CAPES)); UFMG - PRPq; Conselho Nacional de Desenvolvimento Cientifico e Tecnologico (CNPq)(Conselho Nacional de Desenvolvimento Cientifico e Tecnologico (CNPQ)); Fundacao de Amparo a Pesquisa do Estado de Minas Gerais (FAPEMIG)(Fundacao de Amparo a Pesquisa do Estado de Minas Gerais (FAPEMIG)); ;</t>
  </si>
  <si>
    <t>This work was supported by the edital 64/2013/PROANTAR/MCTI/CNPq/FNDCT (Brazil), under the grant number 407803/2013-0; by the Coordenacao de Aperfeicoamento de Pessoal de Nivel Superior (CAPES; post-doctoral fellowship to MMM) [2248/2011]; UFMG - PRPq; by the Conselho Nacional de Desenvolvimento Cientifico e Tecnologico (CNPq; research fellowship to RMEA, under the grant number 305952/2017-0); and by the Fundacao de Amparo a Pesquisa do Estado de Minas Gerais (FAPEMIG) [CDS- PPM 000304/16].</t>
  </si>
  <si>
    <t>1239-9736</t>
  </si>
  <si>
    <t>2242-3982</t>
  </si>
  <si>
    <t>INT J CIRCUMPOL HEAL</t>
  </si>
  <si>
    <t>Int. J. Circumpolar Health</t>
  </si>
  <si>
    <t>10.1080/22423982.2018.1521244</t>
  </si>
  <si>
    <t>Public, Environmental &amp; Occupational Health</t>
  </si>
  <si>
    <t>GU9FP</t>
  </si>
  <si>
    <t>WOS:000445650600001</t>
  </si>
  <si>
    <t>Campbell, ML; Leonard, K; Primo, C; Hewitt, CL</t>
  </si>
  <si>
    <t>Campbell, Marnie L.; Leonard, Kaeden; Primo, Carmen; Hewitt, Chad L.</t>
  </si>
  <si>
    <t>Marine Biosecurity Crisis Decision-Making: Two Tools to Aid Go/No Go Decision-Making</t>
  </si>
  <si>
    <t>FRONTIERS IN MARINE SCIENCE</t>
  </si>
  <si>
    <t>bryozoan; environmental management; incursion response; introduced species; non-indigenous species; non-native species; cryptogenic species; rapid response</t>
  </si>
  <si>
    <t>SYNIDOTEA-LAEVIDORSALIS MIERS; BIOLOGICAL INVASIONS; ISOPOD; INTRODUCTIONS; BIODIVERSITY; MANAGEMENT; CALIFORNIA; BRYOZOANS; PATTERNS; CRITERIA</t>
  </si>
  <si>
    <t>Determining if a newly detected marine species is introduced to an area is an important first step when considering if control or eradication should be attempted. This step is often challenging, especially when data and introduced species expertise is limited: yet decisions about responding to a new invasion needs to occur in a timely manner. The crux is that biosecurity crisis decisions are often made in a vacuum. To improve this process, we consider expanded criteria to determine if a species is native, cryptogenic or introduced and outline application in a rapid response approach that uses a non-probabilistic decision tree to support decision makers. Effective use of the rapid response decision-tree and species criteria requires a multi-disciplinary approach drawing upon biology (taxonomy, phylogeny, genetics, ecology, biogeography) and monitoring. We assessed the expanded criteria against 213 bryozoan species present in Australian waters. A multivariate evaluation highlighted that a weight of evidence approach using the expanded criteria was successful in differentiating between native and introduced status. Our assessment highlighted that five criteria provide a high level of congruence with heuristic assignments, and provide a precautionary assignment of species' status by reducing mis-classifications of introduced species as native species (Type I error) in comparison to the original criteria. However, differentiating between introduced and cryptogenic species remains problematic, especially when using the original criteria. We highlight the critical need for taxonomic identification, appropriate application of assigning cryptogenic status, and monitoring requirements to enable use of the criteria in a rapid response context. Using both the rapid response decision tree and the criteria provides a quantifiable mechanism to aid decision-makers in deciding whether to respond to a marine species introduction.</t>
  </si>
  <si>
    <t>[Campbell, Marnie L.; Leonard, Kaeden] Univ Waikato, Environm Res Inst, Hamilton, New Zealand; [Campbell, Marnie L.; Hewitt, Chad L.] Murdoch Univ, Harry Butler Inst, Murdoch, WA, Australia; [Primo, Carmen] Univ Tasmania, Inst Marine &amp; Antarctic Studies, Launceston, Tas, Australia; [Hewitt, Chad L.] Univ Waikato, Sch Sci, Hamilton, New Zealand</t>
  </si>
  <si>
    <t>University of Waikato; Murdoch University; University of Tasmania; University of Waikato</t>
  </si>
  <si>
    <t>Campbell, ML (corresponding author), Univ Waikato, Environm Res Inst, Hamilton, New Zealand.;Campbell, ML (corresponding author), Murdoch Univ, Harry Butler Inst, Murdoch, WA, Australia.</t>
  </si>
  <si>
    <t>marnie.campbell@murdoch.edu.au</t>
  </si>
  <si>
    <t>Campbell, Mariel L/HTR-9392-2023; Hewitt, Chad/J-2105-2019</t>
  </si>
  <si>
    <t>Campbell, Mariel L/0000-0003-0536-5044; Hewitt, Chad/0000-0002-6859-6512; Campbell, Marnie/0000-0002-8716-0036</t>
  </si>
  <si>
    <t>2296-7745</t>
  </si>
  <si>
    <t>FRONT MAR SCI</t>
  </si>
  <si>
    <t>Front. Mar. Sci.</t>
  </si>
  <si>
    <t>SEP 24</t>
  </si>
  <si>
    <t>10.3389/fmars.2018.00331</t>
  </si>
  <si>
    <t>Environmental Sciences; Marine &amp; Freshwater Biology</t>
  </si>
  <si>
    <t>Environmental Sciences &amp; Ecology; Marine &amp; Freshwater Biology</t>
  </si>
  <si>
    <t>HJ6QX</t>
  </si>
  <si>
    <t>WOS:000457318500001</t>
  </si>
  <si>
    <t>Tang, MSY; Chenoli, SN; Colwell, S; Grant, R; Simms, M; Law, J; Abu Samah, A</t>
  </si>
  <si>
    <t>Tang, Malcolm S. Y.; Chenoli, Sheeba Nettukandy; Colwell, Steve; Grant, Rosey; Simms, Mairi; Law, John; Abu Samah, Azizan</t>
  </si>
  <si>
    <t>Precipitation instruments at Rothera Station, Antarctic Peninsula: a comparative study</t>
  </si>
  <si>
    <t>Observation; Antarctica; reanalysis; GPCP 1DD; blowing snow</t>
  </si>
  <si>
    <t>SURFACE MASS-BALANCE; IN-SITU OBSERVATIONS; ICE-SHEET; SNOW; REANALYSIS; VARIABILITY; MODELS; ACCUMULATION; CLIMATOLOGY; SYSTEM</t>
  </si>
  <si>
    <t>Direct measurement of precipitation in the Antarctic using ground-based instruments is important to validate the results from climate models, reanalyses and satellite observations. Quantifying precipitation in Antarctica faces many unique challenges such as wind and other technical difficulties due to the harsh environment. This study compares a variety of precipitation measurements in Antarctica, including satellite data and reanalysis fields atRothera Station, Antarctica Peninsula. The tipping bucket gauges (TBGs) were less sensitive than laser-based sensors (LBSs). The most sensitive LBS (Visibility and Present Weather Sensor, VPF-730) registered 276 precipitation days, while the most sensitive TBG (Universal Precipitation Gauge, UPG-1000) detected 152 precipitation days. Case studies of the precipitation and seasonal accumulation results show the VPF-730 to be the most reliable precipitation sensor of the evaluated instruments. The precipitation amounts given by the reanalyses were positively correlated with wind speed. The precipitation from the Japanese 55-year Reanalysis was most affected by wind speed. Case studies also show that during low wind periods, precipitation measurements from the instruments were very close to the precipitation measurement given by the Global Precipitation Climatology Project (GPCP) 1-degree-daily (1DD) data. During strong wind events, the GPCP 1DD did not fully capture the effect of wind, accounting for the relatively small precipitation amount. The Laser Precipitation Monitor (LPM) and Campbell Scientific-700 (CS700H) experienced instrumental errors during the study, which caused the precipitation readings to become exceedingly high and low, respectively. Installing multiple LBSs in different locations (in close proximity) can help identify inconsistency in the readings.</t>
  </si>
  <si>
    <t>[Tang, Malcolm S. Y.; Chenoli, Sheeba Nettukandy; Abu Samah, Azizan] Univ Malaya, Natl Antarctic Res Ctr, Inst Grad Studies, Kuala Lumpur, Malaysia; [Chenoli, Sheeba Nettukandy; Abu Samah, Azizan] Univ Malaya, Fac Arts &amp; Social Sci, Dept Geog, Kuala Lumpur 50603, Malaysia; [Chenoli, Sheeba Nettukandy; Abu Samah, Azizan] Univ Malaya, Inst Ocean &amp; Earth Sci, Kuala Lumpur, Malaysia; [Colwell, Steve; Grant, Rosey; Simms, Mairi; Law, John] British Antarctic Survey, Cambridge, England; [Law, John] MetServ, Wellington, New Zealand</t>
  </si>
  <si>
    <t>Universiti Malaya; Universiti Malaya; Universiti Malaya; UK Research &amp; Innovation (UKRI); Natural Environment Research Council (NERC); NERC British Antarctic Survey</t>
  </si>
  <si>
    <t>Chenoli, SN (corresponding author), Univ Malaya, Fac Arts &amp; Social Sci, Dept Geog, Kuala Lumpur 50603, Malaysia.</t>
  </si>
  <si>
    <t>sheeba@um.edu.my</t>
  </si>
  <si>
    <t>Pau Loke, Show/A-7953-2015; ABU SAMAH, AZIZAN HJ/B-8295-2010; Chenoli, Sheeba Nettukandy/G-6726-2012</t>
  </si>
  <si>
    <t>Pau Loke, Show/0000-0002-0913-5409; Tang, Malcolm/0000-0002-9536-2009</t>
  </si>
  <si>
    <t>University of Malaya Research [RP002B-13SUS]; Ministry of Science Technology and Innovation (MOSTI) flagship grant [FP1213E037]; NERC [bas0100032] Funding Source: UKRI</t>
  </si>
  <si>
    <t>University of Malaya Research(Universiti Malaya); Ministry of Science Technology and Innovation (MOSTI) flagship grant; NERC(UK Research &amp; Innovation (UKRI)Natural Environment Research Council (NERC))</t>
  </si>
  <si>
    <t>This work was funded by University of Malaya Research, grant RP002B-13SUS; Ministry of Science Technology and Innovation (MOSTI) flagship grant FP1213E037.</t>
  </si>
  <si>
    <t>10.1080/17518369.2018.1503906</t>
  </si>
  <si>
    <t>GU5QO</t>
  </si>
  <si>
    <t>Green Accepted, gold</t>
  </si>
  <si>
    <t>WOS:000445344000001</t>
  </si>
  <si>
    <t>Wu, XH; Tang, YX; Silberschmidt, VV; Wilson, P; Chen, Z</t>
  </si>
  <si>
    <t>Wu, Xinghua; Tang, Yuxin; Silberschmidt, Vadim V.; Wilson, Peter; Chen, Zhong</t>
  </si>
  <si>
    <t>Mechanically Robust Transparent Anti-Icing Coatings: Roles of Dispersion Status of Titanate Nanotubes</t>
  </si>
  <si>
    <t>ADVANCED MATERIALS INTERFACES</t>
  </si>
  <si>
    <t>anti-icing; mechanical properties; sol-gel; titanate nanotubes; transparent</t>
  </si>
  <si>
    <t>ICEPHOBIC COATINGS; CARBON NANOTUBES; ICE NUCLEATION; SURFACES; GEL; WETTABILITY; SILICA; MICROSTRUCTURE; NANOPARTICLES; PARAMETERS</t>
  </si>
  <si>
    <t>Ice accretion on automobiles, aerospace components, precision instruments, and photovoltaic devices detrimentally affect their performance and increase the maintenance cost. Despite significant efforts devoted to the investigation of anti-icing coatings in the past decades, mechanically robust and transparent anti-icing coatings are rarely reported. In this study, titanate nanotubes are used as filler to prepare mechanically robust anti-icing coatings with a sol-gel method. Specially, the effect of dispersion status of nanotubes on the transmittance, surface roughness, and water repellency is investigated. The optimized smooth, transparent coating exhibits higher water repellency and better anti-icing performance in terms of ice-adhesion strength, icing delay time, and ice-nucleation temperature than the rough one. Much higher hardness and scratch resistance than that of commercially available icephobic or anti-icing coatings is obtained on the smooth, transparent sample; the coating also presents good adhesion to the substrate.</t>
  </si>
  <si>
    <t>[Wu, Xinghua; Tang, Yuxin; Chen, Zhong] Nanyang Technol Univ, Sch Mat Sci &amp; Engn, 50 Nanyang Ave, Singapore 639798, Singapore; [Silberschmidt, Vadim V.] Loughborough Univ, Wolfson Sch Mech Elect &amp; Mfg Engn, Loughborough LE11 3TU, Leics, England; [Wilson, Peter] Univ Tasmania, Inst Marine &amp; Antarctic Sci, Hobart, Tas 7000, Australia; [Wilson, Peter] Univ S Florida, Honors Coll, Tampa, FL 33620 USA</t>
  </si>
  <si>
    <t>Nanyang Technological University; Loughborough University; University of Tasmania; State University System of Florida; University of South Florida</t>
  </si>
  <si>
    <t>Chen, Z (corresponding author), Nanyang Technol Univ, Sch Mat Sci &amp; Engn, 50 Nanyang Ave, Singapore 639798, Singapore.</t>
  </si>
  <si>
    <t>aszchen@ntu.edu.sg</t>
  </si>
  <si>
    <t>WU, Xinghua/O-7925-2018; tang, yuxin/GZN-2336-2022; Wilson, Peter/AAT-6428-2020; Silberschmidt, Vadim V./G-7113-2011; Tang, YX/E-1967-2011; Chen, Zhong/A-2244-2011</t>
  </si>
  <si>
    <t>Wilson, Peter/0000-0002-1535-6398; Silberschmidt, Vadim V./0000-0003-3338-3311; Tang, YX/0000-0001-9348-323X; Chen, Zhong/0000-0001-7518-1414</t>
  </si>
  <si>
    <t>Nanyang Technological University; Agency for Science, Technology and Research (A*STAR) of Singapore [SERC 1528000048]</t>
  </si>
  <si>
    <t>Nanyang Technological University(Nanyang Technological University); Agency for Science, Technology and Research (A*STAR) of Singapore(Agency for Science Technology &amp; Research (A*STAR))</t>
  </si>
  <si>
    <t>This work was supported by Nanyang Technological University in form of a research scholarship, and the Agency for Science, Technology and Research (A*STAR) of Singapore (SERC 1528000048).</t>
  </si>
  <si>
    <t>2196-7350</t>
  </si>
  <si>
    <t>ADV MATER INTERFACES</t>
  </si>
  <si>
    <t>Adv. Mater. Interfaces</t>
  </si>
  <si>
    <t>SEP 21</t>
  </si>
  <si>
    <t>10.1002/admi.201800773</t>
  </si>
  <si>
    <t>Chemistry, Multidisciplinary; Materials Science, Multidisciplinary</t>
  </si>
  <si>
    <t>Chemistry; Materials Science</t>
  </si>
  <si>
    <t>GU3KG</t>
  </si>
  <si>
    <t>WOS:000445175500028</t>
  </si>
  <si>
    <t>Weinstein, BG; Irvine, L; Friedlaender, AS</t>
  </si>
  <si>
    <t>Weinstein, Ben G.; Irvine, Ladd; Friedlaender, Ari S.</t>
  </si>
  <si>
    <t>Capturing foraging and resting behavior using nested multivariate Markov models in an air-breathing marine vertebrate</t>
  </si>
  <si>
    <t>MOVEMENT ECOLOGY</t>
  </si>
  <si>
    <t>Humpback whales; West Antarctic peninsula; Landscape ecology; Movement model; Hidden-markov models; Antarctic krill; Dive behavior</t>
  </si>
  <si>
    <t>WESTERN ANTARCTIC PENINSULA; SEA-ICE; ANIMAL MOVEMENT; HUMPBACK WHALES; MEGAPTERA-NOVAEANGLIAE; EUPHAUSIA-SUPERBA; KRILL FISHERY; ECOLOGY; PERFORMANCE; QUESTIONS</t>
  </si>
  <si>
    <t>Background: Matching animal movement with the behaviors that shape life history requires a rigorous connection between the observed patterns of space use and inferred behavioral states. As animal-borne dataloggers capture a greater diversity and frequency of three dimensional movements, we can increase the complexity of movement models describing animal behavior. One challenge in combining data streams is the different spatial and temporal frequency of observations. Nested movement models provide a flexible framework for gleaning data from long-duration, but temporally sparse, data sources. Results: Using a two-layer nested model, we combined geographic and vertical movement to infer traveling, foraging and resting behaviors of Humpback whales off the West Antarctic Peninsula. This approach refined previous work using only geographic data to delineate coarser behavioral states. Our results showed increased intensity in foraging activity in late season animals as the whales prepared to migrate north to tropical calving grounds. Our model also suggests strong diel variation in movement states, likely linked to daily changes in prey distribution. Conclusions: Using a combination of two-dimensional and three-dimensional movement data, we highlight the connection between whale movement and krill availability, as well as the complex spatial pattern of whale foraging in productive polar waters.</t>
  </si>
  <si>
    <t>[Weinstein, Ben G.; Irvine, Ladd; Friedlaender, Ari S.] Oregon State Univ, Marine Mammal Inst, Dept Fisheries &amp; Wildlife, 2030 Marine Sci Dr, Newport, OR 97365 USA; [Friedlaender, Ari S.] UC Santa Cruz, Inst Marine Sci, Dept Ecol &amp; Evolutionary Biol, 115 McAllister Way, Santa Cruz, CA 95060 USA</t>
  </si>
  <si>
    <t>Oregon State University; University of California System; University of California Santa Cruz</t>
  </si>
  <si>
    <t>Weinstein, BG (corresponding author), Oregon State Univ, Marine Mammal Inst, Dept Fisheries &amp; Wildlife, 2030 Marine Sci Dr, Newport, OR 97365 USA.</t>
  </si>
  <si>
    <t>ben.weinstein@weecology.org</t>
  </si>
  <si>
    <t>Irvine, Ladd/AAW-7785-2020</t>
  </si>
  <si>
    <t>Irvine, Ladd/0000-0001-5135-3496; Weinstein, Ben/0000-0002-2176-7935</t>
  </si>
  <si>
    <t>Antarctic Wildlife Research Fund [ANT-0823101]; NSF OPP National Science Foundation [ANT-0823101, 1250208, 1440435]; International Whaling Commission; Southern Ocean Research Partnership; Office of Polar Programs (OPP); Directorate For Geosciences [1250208] Funding Source: National Science Foundation</t>
  </si>
  <si>
    <t>Antarctic Wildlife Research Fund; NSF OPP National Science Foundation; International Whaling Commission; Southern Ocean Research Partnership; Office of Polar Programs (OPP); Directorate For Geosciences(National Science Foundation (NSF)NSF - Directorate for Geosciences (GEO))</t>
  </si>
  <si>
    <t>Research was supported by Antarctic Wildlife Research Fund (ANT-0823101), NSF OPP National Science Foundation ANT-0823101, 1250208, and 1440435, International Whaling Commission, and the Southern Ocean Research Partnership.</t>
  </si>
  <si>
    <t>BMC</t>
  </si>
  <si>
    <t>CAMPUS, 4 CRINAN ST, LONDON N1 9XW, ENGLAND</t>
  </si>
  <si>
    <t>2051-3933</t>
  </si>
  <si>
    <t>MOV ECOL</t>
  </si>
  <si>
    <t>Mov. Ecol.</t>
  </si>
  <si>
    <t>SEP 20</t>
  </si>
  <si>
    <t>10.1186/s40462-018-0134-4</t>
  </si>
  <si>
    <t>GV1LD</t>
  </si>
  <si>
    <t>WOS:000445837200001</t>
  </si>
  <si>
    <t>Wolovick, MJ; Moore, JC</t>
  </si>
  <si>
    <t>Wolovick, Michael J.; Moore, John C.</t>
  </si>
  <si>
    <t>Stopping the flood: could we use targeted geoengineering to mitigate sea level rise?</t>
  </si>
  <si>
    <t>ANTARCTIC ICE-SHEET; WEST ANTARCTICA; GROUNDING LINES; PINE ISLAND; TIDEWATER GLACIERS; OCEAN CIRCULATION; THWAITES GLACIER; CLIMATE-CHANGE; MASS-BALANCE; MODEL</t>
  </si>
  <si>
    <t>The Marine Ice Sheet Instability (MISI) is a dynamic feedback that can cause an ice sheet to enter a runaway collapse. Thwaites Glacier, West Antarctica, is projected to be the largest individual source of future sea level rise and may have already entered MISI. Here, we use a suite of coupled quasi-2-D ice-ocean simulations to explore whether targeted geoengineering using either a continuous artificial sill or isolated artificial pinning points could counter a collapse. Successful interventions occur when the floating ice shelf regrounds on the structure, increasing buttressing and reducing ice flux across the grounding line. Regrounding is more likely with a continuous sill that is able to block warm water transport to the grounding line. The smallest design we consider is comparable in scale to existing civil engineering projects but only has a 30% success rate, while larger designs are more effective. There are multiple possible routes forward to improve upon the designs that we considered, and with decades or more to research designs it is plausible that the scientific community could come up with a plan that is both effective and achievable. While reducing emissions remains the short-term priority for minimizing the effects of climate change, in the long run humanity may need to develop contingency plans to deal with an ice sheet collapse.</t>
  </si>
  <si>
    <t>[Wolovick, Michael J.] Princeton Univ, GFDL, Dept Geosci, Atmosphere &amp; Ocean Sci Program, 201 Forrestal Rd, Princeton, NJ 08540 USA; [Moore, John C.] Beijing Normal Univ, Coll Global Change &amp; Earth Syst Sci, Beijing, Peoples R China; [Moore, John C.] Univ Lapland, Arctic Ctr, Rovaniemi, Finland</t>
  </si>
  <si>
    <t>Princeton University; National Oceanic Atmospheric Admin (NOAA) - USA; Beijing Normal University; University of Lapland</t>
  </si>
  <si>
    <t>Wolovick, MJ (corresponding author), Princeton Univ, GFDL, Dept Geosci, Atmosphere &amp; Ocean Sci Program, 201 Forrestal Rd, Princeton, NJ 08540 USA.</t>
  </si>
  <si>
    <t>wolovick@princeton.edu</t>
  </si>
  <si>
    <t>Wolovick, Michael/JZE-0247-2024; Moore, John C/B-2868-2013</t>
  </si>
  <si>
    <t>Wolovick, Michael/0000-0002-9345-7039; Moore, John C/0000-0001-8271-5787</t>
  </si>
  <si>
    <t>National Oceanic and Atmospheric Administration, U.S. Department of Commerce [NA14OAR4320106]; Chinese MOST grant [2015CB953602]</t>
  </si>
  <si>
    <t>National Oceanic and Atmospheric Administration, U.S. Department of Commerce(National Oceanic Atmospheric Admin (NOAA) - USA); Chinese MOST grant</t>
  </si>
  <si>
    <t>Michael J. Wolovick was supported under award NA14OAR4320106 from the National Oceanic and Atmospheric Administration, U.S. Department of Commerce. The statements, findings, conclusions, and recommendations are those of the authors and do not necessarily reflect the views of the National Oceanic and Atmospheric Administration, or the U.S. Department of Commerce. John C. Moore was supported by Chinese MOST grant 2015CB953602. Olga Sergienko provided helpful comments on earlier versions of the manuscript. Richard Alley provided feedback on later versions.</t>
  </si>
  <si>
    <t>10.5194/tc-12-2955-2018</t>
  </si>
  <si>
    <t>GU2JK</t>
  </si>
  <si>
    <t>WOS:000445095400001</t>
  </si>
  <si>
    <t>Wilson, DJ; Bertram, RA; Needham, EF; van de Flierdt, T; Welsh, KJ; McKay, RM; Mazumder, A; Riesselman, CR; Jimenez-Espejo, FJ; Escutia, C</t>
  </si>
  <si>
    <t>Wilson, David J.; Bertram, Rachel A.; Needham, Emma F.; van de Flierdt, Tina; Welsh, Kevin J.; McKay, Robert M.; Mazumder, Anannya; Riesselman, Christina R.; Jimenez-Espejo, Francisco J.; Escutia, Carlota</t>
  </si>
  <si>
    <t>Ice loss from the East Antarctic Ice Sheet during late Pleistocene interglacials</t>
  </si>
  <si>
    <t>NATURE</t>
  </si>
  <si>
    <t>WILKES SUBGLACIAL BASIN; SEA-LEVEL; NORTH-ATLANTIC; SEDIMENTARY PROCESSES; ARCTIC-OCEAN; PLIOCENE; CLIMATE; NEODYMIUM; MARGIN; PALAEOPRODUCTIVITY</t>
  </si>
  <si>
    <t>Understanding ice sheet behaviour in the geological past is essential for evaluating the role of the cryosphere in the climate system and for projecting rates and magnitudes of sea level rise in future warming scenarios(1-4). Although both geological data' and ice sheet models(3,8) indicate that marine-based sectors of the East Antarctic Ice Sheet were unstable during Pliocene warm intervals, the ice sheet dynamics during late Pleistocene interglacial intervals are highly uncertain(3,)(9,10). Here we provide evidence from marine sedimentological and geochemical records for ice margin retreat or thinning in the vicinity of the Wilkes Subglacial Basin of East Antarctica during warm late Pleistocene interglacial intervals. The most extreme changes in sediment provenance, recording changes in the locus of glacial erosion, occurred during marine isotope stages 5, 9, and 11, when Antarctic air temperatures(11) were at least two degrees Celsius warmer than pre-industrial temperatures for 2,500 years or more. Hence, our study indicates a close link between extended Antarctic warmth and ice loss from the Wilkes Subglacial Basin, providing ice-proximal data to support a contribution to sea level from a reduced East Antarctic Ice Sheet during warm interglacial intervals. While the behaviour of other regions of the East Antarctic Ice Sheet remains to be assessed, it appears that modest future warming may be sufficient to cause ice loss from the Wilkes Subglacial Basin.</t>
  </si>
  <si>
    <t>[Wilson, David J.; Bertram, Rachel A.; Needham, Emma F.; van de Flierdt, Tina] Imperial Coll London, Dept Earth Sci &amp; Engn, London, England; [Wilson, David J.; Bertram, Rachel A.; van de Flierdt, Tina] Imperial Coll London, Grantham Inst Climate Change &amp; Environm, London, England; [Welsh, Kevin J.; Mazumder, Anannya] Univ Queensland, Sch Earth &amp; Environm Sci, Brisbane, Qld, Australia; [McKay, Robert M.] Victoria Univ Wellington, Antarctic Res Ctr, Wellington, New Zealand; [Riesselman, Christina R.] Univ Otago, Dept Geol, Dunedin, New Zealand; [Riesselman, Christina R.] Univ Otago, Dept Marine Sci, Dunedin, New Zealand; [Jimenez-Espejo, Francisco J.] JAMSTEC, Dept Biogeochem, Yokosuka, Kanagawa, Japan; [Jimenez-Espejo, Francisco J.; Escutia, Carlota] CSIC, Andalusian Inst Earth Sci, Armilla, Spain; [Jimenez-Espejo, Francisco J.; Escutia, Carlota] Univ Granada, Armilla, Spain</t>
  </si>
  <si>
    <t>Imperial College London; Imperial College London; University of Queensland; Victoria University Wellington; University of Otago; University of Otago; Japan Agency for Marine-Earth Science &amp; Technology (JAMSTEC); Consejo Superior de Investigaciones Cientificas (CSIC); CSIC - Instituto Andaluz de Ciencias de la Tierra (IACT); University of Granada</t>
  </si>
  <si>
    <t>Wilson, DJ (corresponding author), Imperial Coll London, Dept Earth Sci &amp; Engn, London, England.;Wilson, DJ (corresponding author), Imperial Coll London, Grantham Inst Climate Change &amp; Environm, London, England.</t>
  </si>
  <si>
    <t>david.wilson1@imperial.ac.uk</t>
  </si>
  <si>
    <t>Wilson, David/ITV-6768-2023; Jimenez-Espejo, Francisco J./AAR-2318-2020; Riesselman, Christina R/H-5037-2012; Jimenez-Espejo, Francisco J/F-4486-2016; Wilson, David/AAA-9939-2019; Escutia, Carlota/B-8614-2015; Welsh, Kevin/A-9808-2012</t>
  </si>
  <si>
    <t>Wilson, David/0000-0003-2786-4688; Jimenez-Espejo, Francisco J/0000-0002-0335-8580; Wilson, David/0000-0003-2786-4688; Bertram, Rachel/0000-0003-2926-1610; McKay, Robert/0000-0002-5602-6985; Allison, Rachel/0009-0004-3164-6055; Riesselman, Christina/0000-0002-2436-4306; Needham, Emma/0000-0002-9073-4117; Escutia, Carlota/0000-0002-4932-8619; Welsh, Kevin/0000-0002-4834-4190</t>
  </si>
  <si>
    <t>US National Science Foundation (NSF) [318]; Kristian Gerhard Jebsen Foundation; Leverhulme Trust [RPG-398]; NERC [NE/N001141/1, NE/H025162/1]; Australia-New Zealand IODP Consortium's Australian Research Council LIEF grant [LE140100047, LE0882854]; Royal Society (New Zealand) Rutherford Discovery Fellowship [RDF-13-VUW-003]; Spanish Ministry of Science and Innovation [CTM2017-89711-C2-1]; European Regional Development Fund (FEDER); Australian Research Council [LE0882854, LE140100047] Funding Source: Australian Research Council; NERC [NE/R018219/1, NE/N001141/1] Funding Source: UKRI</t>
  </si>
  <si>
    <t>US National Science Foundation (NSF)(National Science Foundation (NSF)); Kristian Gerhard Jebsen Foundation; Leverhulme Trust(Leverhulme Trust); NERC(UK Research &amp; Innovation (UKRI)Natural Environment Research Council (NERC)); Australia-New Zealand IODP Consortium's Australian Research Council LIEF grant; Royal Society (New Zealand) Rutherford Discovery Fellowship; Spanish Ministry of Science and Innovation(Spanish Government); European Regional Development Fund (FEDER)(European Union (EU)); Australian Research Council(Australian Research Council); NERC(UK Research &amp; Innovation (UKRI)Natural Environment Research Council (NERC))</t>
  </si>
  <si>
    <t>This research used samples and data provided by Integrated Ocean Drilling Program (IODP) Expedition 318, sponsored by the US National Science Foundation (NSF) and participating countries under the management of the Consortium for Ocean Leadership. D.J.W. thanks B. Coles, C. Huck, K. Kreissig, N. Pratt and P. Simoes Pereira for technical support. D.J.W., R.A.B., E.F.N. and T.v.d.F. acknowledge financial support from the Kristian Gerhard Jebsen Foundation, the Leverhulme Trust (RPG-398) and NERC (NE/N001141/1, NE/H025162/1). K.J.W. and R.M.M. were funded by the Australia-New Zealand IODP Consortium's Australian Research Council LIEF grants (LE140100047, LE0882854). R.M.M. was funded by a Royal Society (New Zealand) Rutherford Discovery Fellowship (RDF-13-VUW-003). C.E. and F.J.J.-E. acknowledge funding from the Spanish Ministry of Science and Innovation Grant CTM2017-89711-C2-1 co-financed by the European Regional Development Fund (FEDER).</t>
  </si>
  <si>
    <t>NATURE RESEARCH</t>
  </si>
  <si>
    <t>0028-0836</t>
  </si>
  <si>
    <t>1476-4687</t>
  </si>
  <si>
    <t>Nature</t>
  </si>
  <si>
    <t>10.1038/s41586-018-0501-8</t>
  </si>
  <si>
    <t>GU1HZ</t>
  </si>
  <si>
    <t>WOS:000445011500052</t>
  </si>
  <si>
    <t>Bilyk, KT; Vargas-Chacoff, L; Cheng, CHC</t>
  </si>
  <si>
    <t>Bilyk, Kevin T.; Vargas-Chacoff, Luis; Cheng, C. -H. Christina</t>
  </si>
  <si>
    <t>Evolution in chronic cold: varied loss o cellular response to heat in Antarctic notothenioid fish</t>
  </si>
  <si>
    <t>BMC EVOLUTIONARY BIOLOGY</t>
  </si>
  <si>
    <t>Antarctic fish; Notothenioid; Cold-specialization; Cellular stress response; Stenothermal; Thermal stress; RNA Seq; Gene expression</t>
  </si>
  <si>
    <t>UNFOLDED PROTEIN RESPONSE; IMMEDIATE-EARLY GENE; RNA-SEQ DATA; SHOCK RESPONSE; TREMATOMUS-BERNACCHII; STRESS-RESPONSE; MATRIX METALLOPROTEINASES; PAGOTHENIA-BORCHGREVINKI; EXPRESSION; TEMPERATURE</t>
  </si>
  <si>
    <t>Background: Confined within the freezing Southern Ocean, the Antarctic notothenioids have evolved to become both cold adapted and cold specialized. A marked signature of cold specialization is an apparent loss of the cellular heat shock response (HSR). As the HSR has been examined in very few notothenioid species to-date, it remains unknown whether HSR loss pervades the Antarctic radiation, or whether the broader cellular responses to heat stress has sustained similar loss. Understanding the evolutionary status of these responses in this stenothermal taxon is crucial for evaluating its adaptive potential to ocean warming under climate change. Results: In this study, we used an acute heat stress protocol followed by RNA-Seq analyses to study the evolution of cellular-wide transcriptional responses to heat stress across three select notothenioid lineages - the basal temperate and nearest non-Antarctic sister species Eleginops maclovinus serving as ancestral proxy, the cryopelagic Pagothenia borchgrevinki and the icefish Chionodraco rastrospinosus representing cold-adapted red-blooded and hemoglobinless Antarctic notothenioids respectively. E maclovinus displayed robust cellular stress responses including the ER Unfolded Protein Response and the cytosolic HSR, cementing the HSR as a plesiomorphy that preceded Antarctic notothenioid radiation. While the transcriptional response to heat stress was minimal in P. borchgrevinki, C rastrospinosus exhibited robust responses in the broader cellular networks especially in inflammatory responses despite lacking the classic HSR and UPR. Conclusion: The disparate patterns observed in these two archetypal Antarctic species indicate the evolutionary status in cellular ability to mitigate acute heat stress varies even among Antarctic lineages, which may affect their adaptive potential in coping with a warming world.</t>
  </si>
  <si>
    <t>[Bilyk, Kevin T.] Western Kentucky Univ, Dept Biol, 1906 Coll Hts Blvd, Bowling Green, KY 42101 USA; [Bilyk, Kevin T.; Cheng, C. -H. Christina] Univ Illinois, Sch Integrat Biol, Urbana, IL 61801 USA; [Vargas-Chacoff, Luis] Univ Austral Chile, Ctr Fondap Invest Altas Latitudes IDEAL, Inst Ciencias Marinas &amp; Limnol, Lab Fisiol Peces, Valdivia, Chile</t>
  </si>
  <si>
    <t>Western Kentucky University; University of Illinois System; University of Illinois Urbana-Champaign; Universidad Austral de Chile</t>
  </si>
  <si>
    <t>Bilyk, KT (corresponding author), Western Kentucky Univ, Dept Biol, 1906 Coll Hts Blvd, Bowling Green, KY 42101 USA.;Bilyk, KT (corresponding author), Univ Illinois, Sch Integrat Biol, Urbana, IL 61801 USA.</t>
  </si>
  <si>
    <t>kevin.bilyk@wku.edu</t>
  </si>
  <si>
    <t>Vargas-Chacoff, Luis LVCh/A-5855-2012</t>
  </si>
  <si>
    <t>Bilyk, Kevin/0000-0002-2262-2703; Vargas-Chacoff, Luis/0000-0002-0497-2582</t>
  </si>
  <si>
    <t>US National Science Foundation Division of Polar Programs [ANT-1142158, ANT-1341701]; Fondap-IDEAL [15150003]</t>
  </si>
  <si>
    <t>US National Science Foundation Division of Polar Programs(National Science Foundation (NSF)); Fondap-IDEAL</t>
  </si>
  <si>
    <t>This work was funded by the US National Science Foundation Division of Polar Programs grant ANT-1142158 to C-HC Cheng and AL DeVries. Additional support for KT Bilyk came from the US National Science Foundation Division of Polar Programs grant ANT-1341701 to KT Bilyk and C-HC Cheng. L Vargas-Chacoff was supported by Fondap-IDEAL 15150003. The funding agencies of this study play no role in the design, collection, analysis, and interpretation of data and writing of this manuscript.</t>
  </si>
  <si>
    <t>1471-2148</t>
  </si>
  <si>
    <t>BMC EVOL BIOL</t>
  </si>
  <si>
    <t>BMC Evol. Biol.</t>
  </si>
  <si>
    <t>SEP 19</t>
  </si>
  <si>
    <t>10.1186/s12862-018-1254-6</t>
  </si>
  <si>
    <t>GU0IY</t>
  </si>
  <si>
    <t>WOS:000444934400003</t>
  </si>
  <si>
    <t>Monk, J; Barrett, NS; Peel, D; Lawrence, E; Hill, NA; Lucieer, V; Hayes, KR</t>
  </si>
  <si>
    <t>Monk, Jacquomo; Barrett, Neville S.; Peel, David; Lawrence, Emma; Hill, Nicole A.; Lucieer, Vanessa; Hayes, Keith R.</t>
  </si>
  <si>
    <t>An evaluation of the error and uncertainty in epibenthos cover estimates from AUV images collected with an efficient, spatially-balanced design</t>
  </si>
  <si>
    <t>PLOS ONE</t>
  </si>
  <si>
    <t>SAMPLE-SIZE; DIVERSITY; PATTERNS; DISTRIBUTIONS; PERFORMANCE; INDICATORS; ABUNDANCE; FISH</t>
  </si>
  <si>
    <t>Efficient monitoring of organisms is at the foundation of protected area and biodiversity management. Such monitoring programs are based on a systematically selected set of survey locations that, while able to track trends at those locations through time, lack inference for the overall region being monitored. Advances in spatially-balanced sampling approaches offer alternatives but remain largely untested in marine ecosystems. This study evaluated the merit of using a two-stage, spatially-balanced survey framework, in conjunction with generalized additive models, to estimate epifauna cover at a reef-wide scale for mesophotic reefs within a large, cross-shelf marine park. Imagery acquired by an autonomous underwater vehicle was classified using a hierarchical scheme developed under the Collaborative and Automated Tools for Analysis of Marine Imagery (CATAMI). At a realistic image subsampling intensity, the two-stage, spatially-balanced framework provided accurate and precise estimates of reef-wide cover for a select number of epifaunal classes at the coarsest CATAMI levels, in particular bryozoan and porifera classes. However, at finer hierarchical levels, accuracy and/or precision of cover estimates declined, primarily because of the natural rarity of even the most common of these classes/morphospecies. Ranked predictor importance suggested that bathymetry, backscatter and derivative terrain variables calculated at their smallest analysis window scales (i.e. 81 m(2)) were generally the most important variables in the modeling of reef-wide cover. This study makes an important step in identifying the constraints and limitations that can be identified through a robust statistical approach to design and analysis. The two-stage, spatially-balanced framework has great potential for effective quantification of epifaunal cover in cross-shelf mesophotic reefs. However, greater image subsampling intensity than traditionally applied is required to ensure adequate observations for finer-level CATAMI classes and associated morphospecies.</t>
  </si>
  <si>
    <t>[Monk, Jacquomo; Barrett, Neville S.; Hill, Nicole A.; Lucieer, Vanessa] Univ Tasmania, Inst Marine &amp; Antarctic Studies, Hobart, Tas, Australia; [Peel, David; Hayes, Keith R.] CSIRO, Data61, Hobart, Tas, Australia; [Lawrence, Emma] CSIRO, Data61, Dutton Pk, Qld, Australia</t>
  </si>
  <si>
    <t>University of Tasmania; Commonwealth Scientific &amp; Industrial Research Organisation (CSIRO); Commonwealth Scientific &amp; Industrial Research Organisation (CSIRO)</t>
  </si>
  <si>
    <t>Monk, J (corresponding author), Univ Tasmania, Inst Marine &amp; Antarctic Studies, Hobart, Tas, Australia.</t>
  </si>
  <si>
    <t>jacquomo.monk@utas.edu.au</t>
  </si>
  <si>
    <t>Hayes, Keith R/A-4550-2009; Peel, David/E-8888-2010; Lawrence, Emma/A-5584-2009; Lucieer, Vanessa/D-1697-2009; Barrett, Neville/J-7593-2014</t>
  </si>
  <si>
    <t>Lucieer, Vanessa/0000-0001-7531-5750; Monk, Jacquomo/0000-0002-1874-0619; Barrett, Neville/0000-0002-6167-1356</t>
  </si>
  <si>
    <t>National Environmental Science Program</t>
  </si>
  <si>
    <t>This work was undertaken for the Marine Biodiversity Hub, a collaborative partnership supported through funding from the National Environmental Science Program (and previously through the National Environmental Research Program). NESP Marine Biodiversity Hub partners include the Institute for Marine and Antarctic Studies, University of Tasmania; CSIRO, Geoscience Australia, Australian Institute of Marine Science, Museum Victoria, Charles Darwin University, University of Western Australia, NSW Office of Environment and Heritage, NSW Department of Primary Industries and the Integrated Marine Observing System. The funders had no role in study design, data collection and analysis, decision to publish, or preparation of the manuscript.</t>
  </si>
  <si>
    <t>PUBLIC LIBRARY SCIENCE</t>
  </si>
  <si>
    <t>SAN FRANCISCO</t>
  </si>
  <si>
    <t>1160 BATTERY STREET, STE 100, SAN FRANCISCO, CA 94111 USA</t>
  </si>
  <si>
    <t>1932-6203</t>
  </si>
  <si>
    <t>PLoS One</t>
  </si>
  <si>
    <t>SEP 18</t>
  </si>
  <si>
    <t>e0203827</t>
  </si>
  <si>
    <t>10.1371/journal.pone.0203827</t>
  </si>
  <si>
    <t>GU0DL</t>
  </si>
  <si>
    <t>WOS:000444918300024</t>
  </si>
  <si>
    <t>Hoffman, MJ; Perego, M; Price, SF; Lipscomb, WH; Zhang, T; Jacobsen, D; Tezaur, I; Salinger, AG; Tuminaro, R; Bertagna, L</t>
  </si>
  <si>
    <t>Hoffman, Matthew J.; Perego, Mauro; Price, Stephen F.; Lipscomb, William H.; Zhang, Tong; Jacobsen, Douglas; Tezaur, Irina; Salinger, Andrew G.; Tuminaro, Raymond; Bertagna, Luca</t>
  </si>
  <si>
    <t>MPAS-Albany Land Ice (MALI): a variable-resolution ice sheet model for Earth system modeling using Voronoi grids</t>
  </si>
  <si>
    <t>FUTURE SEA-LEVEL; HIGHER-ORDER; SPATIAL SENSITIVITIES; BENCHMARK EXPERIMENTS; ENVIRONMENTAL-CHANGE; SUBGLACIAL DRAINAGE; SCALE SIMULATIONS; DATA ASSIMILATION; FINITE-ELEMENT; MASS RESPONSE</t>
  </si>
  <si>
    <t>We introduce MPAS-Albany Land Ice (MALI) v6.0, a new variable-resolution land ice model that uses unstructured Voronoi grids on a plane or sphere. MALI is built using the Model for Prediction Across Scales (MPAS) framework for developing variable-resolution Earth system model components and the Albany multi-physics code base for the solution of coupled systems of partial differential equations, which itself makes use of Trilinos solver libraries. MALI includes a three-dimensional first-order momentum balance solver (Blatter-Pattyn) by linking to the Albany-LI ice sheet velocity solver and an explicit shallow ice velocity solver. The evolution of ice geometry and tracers is handled through an explicit first-order horizontal advection scheme with vertical remapping. The evolution of ice temperature is treated using operator splitting of vertical diffusion and horizontal advection and can be configured to use either a temperature or enthalpy formulation. MALI includes a mass-conserving subglacial hydrology model that supports distributed and/or channelized drainage and can optionally be coupled to ice dynamics. Options for calving include eigencalving, which assumes that the calving rate is proportional to extensional strain rates. MALI is evaluated against commonly used exact solutions and community benchmark experiments and shows the expected accuracy. Results for the MISMIP3d benchmark experiments with MALI's Blatter-Pattyn solver fall between published results from Stokes and L1L2 models as expected. We use the model to simulate a semi-realistic Antarctic ice sheet problem following the initMIP protocol and using 2 km resolution in marine ice sheet regions. MALI is the glacier component of the Energy Exascale Earth System Model (E3SM) version 1, and we describe current and planned coupling to other E3SM components.</t>
  </si>
  <si>
    <t>[Hoffman, Matthew J.; Price, Stephen F.; Lipscomb, William H.; Zhang, Tong; Jacobsen, Douglas] Los Alamos Natl Lab, Fluid Dynam &amp; Solid Mech Grp, POB 1663,MS B216, Los Alamos, NM 87545 USA; [Perego, Mauro; Salinger, Andrew G.; Tuminaro, Raymond; Bertagna, Luca] Sandia Natl Labs, Ctr Comp Res, POB 5800,MS 1320, Albuquerque, NM USA; [Lipscomb, William H.] Natl Ctr Atmospher Res, POB 3000, Boulder, CO 80307 USA; [Tezaur, Irina] Sandia Natl Labs, Quantitat Modeling &amp; Anal, POB 969,MS 9159, Livermore, CA USA</t>
  </si>
  <si>
    <t>United States Department of Energy (DOE); Los Alamos National Laboratory; United States Department of Energy (DOE); Sandia National Laboratories; National Center Atmospheric Research (NCAR) - USA; United States Department of Energy (DOE); Sandia National Laboratories</t>
  </si>
  <si>
    <t>Hoffman, MJ (corresponding author), Los Alamos Natl Lab, Fluid Dynam &amp; Solid Mech Grp, POB 1663,MS B216, Los Alamos, NM 87545 USA.</t>
  </si>
  <si>
    <t>mhoffman@lanl.gov</t>
  </si>
  <si>
    <t>Price, Stephen F/E-1568-2013; Lipscomb, William/AAR-8668-2021</t>
  </si>
  <si>
    <t>Scientific Discovery through Advanced Computing (SciDAC) program; Energy Exascale Earth System Model (E3SM) project - US Department of Energy (DOE), Office of Science, Biological and Environmental Research, and Advanced Scientific Computing Research programs; Laboratory Directed Research and Development Early Career Research Program at Los Alamos National Laboratory [20160608ECR]; Office of Science of the US Department of Energy [DE-AC02-05CH11231]; US Department of Energy National Nuclear Security Administration [DE-AC52-06NA25396]</t>
  </si>
  <si>
    <t>Scientific Discovery through Advanced Computing (SciDAC) program; Energy Exascale Earth System Model (E3SM) project - US Department of Energy (DOE), Office of Science, Biological and Environmental Research, and Advanced Scientific Computing Research programs(United States Department of Energy (DOE)); Laboratory Directed Research and Development Early Career Research Program at Los Alamos National Laboratory; Office of Science of the US Department of Energy(United States Department of Energy (DOE)); US Department of Energy National Nuclear Security Administration(National Nuclear Security AdministrationUnited States Department of Energy (DOE))</t>
  </si>
  <si>
    <t>We thank additional contributors to the MALI code, Michael Duda, Dominikus Heinzeller, Benjamin Hills, and Adrian Turner, as well as the developers of the MPAS, Albany, and Trilinos libraries. Support for this work was provided through the Scientific Discovery through Advanced Computing (SciDAC) program and the Energy Exascale Earth System Model (E3SM) project funded by the US Department of Energy (DOE), Office of Science, Biological and Environmental Research, and Advanced Scientific Computing Research programs. Development of the subglacial hydrology model was supported by a grant to Matthew J. Hoffman from the Laboratory Directed Research and Development Early Career Research Program at Los Alamos National Laboratory (20160608ECR). This research used resources of the National Energy Research Scientific Computing Center, a DOE Office of Science user facility supported by the Office of Science of the US Department of Energy under contract no. DE-AC02-05CH11231, and resources provided by the Los Alamos National Laboratory Institutional Computing Program, which is supported by the US Department of Energy National Nuclear Security Administration under contract no. DE-AC52-06NA25396.</t>
  </si>
  <si>
    <t>10.5194/gmd-11-3747-2018</t>
  </si>
  <si>
    <t>GU1QD</t>
  </si>
  <si>
    <t>WOS:000445039700001</t>
  </si>
  <si>
    <t>Brannock, PM; Learman, DR; Mahon, AR; Santos, SR; Halanych, KM</t>
  </si>
  <si>
    <t>Brannock, Pamela M.; Learman, Deric R.; Mahon, Andrew R.; Santos, Scott R.; Halanych, Kenneth M.</t>
  </si>
  <si>
    <t>Meiobenthic community composition and biodiversity along a 5500 km transect of Western Antarctica: a metabarcoding analysis</t>
  </si>
  <si>
    <t>MARINE ECOLOGY PROGRESS SERIES</t>
  </si>
  <si>
    <t>18S rRNA; Antarctic sediment; Illumina; Meiobenthos; Meiofauna; Metabarcoding; Stramenopiles</t>
  </si>
  <si>
    <t>GULF-OF-MEXICO; SHALLOW-WATER MEIOFAUNA; KING-GEORGE ISLAND; BENTHIC COMMUNITY; WEDDELL SEA; ROSS SEA; METAZOAN MEIOFAUNA; TEMPORAL VARIATION; DRAKE PASSAGE; POTTER COVE</t>
  </si>
  <si>
    <t>Meiobenthic organisms, consisting of meiofauna and benthic microeukaryotes, are key components of marine ecosystems and facilitate bentho-pelagic coupling. However, their biogeographic ranges and dispersal abilities are poorly known, especially in Antarctic waters where knowledge is extremely limited. Many Antarctic marine invertebrates are reported to have circumpolar distributions despite lecithotrophy and brooding development being common. Similarly, most meiofauna have developmental stages that are often assumed to have limited dispersal capabilities. To assess Antarctic meiobenthic community distribution patterns and diversity, the hypervariable V9 region of the 18S small subunit ribosomal RNA (SSU rRNA) gene was used to metabarcode shelf sediment samples (water depth 223 to 820 m) across a 5500 km region of the Western Antarctic. We found that some taxa had broad geographic distributions given that 28 operational taxonomic units (OTUs) were present in every core processed, 74 OTUs were found at every sampling event, and 722 OTUs were present in all of the major water basins sampled. Among these broadly distributed OTUs, metazoan taxa from 4 phyla (annelids, arthropods, kinorhynchs, and nematodes) were dominant members. As many of these OTUs relate to taxa expected to have limited dispersal capabilities based on current life history information, these results highlight our limited understanding of how small organisms move around in the sea. We also noted that the Antarctic Peninsula hosts a strikingly different and less diverse community than higher latitude regions, in contrast to benthic macrofauna.</t>
  </si>
  <si>
    <t>[Brannock, Pamela M.; Santos, Scott R.; Halanych, Kenneth M.] Auburn Univ, Dept Biol Sci, Molette Biol Lab Environm &amp; Climate Change Studie, Auburn, AL 36849 USA; [Brannock, Pamela M.] Rollins Coll, Dept Biol, Winter Pk, FL 32789 USA; [Learman, Deric R.; Mahon, Andrew R.] Cent Michigan Univ, Inst Great Lakes Res, Dept Biol, Mt Pleasant, MI 48859 USA</t>
  </si>
  <si>
    <t>Auburn University System; Auburn University; Rollins College; Central Michigan University</t>
  </si>
  <si>
    <t>Brannock, PM (corresponding author), Auburn Univ, Dept Biol Sci, Molette Biol Lab Environm &amp; Climate Change Studie, Auburn, AL 36849 USA.;Brannock, PM (corresponding author), Rollins Coll, Dept Biol, Winter Pk, FL 32789 USA.</t>
  </si>
  <si>
    <t>pbrannock@rollins.edu</t>
  </si>
  <si>
    <t>Santos, Scott R/A-7472-2009; Halanych, Ken M/A-9480-2009</t>
  </si>
  <si>
    <t>Learman, Deric/0000-0003-3809-296X; Mahon, Andrew/0000-0002-5074-8725; Brannock, Pamela/0000-0003-1677-453X</t>
  </si>
  <si>
    <t>NSF Antarctic Program [ANT-1043745, ANT-1043670]</t>
  </si>
  <si>
    <t>NSF Antarctic Program</t>
  </si>
  <si>
    <t>We are grateful to the crew members aboard both the RVIB 'Nathaniel B. Palmer' and ARSV 'Laurence M. Gould' for their assistance and guidance throughout the expeditions. We also thank Abigail L. Hollingsworth, Kevin M. Kocot, and Damien S. Waits for their assistance in sampling collection on board. Funding for this research was supported by the NSF Antarctic Program grants (ANT-1043745 to K.M.H. and S.R.S.; ANT-1043670 to A.R.M.). This is Auburn University Marine Biology Program contribution number 175 and Molette Biology Laboratory contribution 79.</t>
  </si>
  <si>
    <t>INTER-RESEARCH</t>
  </si>
  <si>
    <t>OLDENDORF LUHE</t>
  </si>
  <si>
    <t>NORDBUNTE 23, D-21385 OLDENDORF LUHE, GERMANY</t>
  </si>
  <si>
    <t>0171-8630</t>
  </si>
  <si>
    <t>1616-1599</t>
  </si>
  <si>
    <t>MAR ECOL PROG SER</t>
  </si>
  <si>
    <t>Mar. Ecol.-Prog. Ser.</t>
  </si>
  <si>
    <t>SEP 17</t>
  </si>
  <si>
    <t>10.3354/meps12717</t>
  </si>
  <si>
    <t>Ecology; Marine &amp; Freshwater Biology; Oceanography</t>
  </si>
  <si>
    <t>Environmental Sciences &amp; Ecology; Marine &amp; Freshwater Biology; Oceanography</t>
  </si>
  <si>
    <t>GV9IE</t>
  </si>
  <si>
    <t>WOS:000446469100004</t>
  </si>
  <si>
    <t>Schultz, H; Hohnhold, RJ; Taylor, GA; Bury, SJ; Bliss, T; Ismar, SMH; Gaskett, AC; Millar, CD; Dennis, TE</t>
  </si>
  <si>
    <t>Schultz, Hendrik; Hohnhold, Rebecca J.; Taylor, Graeme A.; Bury, Sarah J.; Bliss, Tansy; Ismar, Stefanie M. H.; Gaskett, Anne C.; Millar, Craig D.; Dennis, Todd E.</t>
  </si>
  <si>
    <t>Non-breeding distribution and activity patterns in a temperate population of brown skua</t>
  </si>
  <si>
    <t>Migration; Geolocation; Sexual segregation; Seabird; Stable isotope</t>
  </si>
  <si>
    <t>MIGRATION STRATEGIES; STABLE-ISOTOPES; HABITAT PREFERENCES; POLAR FRONT; TRACKING; SEABIRDS; GEOLOCATION; MOVEMENTS; FEATHERS; PACKAGE</t>
  </si>
  <si>
    <t>Brown skuas Catharacta antarctica lonnbergi breed across a broad latitudinal range from the Antarctic to temperate regions. While information on the non-breeding distribution and behaviour for Antarctic and subantarctic populations is known, no data exist for populations breeding at temperate latitudes. We combined geolocation sensing and stable isotope analysis of feather tissue to study the non-breeding behaviour of brown skuas from the temperate Chatham Islands, a population that was historically thought to be resident year-round. Analysis of 27 non-breeding tracks across 2 winters revealed that skuas left the colony for a mean duration of 146 d, which is 64% of the duration reported for Antarctic and subantarctic populations from King George Island, South Shetland Islands, and Bird Island, South Georgia. Consistent with populations of brown skuas from Antarctica and the Subantarctic, the distribution was throughout mixed subtropical-subantarctic and shelf waters. Stable isotope analysis of 72 feathers suggests that moulting takes place over mixed subtropical-subantarctic and subtropical shelf waters. We conclude that brown skuas from the Chatham Islands are migratory, but the year-round mild environmental conditions may reduce the necessity to leave their territories for extended periods.</t>
  </si>
  <si>
    <t>[Schultz, Hendrik; Hohnhold, Rebecca J.; Ismar, Stefanie M. H.; Gaskett, Anne C.; Millar, Craig D.; Dennis, Todd E.] Univ Auckland, Sch Biol Sci, Auckland 1142, New Zealand; [Taylor, Graeme A.] Dept Conservat, Wellington 6143, New Zealand; [Bury, Sarah J.] Natl Inst Water &amp; Atmospher Res Ltd, Wellington 6021, New Zealand; [Bliss, Tansy] Waitohi Picton Off, Dept Conservat, Picton 7220, New Zealand; [Ismar, Stefanie M. H.] GEOMAR Helmholtz Ctr Ocean Res, D-24148 Kiel, Germany; [Dennis, Todd E.] Fiji Natl Univ, Coll Engn Sci &amp; Technol, Natabua, Fiji</t>
  </si>
  <si>
    <t>University of Auckland; National Institute of Water &amp; Atmospheric Research (NIWA) - New Zealand; Helmholtz Association; GEOMAR Helmholtz Center for Ocean Research Kiel; Fiji National University (FNU)</t>
  </si>
  <si>
    <t>Millar, CD (corresponding author), Univ Auckland, Sch Biol Sci, Auckland 1142, New Zealand.</t>
  </si>
  <si>
    <t>cd.millar@auckland.ac.nz</t>
  </si>
  <si>
    <t>Ismar, Stefanie MH/H-1133-2017; Bury, Sarah/JLN-0810-2023</t>
  </si>
  <si>
    <t>Schultz, Hendrik/0000-0001-8926-2100</t>
  </si>
  <si>
    <t>Hokotehi Moriori Trust; Ng ti Mutunga o Wharekauri Iwi; New Zealand International Doctoral Research Scholarship; University of Auckland Doctoral Scholarship Extension; Centre for Biodiversity and Biosecurity Investment Fund; Ecology, Evolution and Behaviour group discretionary funds; University of Auckland Performance Based Research Fund; Birds New Zealand Research Fund; James Sharon Watson Conservation Trust</t>
  </si>
  <si>
    <t>We thank the Hokotehi Moriori Trust and Ng ti Mutunga o Wharekauri Iwi for supporting this study; The Department of Conservation, Chatham Island Office for field logistics; I. Southey, H. Rebitz for help with fieldwork; A. Cross and R. Furness for comments on fieldwork with brown skua; D. Houston for records on skua winter territory occupation; J. Stewart for bird-banding training; E. Young and A. Hemmings for comments on the manuscript; R. Phillips, J. Fox, E. Rakhimberdiev, P. Quillfeldt and J. Krietsch for comments on geolocation methods; A. Zhu, S. Patel, E. Zarate for laboratory advice; A. Kilimnik, J. Brown for carrying out the isotope analyses; T. Mattern for feedback on Actave.net; K. Chang for statistical advice; V. Ward for graphics assistance. We thank the Editor and the 3 anonymous reviewers for their helpful comments, which greatly improved the manuscript. This research was funded by a New Zealand International Doctoral Research Scholarship, University of Auckland Doctoral Scholarship Extension, Centre for Biodiversity and Biosecurity Investment Fund and discretionary funds, Ecology, Evolution and Behaviour group discretionary funds, University of Auckland Performance Based Research Fund, Birds New Zealand Research Fund and the James Sharon Watson Conservation Trust. All applicable institutional and national guidelines for the care and use of animals were followed. The authors declare that they have no conflict of interest.</t>
  </si>
  <si>
    <t>10.3354/meps12720</t>
  </si>
  <si>
    <t>WOS:000446469100016</t>
  </si>
  <si>
    <t>McGovern, M; Berge, J; Szymczycha, B; Weslawski, JM; Renaud, PE</t>
  </si>
  <si>
    <t>McGovern, Maeve; Berge, Jurgen; Szymczycha, Beata; Weslawski, Jan Marcin; Renaud, Paul E.</t>
  </si>
  <si>
    <t>Hyperbenthic food-web structure in an Arctic fjord</t>
  </si>
  <si>
    <t>Hyperbenthos; Suprabenthos; Benthic-boundary layer zooplankton; Kongsfjord; Stable isotopes; Fatty acids; Benthic-pelagic coupling</t>
  </si>
  <si>
    <t>FATTY-ACID-COMPOSITION; ANTARCTIC PENINSULA SHELF; TROPHIC RELATIONSHIPS; STABLE-ISOTOPES; NORTHERN NORWAY; COMMUNITY STRUCTURE; PLANKTON COMMUNITY; PARTICULATE MATTER; MARINE ECOSYSTEMS; LIPID-CONTENT</t>
  </si>
  <si>
    <t>Current knowledge of the Arctic marine ecosystem is based primarily on studies performed during the polar day on the pelagic and benthic realms. Both the polar night and the hyperbenthic layer remain as substantial knowledge gaps in our understanding of the marine system at high latitudes. This study investigated the hyperbenthic food web in Kongsfjord, a high-latitude, ice-free fjord, in September 2014 and January 2015. The hyperbenthic food web was analyzed using a multi-biomarker approach including stable isotopes of carbon and nitrogen as well as fatty acid profiles of a variety of hyperbenthic taxa. While results suggested no difference in biomarker composition between September and January, they indicated a division in the sampled hyperbenthic species assemblage between pelagic and benthic feeders in both sampling periods. The presence of these 2 food-web pathways may have implications for maintaining higher trophic levels through the polar night, thereby enhancing stability in the Kongsfjord system.</t>
  </si>
  <si>
    <t>[McGovern, Maeve; Renaud, Paul E.] Fram Ctr Climate &amp; Environm, Akvaplan Niva, N-9296 Tromso, Norway; [McGovern, Maeve; Berge, Jurgen; Renaud, Paul E.] Univ Tromso, N-9027 Tromso, Norway; [McGovern, Maeve; Berge, Jurgen] Univ Ctr Svalbard, N-9171 Longyearbyen, Norway; [McGovern, Maeve] Nord Univ, Fac Biosci &amp; Aquaculture, Postbox 1490, N-8049 Bodo, Norway; [Szymczycha, Beata; Weslawski, Jan Marcin] Inst Oceanol PAS, Ul Powstancow Warszawy 55, PL-81712 Sopot, Poland; [McGovern, Maeve] Norwegian Inst Water Res, Gaustadalleen 21, N-0349 Oslo, Norway</t>
  </si>
  <si>
    <t>Akvaplan-niva; UiT The Arctic University of Tromso; University Centre Svalbard (UNIS); Nord University; Polish Academy of Sciences; Institute of Oceanology of the Polish Academy of Sciences; Norwegian Institute for Water Research (NIVA)</t>
  </si>
  <si>
    <t>McGovern, M (corresponding author), Fram Ctr Climate &amp; Environm, Akvaplan Niva, N-9296 Tromso, Norway.;McGovern, M (corresponding author), Univ Tromso, N-9027 Tromso, Norway.;McGovern, M (corresponding author), Univ Ctr Svalbard, N-9171 Longyearbyen, Norway.;McGovern, M (corresponding author), Nord Univ, Fac Biosci &amp; Aquaculture, Postbox 1490, N-8049 Bodo, Norway.;McGovern, M (corresponding author), Norwegian Inst Water Res, Gaustadalleen 21, N-0349 Oslo, Norway.</t>
  </si>
  <si>
    <t>maeve.mcgovern@niva.no</t>
  </si>
  <si>
    <t>Szymczycha, Beata/ACC-7693-2022; Weslawski, Jan M/F-4075-2012; Renaud, Paul E/C-7191-2008; Berge, Jorgen/E-7544-2015</t>
  </si>
  <si>
    <t>Szymczycha, Beata/0000-0002-5815-215X; Weslawski, Jan-Marcin/0000-0001-8434-5927; Berge, Jorgen/0000-0003-0900-5679; McGovern, Maeve/0000-0003-1484-9745</t>
  </si>
  <si>
    <t>UK Natural Environment Research Council; Research Council of Norway [Cleopatra II: 216537, Circa: 214271/F20]; Norwegian Research Council (Marine Night Project) [226417]</t>
  </si>
  <si>
    <t>UK Natural Environment Research Council(UK Research &amp; Innovation (UKRI)Natural Environment Research Council (NERC)); Research Council of Norway(Research Council of Norway); Norwegian Research Council (Marine Night Project)</t>
  </si>
  <si>
    <t>We thank Akvaplan-niva, UNIS, UiT, and the Fulbright Foundation as well as fellow members of the Marine Night Project and the crew of the 'Helmer Hansen'. Specifically, thanks to Joanna Legezynska, Mikolaj Mazurkiewicz, and Maria Wlodarska-Kowalczuk for help collecting samples in January 2015. Additional thanks to Tara Connelly for her help interpreting the fatty acid data, Joanna Legezynska for comments on the final manuscript, and to Karol Kulinski for overseeing the stable isotope analysis in Sopot. We thank Colin Griffiths and Finlo Cottier for overseeing the SAMS mooring programme supported by the UK Natural Environment Research Council (Oceans 2025) and the Research Council of Norway (projects Cleopatra II: 216537, and Circa: 214271/F20). Special thanks to Raul Primicerio and Michael Greenacre for help with statistics. Significant funding was provided by the Norwegian Research Council (Marine Night Project, Project No. 226417)</t>
  </si>
  <si>
    <t>10.3354/meps12713</t>
  </si>
  <si>
    <t>WOS:000446469100003</t>
  </si>
  <si>
    <t>Buchholz, RR; Hammerling, D; Worden, HM; Deeter, MN; Emmons, LK; Edwards, DP; Monks, SA</t>
  </si>
  <si>
    <t>Buchholz, R. R.; Hammerling, D.; Worden, H. M.; Deeter, M. N.; Emmons, L. K.; Edwards, D. P.; Monks, S. A.</t>
  </si>
  <si>
    <t>Links Between Carbon Monoxide and Climate Indices for the Southern Hemisphere and Tropical Fire Regions</t>
  </si>
  <si>
    <t>carbon monoxide; chemistry climate; statistical models</t>
  </si>
  <si>
    <t>INTERANNUAL VARIABILITY; ATMOSPHERIC CHEMISTRY; ISOPRENE EMISSIONS; DIPOLE MODE; AIR-QUALITY; LAND-USE; EL-NINO; MOPITT; TROPOSPHERE; INSTRUMENT</t>
  </si>
  <si>
    <t>In the Southern Hemisphere and tropics, the main contribution to carbon monoxide (CO) variability is from fire emissions, which are connected to climate through the availability, type, and dryness of fuel. Here we assess the data-driven relationships between CO and climate, aiming to predict atmospheric loading during fire seasons. Observations of total column CO from the Measurements Of Pollution In The Troposphere satellite instrument are used to build a record of monthly anomalies between 2001 and 2016, focusing on seven biomass burning regions of the Southern Hemisphere and tropics. With the exception of 2015, the range of absolute variability in CO is similar between regions. We model CO anomalies in each of the regions using climate indices for the climate modes: El Nino-Southern Oscillation, Indian Ocean Dipole, Tropical South Atlantic, and Antarctic Oscillation. Stepwise forward and backward variable selection is used to choose from statistical regression models that use combinations of climate indices, at lag times between 1 and 8months relative to CO anomalies. The Bayesian information criterion selects models with the best predictive power. We find that all climate mode indices are required to model CO in each region, generally explaining over 50% of the variability and over 70% for tropical regions. First-order interaction terms of the climate modes are necessary, producing greatly improved explanation of CO variability over single terms. Predictive capability is assessed for the Maritime Southeast Asia and the predicted peak CO anomaly in 2015 is within 20% of the measurements.</t>
  </si>
  <si>
    <t>[Buchholz, R. R.; Worden, H. M.; Deeter, M. N.; Emmons, L. K.; Edwards, D. P.] Natl Ctr Atmospher Res, Atmospher Chem Observat &amp; Modeling Lab, POB 3000, Boulder, CO 80307 USA; [Hammerling, D.] Natl Ctr Atmospher Res, Computat &amp; Informat Syst Lab, POB 3000, Boulder, CO 80307 USA; [Monks, S. A.] NOAA, Earth Syst Res Lab, Boulder, CO USA</t>
  </si>
  <si>
    <t>National Center Atmospheric Research (NCAR) - USA; National Center Atmospheric Research (NCAR) - USA; National Oceanic Atmospheric Admin (NOAA) - USA</t>
  </si>
  <si>
    <t>Buchholz, RR (corresponding author), Natl Ctr Atmospher Res, Atmospher Chem Observat &amp; Modeling Lab, POB 3000, Boulder, CO 80307 USA.</t>
  </si>
  <si>
    <t>buchholz@ucar.edu</t>
  </si>
  <si>
    <t>Emmons, Louisa/HPH-6028-2023; Buchholz, Rebecca R./F-1861-2011; Emmons, Louisa K/R-8922-2016; Deeter, Merritt/O-6078-2016</t>
  </si>
  <si>
    <t>Emmons, Louisa/0000-0003-2325-6212; Buchholz, Rebecca R./0000-0001-8124-2455; Emmons, Louisa K/0000-0003-2325-6212; Deeter, Merritt/0000-0002-3555-0518; Hammerling, Dorit/0000-0003-3583-3611; MONKS, SARAH/0000-0003-3474-027X</t>
  </si>
  <si>
    <t>National Science Foundation (NSF); National Aeronautics and Space Administration (NASA); Canadian Space Agency (CSA); Natural Sciences and Engineering Research Council (NSERC); Environment Canada</t>
  </si>
  <si>
    <t>National Science Foundation (NSF)(National Science Foundation (NSF)); National Aeronautics and Space Administration (NASA)(National Aeronautics &amp; Space Administration (NASA)); Canadian Space Agency (CSA)(Canadian Space Agency); Natural Sciences and Engineering Research Council (NSERC)(Natural Sciences and Engineering Research Council of Canada (NSERC)); Environment Canada(CGIAR)</t>
  </si>
  <si>
    <t>The National Center for Atmospheric Research (NCAR) is sponsored by the National Science Foundation (NSF). Any opinions, findings, and conclusions or recommendations expressed in the publication are those of the author(s) and do not necessarily reflect the views of the NSF. The NCAR MOPITT project is supported by the National Aeronautics and Space Administration (NASA) Earth Observing System (EOS) program. MOPITT products are publicly available through several repositories linked via http://terra.nasa.gov/about/terra-instruments/mopitt or https://www2.acom.ucar.edu/mopitt. MOPITT anomaly data can be found at NCAR's Research Data Archive (RDA): https://rda.ucar.edu/datasets/ds682.0. Datasets used in and tools developed for the analyses are available on the MATLAB Central File Exchange: https://www.mathworks.com/matlabcentral/fileexchange/68319-southern-hemisphere-carbon-monoxide-modeling. Thank you to Peter Simonson and Lewis Blake who helped develop the code release. We thank Chi-Fan Shih for assistance with the RDA data set submission. We wish to thank the MOPITT team at NCAR, Boulder, Colorado, USA, for data processing and algorithm support. MOPITT instrument operations were supported by the MOPITT team at the University of Toronto, Ontario, Canada. The MOPITT team also acknowledges support from the Canadian Space Agency (CSA), the Natural Sciences and Engineering Research Council (NSERC), and Environment Canada, and the contributions of COMDEV (the prime contractor) and ABB BOMEM. We are grateful to NOAA for producing and supplying climate index data, which is publicly available at https://stateoftheocean.osmc.noaa.gov and http://www.cpc.ncep.noaa.gov. We thank Elizabeth Asher and Sara Martinez-Alonso for their valuable suggestions.</t>
  </si>
  <si>
    <t>SEP 16</t>
  </si>
  <si>
    <t>10.1029/2018JD028438</t>
  </si>
  <si>
    <t>GU8UH</t>
  </si>
  <si>
    <t>WOS:000445617500049</t>
  </si>
  <si>
    <t>Gautier, E; Savarino, J; Erbland, J; Farquhar, J</t>
  </si>
  <si>
    <t>Gautier, Elsa; Savarino, Joel; Erbland, Joseph; Farquhar, James</t>
  </si>
  <si>
    <t>SO2 Oxidation Kinetics Leave a Consistent Isotopic Imprint on Volcanic Ice Core Sulfate</t>
  </si>
  <si>
    <t>Antarctica; sulfur mass-independent isotope fractionation; volcanic eruption; ice core</t>
  </si>
  <si>
    <t>MASS-INDEPENDENT FRACTIONATION; SULFUR-DIOXIDE; MOUNT-PINATUBO; SIGNATURES; AEROSOL; PHOTOEXCITATION; PHOTOCHEMISTRY; CLIMATOLOGY; PHOTOLYSIS; CHEMISTRY</t>
  </si>
  <si>
    <t>This work presents measurements of time-resolved mass-independently fractionated sulfate of volcanic origin from Antarctic ice core records that cover the last 2,600years. These measurements are used to evaluate the time dependence of the deposited isotopic signal and to extract the isotopic characteristics of the reactions yielding sulfate from stratospheric volcanic eruptions in the modern atmosphere. Time evolution of the signal in snow (years) with respect to the fast SO2 oxidation in the stratosphere suggests that photochemically produced condensed phase is rapidly and continuously separated from the gas phase and preserved during transportation and deposition on the polar ice cap. On some eruptions, a nonzero isotopic mass balance highlights that a part of the signal can be lost during transport and/or deposition. The large number of volcanic events studied allows the S-33 versus S-36 and S-34 versus S-33 slopes to be constrained at -1.56 (1 sigma=0.25) and 0.09 (1 sigma=0.02), respectively. The S-33 versus S-36 slope refines a prior determinations of S-36/S-33=-4 and overlaps the range observed for sulfur seen in early Earth samples (Archean). In recent volcanogenic sulfate, the S-33 versus S-34 differs, however, from the Archean record. The similitude for S-36/S-33 and the difference for S-33/S-34 suggest similar mass-independently fractionated sulfate processes to the Archean atmosphere. Using a simple model, we highlight that a combination of several mechanisms is needed to reproduce the observed isotopic trends and suggest a greater contribution from mass-dependent oxidation by OH in the modern atmosphere. Plain Language Summary Large volcanic eruptions inject sulfurous gases in the stratosphere, where they rapidly form sulfuric acid aerosols. These aerosols can reside in the stratosphere for years, cover the entire globe, and profoundly modify the climate by scattering and absorbing solar radiation. Sulfuric acid aerosols formed by this process acquire an isotopic anomaly that traces these processes and allows identification of these eruptions in ice core records, providing a means to distinguish between high and low climatic impact eruptions in ice core volcanic deposits. This study provides a characterization of this time-dependent isotopic signature that is used to constrain its origin and to understand the processes underlying its production and evolution.</t>
  </si>
  <si>
    <t>[Gautier, Elsa; Savarino, Joel; Erbland, Joseph] Univ Grenoble Alpes, CNRS, IRD, Grenoble INP,IGE, Grenoble, France; [Farquhar, James] Univ Maryland, Dept Geol, College Pk, MD 20742 USA</t>
  </si>
  <si>
    <t>Communaute Universite Grenoble Alpes; Institut National Polytechnique de Grenoble; Institut de Recherche pour le Developpement (IRD); Universite Grenoble Alpes (UGA); Centre National de la Recherche Scientifique (CNRS); University System of Maryland; University of Maryland College Park</t>
  </si>
  <si>
    <t>Gautier, E; Savarino, J (corresponding author), Univ Grenoble Alpes, CNRS, IRD, Grenoble INP,IGE, Grenoble, France.</t>
  </si>
  <si>
    <t>elsa.gautier@univ-grenoble-alpes.fr; joel.savarino@cnrs.fr</t>
  </si>
  <si>
    <t>Savarino, Joel/H-9730-2012</t>
  </si>
  <si>
    <t>Savarino, Joel/0000-0002-6708-9623; Farquhar, James/0000-0003-3388-612X; Gautier, Elsa/0000-0003-3053-8349</t>
  </si>
  <si>
    <t>Agence Nationale de la Recherche (ANR) [NT09-431976-VOLSOL, 16-CE01-0011-01 EAIIST]; BNP-Paribas foundation; Franco-American Fulbright Commission; Institut National des Sciences de l'Univers (INSU/CNRS); Fondation BNP-Paribas; Labex OSUG@2020 (Investissements d'avenir) [ANR10 LABX56]; Institute Polaire Paul-Emile Victor (IPEV) [SUNITEDC 1011]</t>
  </si>
  <si>
    <t>Agence Nationale de la Recherche (ANR)(Agence Nationale de la Recherche (ANR)); BNP-Paribas foundation; Franco-American Fulbright Commission; Institut National des Sciences de l'Univers (INSU/CNRS)(Centre National de la Recherche Scientifique (CNRS)); Fondation BNP-Paribas; Labex OSUG@2020 (Investissements d'avenir)(Agence Nationale de la Recherche (ANR)); Institute Polaire Paul-Emile Victor (IPEV)</t>
  </si>
  <si>
    <t>The data used are listed in the supporting information. We thank the Agence Nationale de la Recherche (ANR) via contracts NT09-431976-VOLSOL and 16-CE01-0011-01 EAIIST, as well as the BNP-Paribas foundation for supporting this program. We deeply thank the Franco-American Fulbright Commission for providing the PhD Fulbright fellowship, the Rhone-Alpes region. LEFE-IMAGO, a scientific program of the Institut National des Sciences de l'Univers (INSU/CNRS), has also provided partial funding for this study. The authors wish to thank the Fondation BNP-Paribas for their financial support under the EAIIST project. This work has also been supported by a grant from Labex OSUG@2020 (Investissements d'avenir -ANR10 LABX56). For the drilling part, we acknowledge the technical support from the C2FN (French National Center for Coring and Drilling), handled by INSU. The Institute Polaire Paul-Emile Victor (IPEV) supported the research and polar logistics through the program SUNITEDC 1011. We would also like to thank Joost Hoek for providing training and experimental support in Maryland lab.</t>
  </si>
  <si>
    <t>10.1029/2018JD028456</t>
  </si>
  <si>
    <t>WOS:000445617500050</t>
  </si>
  <si>
    <t>Minamihara, Y; Sato, K; Tsutsumi, M; Sato, T</t>
  </si>
  <si>
    <t>Minamihara, Y.; Sato, K.; Tsutsumi, M.; Sato, T.</t>
  </si>
  <si>
    <t>Statistical Characteristics of Gravity Waves With Near-Inertial Frequencies in the Antarctic Troposphere and Lower Stratosphere Observed by the PANSY Radar</t>
  </si>
  <si>
    <t>gravity waves; Antarctic atmosphere; MST radar; middle atmosphere</t>
  </si>
  <si>
    <t>MU-RADAR; MOMENTUM FLUX; RADIOSONDE OBSERVATIONS; WIND DISTURBANCES; MACQUARIE ISLAND; CLIMATE MODELS; SYOWA STATION; TROPOPAUSE; PROPAGATION; GENERATION</t>
  </si>
  <si>
    <t>Gravity waves (GWs) have temporally and spatially small scales. Observations of GWs have been limited especially in the polar region due to its harsh environment. The purpose of this study is to elucidate the statistical characteristics of GWs in the Antarctic troposphere and lower stratosphere based on the continuous data over a year from 1 October 2015 to 30 September 2016 using the full system of the Program of the Antarctic Syowa MST/IS Radar (PANSY) radar at Syowa Station (69.0 degrees S, 39.6 degrees E). Such continuous observations over a long duration are unprecedented for high-power Mesosphere-Stratosphere-Troposphere (MST) radars at any latitude. The frequency power spectra of horizontal wind fluctuations reveal a clear isolated maximum around the inertial frequency () in the lower stratosphere. A statistical analysis is performed, focusing on the GWs with near-inertial frequencies (NIGWs) that are dominant in the lower stratosphere. According to the results of hodograph analyses, there are a considerable proportion of NIGWs propagating energy downward in the upper troposphere during all seasons, as well as in the winter stratosphere above a height of 15km, whereas NIGWs with upward group velocities are dominant in the lower troposphere and the lowermost stratosphere. These results suggest that there are NIGW sources on the ground and around the tropopause during all seasons and in the stratosphere and/or above in winter. Plausible candidates for these sources are topography, the tropospheric jet, and the polar night jet. The statistical characteristics of NIGWs, such as horizontal phase velocity, provide powerful support for our inferences of wave sources.</t>
  </si>
  <si>
    <t>[Minamihara, Y.; Sato, K.] Univ Tokyo, Dept Earth &amp; Planetary Sci, Tokyo, Japan; [Tsutsumi, M.] Natl Inst Polar Res, Tokyo, Japan; [Sato, T.] Kyoto Univ, Grad Sch Informat, Dept Commun &amp; Comp Engn, Kyoto, Japan</t>
  </si>
  <si>
    <t>University of Tokyo; Research Organization of Information &amp; Systems (ROIS); National Institute of Polar Research (NIPR) - Japan; Kyoto University</t>
  </si>
  <si>
    <t>Minamihara, Y (corresponding author), Univ Tokyo, Dept Earth &amp; Planetary Sci, Tokyo, Japan.</t>
  </si>
  <si>
    <t>minamihara@eps.s.u-tokyo.ac.jp</t>
  </si>
  <si>
    <t>Sato, Toru/F-3818-2012; Sato, Kaoru/E-1693-2012</t>
  </si>
  <si>
    <t>Minamihara, Yuichi/0000-0003-0928-4292; Sato, Kaoru/0000-0002-6225-6066</t>
  </si>
  <si>
    <t>JSPS KAKENHI [201703536]; JST CREST [JPMJCR1663]</t>
  </si>
  <si>
    <t>JSPS KAKENHI(Ministry of Education, Culture, Sports, Science and Technology, Japan (MEXT)Japan Society for the Promotion of ScienceGrants-in-Aid for Scientific Research (KAKENHI)); JST CREST(Japan Science &amp; Technology Agency (JST)Core Research for Evolutional Science and Technology (CREST))</t>
  </si>
  <si>
    <t>All figures in this paper were created using Dennou Club Library (DCL). This work was supported by JSPS KAKENHI grants 201703536 and by JST CREST JPMJCR1663. I would like to thank Y. Tomikawa, M. Kohma, and R. Shibuya for their many valuable comments and discussions. The PANSY multi-institutional project was operated by the University of Tokyo and the National Institute of Polar Research (NIPR), and the PANSY radar system observations at Syowa Station were operated by the Japanese Antarctic Research Expedition. The PANSY radar observation data are available at the project website, http://pansy.eps.s.u-tokyo.ac.jp. PANSY high-resolution data used in this study are described in Sato et al. (2014) and available by request. Contact Kaoru Sato (kaoru@eps.s.u-tokyo.ac.jp). The operational radiosonde observation data used in this study ware obtained from the website of Japan Meteorological Agency (http://www.jma.go.jp/jma/indexe.html).</t>
  </si>
  <si>
    <t>10.1029/2017JD028128</t>
  </si>
  <si>
    <t>WOS:000445617500006</t>
  </si>
  <si>
    <t>Harvey, VL; Randall, CE; Goncharenko, L; Becker, E; France, J</t>
  </si>
  <si>
    <t>Harvey, V. Lynn; Randall, Cora E.; Goncharenko, Larisa; Becker, Erich; France, Jeff</t>
  </si>
  <si>
    <t>On the Upward Extension of the Polar Vortices Into the Mesosphere</t>
  </si>
  <si>
    <t>polar vortex; mesosphere; stratosphere; dynamics; planetary wave; atmospheric coupling</t>
  </si>
  <si>
    <t>STRATOSPHERIC WARMING EVENTS; STATIONARY PLANETARY-WAVES; ENERGETIC PARTICLE-PRECIPITATION; INTERNAL GRAVITY-WAVES; LOWER THERMOSPHERE; MIDDLE ATMOSPHERE; ZONAL ASYMMETRIES; ELLIPTIC DIAGNOSTICS; AURA SATELLITE; EOS MLS</t>
  </si>
  <si>
    <t>The polar vortices play a central role in vertically coupling the atmosphere from the ground to geospace by shaping the background wind field through which atmospheric waves propagate. This work extends the vertical range of previous polar vortex climatologies into the upper mesosphere. The mesospheric polar vortices are defined using the CO gradient method with Microwave Limb Sounder satellite data; the stratospheric polar vortices are defined using a stream function-based algorithm with data from meteorological reanalyses. Strengths and weaknesses of the two vortex definitions are given, as well as recommendations for when, where, and why to use each definition. Midwinter mean vortex geometry in the mesosphere is funnel shaped in the Arctic, with a wide top and narrow bottom. The Antarctic mesospheric vortex tapers with height in early winter and broadens with height in late winter. The seasonal evolution of mesospheric vortex frequency of occurrence, size, and zonal symmetry in both hemispheres is presented. Unexpected behavior above 60km includes late season vortex broadening in both hemispheres, especially following winters without sudden stratospheric warmings. Following extreme stratospheric disturbances the polar night jet in the mesosphere strengthens and shifts poleward, resulting in a mesospheric vortex that contracts. Overall, the mesospheric polar vortices are more similar between the two hemispheres than their stratospheric counterparts. The vortex climatology presented here serves as an observational benchmark to which the mesospheric polar vortices in high-top climate models can be evaluated.</t>
  </si>
  <si>
    <t>[Harvey, V. Lynn; Randall, Cora E.; France, Jeff] Univ Colorado, Atmospher &amp; Space Phys Lab, Campus Box 392, Boulder, CO 80309 USA; [Harvey, V. Lynn; Randall, Cora E.] Univ Colorado, Dept Atmospher &amp; Ocean Sci, Boulder, CO 80309 USA; [Goncharenko, Larisa] MIT, Haystack Observ, Westford, MA 01886 USA; [Becker, Erich] Leibniz Inst Atmospher Phys, Kuhlungsborn, Germany; [France, Jeff] GATS Inc, Boulder, CO USA</t>
  </si>
  <si>
    <t>University of Colorado System; University of Colorado Boulder; University of Colorado System; University of Colorado Boulder; Massachusetts Institute of Technology (MIT); Leibniz Institut fur Atmospharenphysik e.V. an der Universitat Rostock (IAP)</t>
  </si>
  <si>
    <t>Harvey, VL (corresponding author), Univ Colorado, Atmospher &amp; Space Phys Lab, Campus Box 392, Boulder, CO 80309 USA.;Harvey, VL (corresponding author), Univ Colorado, Dept Atmospher &amp; Ocean Sci, Boulder, CO 80309 USA.</t>
  </si>
  <si>
    <t>lynn.harvey@lasp.colorado.edu</t>
  </si>
  <si>
    <t>France, Jeffrey A/N-4507-2018; RANDALL, CORA/L-8760-2014; HARVEY, V LYNN/M-3995-2017</t>
  </si>
  <si>
    <t>France, Jeffrey A/0000-0003-2446-0303; RANDALL, CORA/0000-0002-4313-4397; Becker, Erich/0000-0001-7883-3254; Goncharenko, Larisa/0000-0001-9031-7439; HARVEY, V LYNN/0000-0002-7928-0804</t>
  </si>
  <si>
    <t>National Science Foundation (NSF) [1343031]; NASA [NNX14AH54G, NNX17AB80G, NNX13AI62G, NNH15ZDA001N, NAS5-03132]; NSF Division of Atmospheric and Geospace Sciences [1132267]; NOAA; Directorate For Geosciences; Div Atmospheric &amp; Geospace Sciences [1343031] Funding Source: National Science Foundation; Div Atmospheric &amp; Geospace Sciences; Directorate For Geosciences [1132267] Funding Source: National Science Foundation; NASA [473145, NNX13AI62G, 1003831, NNX17AB80G] Funding Source: Federal RePORTER</t>
  </si>
  <si>
    <t>National Science Foundation (NSF)(National Science Foundation (NSF)); NASA(National Aeronautics &amp; Space Administration (NASA)); NSF Division of Atmospheric and Geospace Sciences; NOAA(National Oceanic Atmospheric Admin (NOAA) - USA); Directorate For Geosciences; Div Atmospheric &amp; Geospace Sciences(National Science Foundation (NSF)NSF - Directorate for Geosciences (GEO)); Div Atmospheric &amp; Geospace Sciences; Directorate For Geosciences(National Science Foundation (NSF)NSF - Directorate for Geosciences (GEO)); NASA(National Aeronautics &amp; Space Administration (NASA))</t>
  </si>
  <si>
    <t>V. L. H. acknowledges support from the National Science Foundation (NSF) Coupling, Energetics, and Dynamics of Atmospheric Regions grant 1343031, NASA Living With a Star (LWS) grant NNX14AH54G, NASA Heliophysics Guest Investigator (HGI) grant NNX17AB80G, and travel support from the Stratospheric Processes and their Role in Climate (SPARC) Reanalysis Intercomparison Project (S-RIP). V. L. H. also thanks Doug Allen for useful discussions. L. P. G. is supported by NSF Division of Atmospheric and Geospace Sciences grant 1132267 and NASA LWS grant NNX13AI62G. J. A. F. acknowledges support from NASA HGI grant NNH15ZDA001N and the NASA Small Explorer Program through contract NAS5-03132. All of the data shown in this paper are publicly available. JRA-55 and ERA-Interim data were provided by the Research Data Archive at the National Center for Atmospheric Research, Computational and Information Systems Laboratory at https://rda.ucar.edu/. CFSR/CFSv2 data were provided by Sean Davis at http://ftpshare.al.noaa.gov. The processing of CSFR/CFsv2 output was funded by the NOAA HPC grant Climate Forecast System Reanalysis products for reanalysis validation and intercomparisons to NOAA ESRL CSD with the bulk of the work performed by Sean Davis, Jeremiah Sjoberg, and H. Leroy Miller. MLS v4.2 data are available from the NASA Goddard Space Flight Center for Earth Sciences Data and Information Services Center (DISC) at https://mls.jpl.nasa.gov/data/. MERRA and MERRA-2 data are available at MDISC, managed by the NASA Goddard Earth Sciences (GES) DISC at https://gmao.gsfc.nasa.gov/reanalysis/.</t>
  </si>
  <si>
    <t>10.1029/2018JD028815</t>
  </si>
  <si>
    <t>WOS:000445617500016</t>
  </si>
  <si>
    <t>Vadas, SL; Zhao, J; Chu, XZ; Becker, E</t>
  </si>
  <si>
    <t>Vadas, Sharon L.; Zhao, Jian; Chu, Xinzhao; Becker, Erich</t>
  </si>
  <si>
    <t>The Excitation of Secondary Gravity Waves From Local Body Forces: Theory and Observation</t>
  </si>
  <si>
    <t>secondary gravity waves; body forces; lidar measurements; Antarctica</t>
  </si>
  <si>
    <t>MIDDLE ATMOSPHERE; LIDAR OBSERVATIONS; MCMURDO 77.8-DEGREES-S; RAYLEIGH LIDAR; ANTARCTICA; MESOSPHERE; GENERATION; 166.7-DEGREES-E; RESPONSES; BREAKING</t>
  </si>
  <si>
    <t>We examine the characteristics of secondary gravity waves (GWs) excited by a localized (in space) and intermittent (in time) body force in the atmosphere. This force is a horizontal acceleration of the background flow created when primary GWs dissipate and deposit their momentum on spatial and temporal scales of the wave packet. A broad spectrum of secondary GWs is excited with horizontal scales much larger than that of the primary GW. The polarization relations cause the temperature spectrum of the secondary GWs generally to peak at larger intrinsic periods (Ir) and horizontal wavelengths (H) than the vertical velocity spectrum. We find that the one-dimensional spectra (with regard to frequency or wave number) follow lognormal distributions. We show that secondary GWs can be identified by a horizontally displaced observer as fishbone or &gt; structures in z - t plots whereby the positive and negative GW phase lines meet at the knee, z(knee), which is the altitude of the force center. We present two wintertime cases of lidar temperature measurements at McMurdo, Antarctica (166.69 degrees E, 77.84 degrees S) whereby fishbone structures are seen with z(knee)=43 and 52km. We determine the GW parameters and density-weighted amplitudes for each. We show that these parameters are similar below and above z(knee). We verify that the GWs with upward (downward) phase progression are downward (upward) propagating via use of model background winds. We conclude that these GWs are likely secondary GWs having ground-based periods (r)=6-10hr and vertical wavelengths (z)=6-14km, and that they likely propagate primarily southward.</t>
  </si>
  <si>
    <t>[Vadas, Sharon L.] Northwest Res Associates, Boulder, CO 80301 USA; [Zhao, Jian; Chu, Xinzhao] Univ Colorado, Cooperat Inst Res Environm Sci, Boulder, CO 80309 USA; [Zhao, Jian; Chu, Xinzhao] Univ Colorado, Dept Aerosp Engn Sci, Boulder, CO 80309 USA; [Becker, Erich] Leibniz Inst Atmospher Phys, Kuhlungsborn, Germany</t>
  </si>
  <si>
    <t>NorthWest Research Associates; University of Colorado System; University of Colorado Boulder; University of Colorado System; University of Colorado Boulder; Leibniz Institut fur Atmospharenphysik e.V. an der Universitat Rostock (IAP)</t>
  </si>
  <si>
    <t>Vadas, SL (corresponding author), Northwest Res Associates, Boulder, CO 80301 USA.;Chu, XZ (corresponding author), Univ Colorado, Cooperat Inst Res Environm Sci, Boulder, CO 80309 USA.;Chu, XZ (corresponding author), Univ Colorado, Dept Aerosp Engn Sci, Boulder, CO 80309 USA.</t>
  </si>
  <si>
    <t>vasha@nwra.com; xinzhao.chu@colorado.edu</t>
  </si>
  <si>
    <t>Atmosphere and Ocean, Collaborative Research Center TRR 181- Energy Transfers in/AAY-2721-2020</t>
  </si>
  <si>
    <t>National Science Foundation (NSF) [PLR-1246405, AGS-1552315, AGS-1452329]; NSF [OPP-0839091, OPP-1246405, OPP-1443726]; Collaborative Research Centre - German Research Foundation [TRR 181]; Directorate For Geosciences; Div Atmospheric &amp; Geospace Sciences [1452329] Funding Source: National Science Foundation; Directorate For Geosciences; Office of Polar Programs (OPP) [1246405] Funding Source: National Science Foundation</t>
  </si>
  <si>
    <t>National Science Foundation (NSF)(National Science Foundation (NSF)); NSF(National Science Foundation (NSF)); Collaborative Research Centre - German Research Foundation; Directorate For Geosciences; Div Atmospheric &amp; Geospace Sciences(National Science Foundation (NSF)NSF - Directorate for Geosciences (GEO)); Directorate For Geosciences; Office of Polar Programs (OPP)(National Science Foundation (NSF)NSF - Directorate for Geosciences (GEO))</t>
  </si>
  <si>
    <t>We would like to thank three anonymous reviewers for helpful comments. S. L. V. was supported by the National Science Foundation (NSF) grants PLR-1246405, AGS-1552315, and AGS-1452329. We gratefully acknowledge Zhibin Yu, Brendan R. Roberts, Weichun Fong, and Cao Chen for their excellent winter-over lidar work at McMurdo, Antarctica, from 2011 to 2014. We sincerely appreciate the staff of the United States Antarctic Program, McMurdo Station, Antarctica New Zealand, and Scott Base for their superb support over the years. The McMurdo lidar projects were supported by the NSF grants OPP-0839091, OPP-1246405, and OPP-1443726. E. B. was supported by the Collaborative Research Centre TRR 181 (subproject T1) funded by the German Research Foundation. E. B. would like to thank NCAR/HAO and IAP for the sabbatical opportunity at NCAR/HAO. We thank the Global Modeling and Assimilation Office (GMAO; 2015) for the data from MERRA-2 inst6_3d_ana_Nv: 3d, 6-Hourly, Instantaneous, Model-Level, Analysis, Analyzed Meteorological Fields V5.12.4, Greenbelt, MD, USA, Goddard Earth Sciences Data and Information Services Center (GES DISC; available at https://gmao.gsfc.nasa.gov/reanalysis/MERRA-2/data_{a}ccess/). The model data shown in this paper are available via NWRA's website at https://www.cora.nwra.com/vadas/Vadas_etal_JGR_2018_files/.</t>
  </si>
  <si>
    <t>10.1029/2017JD027970</t>
  </si>
  <si>
    <t>WOS:000445617500022</t>
  </si>
  <si>
    <t>Wilson, A; Scott, RC; Cadeddu, MP; Ghate, V; Lubin, D</t>
  </si>
  <si>
    <t>Wilson, A.; Scott, R. C.; Cadeddu, M. P.; Ghate, V.; Lubin, D.</t>
  </si>
  <si>
    <t>Cloud Optical Properties Over West Antarctica From Shortwave Spectroradiometer Measurements During AWARE</t>
  </si>
  <si>
    <t>NONSPHERICAL ICE PARTICLE; LIQUID WATER PATH; EFFECTIVE RADIUS; INDEPENDENT SPHERES; SPECTRAL METHOD; ROSS ISLAND; RADIATION; CLIMATE; PHASE; SCATTERING</t>
  </si>
  <si>
    <t>A shortwave spectroradiometer was deployed on the West Antarctic Ice Sheet (WAIS) as part of the U.S. Department of Energy Atmospheric Radiation Measurement (ARM) program ARM West Antarctic Radiation Experiment (AWARE). This instrument recorded 1-min averages of downwelling hemispheric spectral irradiance covering the wavelength range 350-2,200nm with spectral resolution 3 and 10nm for wavelengths shorter and longer than 1,000nm, respectively. Using simultaneous micropulse lidar data to identify the thermodynamic phase of stratiform clouds, a radiative transfer algorithm is used to retrieve optical depth and effective droplet (or particle) size for single-phase liquid water and ice water clouds. The AWARE campaign on the WAIS first sampled typical climatological conditions between 7 December 2015 and 9 January 2016 and then a much warmer air mass with more moisture associated with a surface melt event between 10 and 17 January 2016. Before the melt event most liquid cloud effective droplet radii were consistent with pristine polar maritime clouds (mode radius 13.5m) but showed a second local maximum in the distribution (at 8m) consistent with colder, moisture-limited conditions. Most ice clouds sampled occurred before the melt event (mode optical depth 4 and effective particle size 19m). During the melt event liquid water cloud optical depth nearly doubled (mode value increasing from 8 to 14). AWARE therefore sampled on the WAIS two cases relevant to climate model simulations: typical current climatological conditions, followed by warmer meteorology possibly consistent with future increasing surface melt scenarios.</t>
  </si>
  <si>
    <t>[Wilson, A.] Utah Dept Environm Qual, Salt Lake City, UT USA; [Scott, R. C.; Lubin, D.] Univ Calif San Diego, Scripps Inst Oceanog, La Jolla, CA 92093 USA; [Cadeddu, M. P.; Ghate, V.] Argonne Natl Lab, 9700 S Cass Ave, Argonne, IL 60439 USA</t>
  </si>
  <si>
    <t>University of California System; University of California San Diego; Scripps Institution of Oceanography; United States Department of Energy (DOE); Argonne National Laboratory</t>
  </si>
  <si>
    <t>Lubin, D (corresponding author), Univ Calif San Diego, Scripps Inst Oceanog, La Jolla, CA 92093 USA.</t>
  </si>
  <si>
    <t>dlubin@ucsd.edu</t>
  </si>
  <si>
    <t>ghate, virendra/AAL-6169-2020</t>
  </si>
  <si>
    <t>ghate, virendra/0000-0001-6068-609X; Scott, Ryan/0000-0002-9182-0834; Lubin, Dan/0000-0002-5899-8358; Cadeddu, Maria/0000-0002-6430-0585</t>
  </si>
  <si>
    <t>National Science Foundation (NSF) [PLR-1443549]; U.S. Department of Energy (DOE) [DE-SC0017981]; NSF [OCE-1359222]; NASA [NNX15AN45H]; U,S. Department of Energy, Office of Science, Office of Biological and Environmental Research, Atmospheric Radiation Measurement Infrastructure Basic Energy Sciences [DE-AC02-06CH11357]; DOE ARM Program; National Science Foundation [ANT-1543305]; U.S. Department of Energy (DOE) [DE-SC0017981] Funding Source: U.S. Department of Energy (DOE); NASA [798512, NNX15AN45H] Funding Source: Federal RePORTER</t>
  </si>
  <si>
    <t>National Science Foundation (NSF)(National Science Foundation (NSF)); U.S. Department of Energy (DOE)(United States Department of Energy (DOE)); NSF(National Science Foundation (NSF)); NASA(National Aeronautics &amp; Space Administration (NASA)); U,S. Department of Energy, Office of Science, Office of Biological and Environmental Research, Atmospheric Radiation Measurement Infrastructure Basic Energy Sciences(United States Department of Energy (DOE)); DOE ARM Program(United States Department of Energy (DOE)); National Science Foundation(National Science Foundation (NSF)); U.S. Department of Energy (DOE)(United States Department of Energy (DOE)); NASA(National Aeronautics &amp; Space Administration (NASA))</t>
  </si>
  <si>
    <t>This work was supported by the National Science Foundation (NSF) under PLR-1443549 and by the U.S. Department of Energy (DOE) under DE-SC0017981. A. Wilson was supported by the NSF under a Research Experiences for Undergraduates award to the Scripps Institution of Oceanography, OCE-1359222. R. C. Scott was supported by the NASA Earth and Space Science Fellowship Program under NNX15AN45H. M. P. Cadeddu and V. Ghate are supported by the U,S. Department of Energy, Office of Science, Office of Biological and Environmental Research, Atmospheric Radiation Measurement Infrastructure Basic Energy Sciences under contract DE-AC02-06CH11357. AWARE is supported by the DOE ARM Program as an ARM Mobile Facility campaign. AWARE data are available at the ARM data archive (http://www.arm.gov). MODIS data were obtained from the NASA MODIS Atmosphere data product archive (http://modis-atmos.gsfc.nasa.gov). The authors appreciate the support of the University of Wisconsin-Madison Automatic Weather Station program for the AWS data, which is supported by the National Science Foundation under ANT-1543305.</t>
  </si>
  <si>
    <t>10.1029/2018JD028347</t>
  </si>
  <si>
    <t>WOS:000445617500036</t>
  </si>
  <si>
    <t>van de Kamp, M; Rodger, CJ; Seppälä, A; Clilverd, MA; Verronen, PT</t>
  </si>
  <si>
    <t>van de Kamp, M.; Rodger, C. J.; Seppala, A.; Clilverd, M. A.; Verronen, P. T.</t>
  </si>
  <si>
    <t>An Updated Model Providing Long-Term Data Sets of Energetic Electron Precipitation, Including Zonal Dependence</t>
  </si>
  <si>
    <t>energetic electron precipitation; energetic particle precipitation; magnetic local time; ionization; solar particle forcing; synthesized data set</t>
  </si>
  <si>
    <t>SOLAR PROTON EVENTS; PARTICLE-PRECIPITATION; GEOMAGNETIC-ACTIVITY; FLUXES; POES; CONTAMINATION; DEMETER; BELT</t>
  </si>
  <si>
    <t>In this study 30- to 1,000-keV energetic electron precipitation (EEP) data from low Earth orbiting National Oceanic and Atmospheric Administration and MetOp Polar Orbiting Environmental Satellites were processed in two improved ways, compared to previous studies. First, all noise-affected data were more carefully removed, to provide more realistic representations of low fluxes during geomagnetically quiet times. Second, the data were analyzed dependent on magnetic local time (MLT), which is an important factor affecting precipitation flux characteristics. We developed a refined zonally averaged EEP model, and a new model dependent on MLT, which both provide better modeling of low fluxes during quiet times. The models provide the EEP spectrum assuming a power law gradient. Using the geomagnetic index Ap with a time resolution of 1day, the spectral parameters are provided as functions of the L shell value relative to the plasmapause. Results from the models compare well with EEP observations over the period 1998-2012. Analysis of the MLT-dependent data finds that during magnetically quiet times, the EEP flux concentrates around local midnight. As disturbance levels increase, the flux increases at all MLT. During disturbed times, the flux is strongest in the dawn sector and weakest in the late afternoon sector. The MLT-dependent model emulates this behavior. The results of the models can be used to produce ionization rate data sets over any time period for which the geomagnetic Ap index is available (recorded or predicted). This ionization rate data set will enable simulations of EEP impacts on the atmosphere and climate with realistic EEP variability.</t>
  </si>
  <si>
    <t>[van de Kamp, M.; Verronen, P. T.] Finnish Meteorol Inst, Space &amp; Earth Observat Ctr, Helsinki, Finland; [Rodger, C. J.; Seppala, A.] Univ Otago, Dept Phys, Dunedin, New Zealand; [Clilverd, M. A.] British Antarctic Survey, NERC, Cambridge, England</t>
  </si>
  <si>
    <t>van de Kamp, M (corresponding author), Finnish Meteorol Inst, Space &amp; Earth Observat Ctr, Helsinki, Finland.</t>
  </si>
  <si>
    <t>max.van.de.kamp@fmi.fi</t>
  </si>
  <si>
    <t>Verronen, Pekka T/G-6658-2014; Verronen, P. T./AIE-0203-2022; van de Kamp, Max/GSI-4607-2022; Seppälä, Annika/C-8031-2014; Rodger, Craig/A-1501-2011</t>
  </si>
  <si>
    <t>Verronen, P. T./0000-0002-3479-9071; Seppälä, Annika/0000-0002-5028-8220; Rodger, Craig J./0000-0002-6770-2707</t>
  </si>
  <si>
    <t>Academy of Finland; SECTIC: Sun-Earth Connection Through Ion Chemistry [276926]; CLASP: Climate and Solar Particle Forcing [258165, 265005, 292806]; Natural Environmental Research Council [NE/J008125/1]; International Space Science Institute (ISSI), Bern, Switzerland; NERC [bas0100031, NE/H014888/1, NE/J008125/1] Funding Source: UKRI</t>
  </si>
  <si>
    <t>Academy of Finland(Research Council of Finland); SECTIC: Sun-Earth Connection Through Ion Chemistry; CLASP: Climate and Solar Particle Forcing; Natural Environmental Research Council(UK Research &amp; Innovation (UKRI)Natural Environment Research Council (NERC)); International Space Science Institute (ISSI), Bern, Switzerland; NERC(UK Research &amp; Innovation (UKRI)Natural Environment Research Council (NERC))</t>
  </si>
  <si>
    <t>We thank the Academy of Finland for supporting this research: M. van de Kamp and P.T. Verronen were supported by the project 276926 (SECTIC: Sun-Earth Connection Through Ion Chemistry), A. Seppala was supported by projects 258165, 265005, and 292806 (CLASP: Climate and Solar Particle Forcing). M. A. Clilverd was supported by the Natural Environmental Research Council grant NE/J008125/1. A. Seppala, M. A. Clilverd, C. J. Rodger, and P. T. Verronen would like to thank the International Space Science Institute (ISSI), Bern, Switzerland for supporting the Quantifying Hemispheric Differences in Particle Forcing Effects on Stratospheric Ozone team (Leader: D. R. Marsh). The NOAA/POES data used in this study are available from the National Oceanic and Atmospheric Administration (https://www.class.ncdc.noaa.gov). The Ap index is available from ftp://ftp.ngdc.noaa.gov/STP/GEOMAGNETIC_DATA/INDICES/KP_AP/. The NRLMSISE-00 model can be obtained from https://ccmc.gsfc.nasa.gov/modelweb/models/nrlmsise00.php.</t>
  </si>
  <si>
    <t>10.1029/2017JD028253</t>
  </si>
  <si>
    <t>WOS:000445617500056</t>
  </si>
  <si>
    <t>Gray, AR; Johnson, KS; Bushinsky, SM; Riser, SC; Russell, JL; Talley, LD; Wanninkhof, R; Williams, NL; Sarmiento, JL</t>
  </si>
  <si>
    <t>Gray, Alison R.; Johnson, Kenneth S.; Bushinsky, Seth M.; Riser, Stephen C.; Russell, Joellen L.; Talley, Lynne D.; Wanninkhof, Rik; Williams, Nancy L.; Sarmiento, Jorge L.</t>
  </si>
  <si>
    <t>Autonomous Biogeochemical Floats Detect Significant Carbon Dioxide Outgassing in the High-Latitude Southern Ocean</t>
  </si>
  <si>
    <t>air-sea carbon flux; SOCCOM</t>
  </si>
  <si>
    <t>SURFACE OCEAN; OVERTURNING CIRCULATION; CO2; PH; OXYGEN; VARIABILITY; ALKALINITY; PCO(2); PERFORMANCE; SATURATION</t>
  </si>
  <si>
    <t>Although the Southern Ocean is thought to account for a significant portion of the contemporary oceanic uptake of carbon dioxide (CO2), flux estimates in this region are based on sparse observations that are strongly biased toward summer. Here we present new estimates of Southern Ocean air-sea CO2 fluxes calculated with measurements from biogeochemical profiling floats deployed by the Southern Ocean Carbon and Climate Observations and Modeling project during 2014-2017. Compared to ship-based CO2 flux estimates, the float-based fluxes find significantly stronger outgassing in the zone around Antarctica where carbon-rich deep waters upwell to the surface ocean. Although interannual variability contributes, this difference principally stems from the lack of autumn and winter ship-based observations in this high-latitude region. These results suggest that our current understanding of the distribution of oceanic CO2 sources and sinks may need revision and underscore the need for sustained year-round biogeochemical observations in the Southern Ocean. Plain Language Summary The Southern Ocean absorbs a great deal of carbon dioxide from the atmosphere and helps to shape the climate of Earth. However, we do not have many observations from this part of the world, especially in winter, because it is remote and inhospitable. Here we present new observations from robotic drifting buoys that take measurements of temperature, salinity, and other water properties year-round. We use these data to estimate the amount of carbon dioxide being absorbed by the Southern Ocean. In the open water region close to Antarctica, the new estimates are remarkably different from the previous estimates, which were based on data collected from ships. We discuss some possible reasons that the float-based estimate is different and how this changes our understanding of how the ocean absorbs carbon dioxide.</t>
  </si>
  <si>
    <t>[Gray, Alison R.; Riser, Stephen C.] Univ Washington, Sch Oceanog, Seattle, WA 98195 USA; [Johnson, Kenneth S.] Monterey Bay Aquarium Res Inst, Moss Landing, CA USA; [Bushinsky, Seth M.; Sarmiento, Jorge L.] Princeton Univ, Program Atmospher &amp; Ocean Sci, Princeton, NJ 08544 USA; [Russell, Joellen L.] Univ Arizona, Dept Geosci, Tucson, AZ 85721 USA; [Talley, Lynne D.] Univ Calif San Diego, Scripps Inst Oceanog, La Jolla, CA 92093 USA; [Wanninkhof, Rik] NOAA, Atlantic Oceanog &amp; Meteorol Lab, Miami, FL 33149 USA; [Williams, Nancy L.] Oregon State Univ, Coll Earth Ocean &amp; Atmospher Sci, Corvallis, OR 97331 USA</t>
  </si>
  <si>
    <t>University of Washington; University of Washington Seattle; Monterey Bay Aquarium Research Institute; National Oceanic Atmospheric Admin (NOAA) - USA; Princeton University; University of Arizona; University of California System; University of California San Diego; Scripps Institution of Oceanography; National Oceanic Atmospheric Admin (NOAA) - USA; Atlantic Oceanographic &amp; Meteorological Laboratory (AOML); Oregon State University</t>
  </si>
  <si>
    <t>Gray, AR (corresponding author), Univ Washington, Sch Oceanog, Seattle, WA 98195 USA.</t>
  </si>
  <si>
    <t>argray@uw.edu</t>
  </si>
  <si>
    <t>Williams, Nancy L./ABH-4755-2020; Bushinsky, Seth/Q-3379-2017; Johnson, Kenneth/F-9742-2011</t>
  </si>
  <si>
    <t>Williams, Nancy L./0000-0002-6541-9385; Bushinsky, Seth/0000-0001-5106-4678; Talley, Lynne/0000-0003-1574-729X; Gray, Alison/0000-0002-1644-7654; Russell, Joellen/0000-0001-9937-6056; Johnson, Kenneth/0000-0001-5513-5584</t>
  </si>
  <si>
    <t>U.S. National Science Foundation (NSF) through the Southern Ocean Carbon and Climate Observations and Modeling (SOCCOM) Project [PLR-1425989]; National Aeronautics and Space Administration Award [NNX14AP49G]; U.S. Argo through National Oceanic and Atmospheric Administration (NOAA [NA17RJ1232]; NOAA Climate and Global Change Postdoctoral Fellowship; David and Lucile Packard Foundation through the Monterey Bay Aquarium Research Institute; Carbon Mitigation Initiative (CMI) project at Princeton University; BP</t>
  </si>
  <si>
    <t>U.S. National Science Foundation (NSF) through the Southern Ocean Carbon and Climate Observations and Modeling (SOCCOM) Project(National Science Foundation (NSF)); National Aeronautics and Space Administration Award(National Aeronautics &amp; Space Administration (NASA)); U.S. Argo through National Oceanic and Atmospheric Administration (NOAA; NOAA Climate and Global Change Postdoctoral Fellowship(National Oceanic Atmospheric Admin (NOAA) - USA); David and Lucile Packard Foundation through the Monterey Bay Aquarium Research Institute; Carbon Mitigation Initiative (CMI) project at Princeton University(Princeton University); BP</t>
  </si>
  <si>
    <t>This work was sponsored by the U.S. National Science Foundation (NSF) through the Southern Ocean Carbon and Climate Observations and Modeling (SOCCOM) Project under the PLR-1425989 to J. L. S., supplemented by National Aeronautics and Space Administration Award NNX14AP49G. Logistical support for SOCCOM in the Southern Ocean was provided by NSF through the U.S. Antarctic Program and the U.S. GO-SHIP program, Australia's Commonwealth Scientific and Industrial Research Organisation (CSIRO), and Germany's Alfred Wegener Institute (AWI). Additionally, we acknowledge support from U.S. Argo through National Oceanic and Atmospheric Administration (NOAA) grant NA17RJ1232 to the University of Washington. A. R. G. was supported in part by a NOAA Climate and Global Change Postdoctoral Fellowship. K. S. J acknowledges support from the David and Lucile Packard Foundation through the Monterey Bay Aquarium Research Institute. S. M. B. was supported in part by the Carbon Mitigation Initiative (CMI) project at Princeton University, sponsored by BP. Input from R. Feely, L. Juranek, B. Carter, A. Dickson, and the SOCCOM carbon working group is gratefully acknowledged. We thank P. Landschutzer for generously providing the Global Carbon Budget 2017 flux estimate. All float data used in this study are archived at http://doi.org/10.6075/J0PG1PX7. Shipboard data used in calibration and adjustment are available at CCHDO (https://cchdo.ucsd.edu/) and CDIAC (http://cdiac.ornl.gov/oceans/SOCCOM/SOCCOM.html). ERA-Interim Reanalysis output was obtained from ECMWF (http://apps.ecmwf.int/datasets/), and ASCAT daily gridded mean wind fields were downloaded from CERSAT (http://cersat.ifremer.fr/data/products/catalogue). Cape Grim Observatory data are available from CSIRO (http://www.csiro.au/greenhouse-gases). Sea ice data were retrieved from the National Snow and Ice Data Center (http://nsidc.org/data; Data Sets NSIDC-0051 and NSIDC-0081). Surface pCO2 data were obtained from the Surface Ocean CO2 Atlas (SOCAT; https://www.socat.info/), an international effort endorsed by the International Ocean Carbon Coordination Project (IOCCP), the Surface Ocean Lower Atmosphere Study (SOLAS), and the Integrated Marine Biogeochemistry and Ecosystem Research program (IMBER), to deliver a uniformly quality-controlled surface ocean CO2 database. The many researchers and funding agencies responsible for the collection of data and quality control are thanked for their contributions to SOCAT. The gridded flux estimate from Takahashi et al. (2009) is available at http://www.ldeo.columbia.edu/res/pi/CO2/carbondioxide/pages/air_sea_flux_2000.html. The Global Carbon Budget 2017 air-sea flux estimate is available by contacting P. Landschutzer. World Ocean Atlas 2013 gridded nitrate estimates were obtained from https://www.nodc.noaa.gov/OC5/woa13/woa13data.html, and the Roemmich-Gilson Argo Climatology is available from http://sio-argo.ucsd.edu/RG_Climatology.html.</t>
  </si>
  <si>
    <t>10.1029/2018GL078013</t>
  </si>
  <si>
    <t>GV0DN</t>
  </si>
  <si>
    <t>Green Published, Bronze, Green Submitted</t>
  </si>
  <si>
    <t>WOS:000445727500039</t>
  </si>
  <si>
    <t>Ferreira, D; Marshall, J; Ito, T; McGee, D</t>
  </si>
  <si>
    <t>Ferreira, David; Marshall, John; Ito, Takamitsu; McGee, David</t>
  </si>
  <si>
    <t>Linking Glacial-Interglacial States to Multiple Equilibria of Climate</t>
  </si>
  <si>
    <t>multiple equilibrium; glacial-interglacial cycles; climate modelling; bistability; ice-albedo feedback</t>
  </si>
  <si>
    <t>MERIDIONAL OVERTURNING CIRCULATION; ANTARCTIC SEA-ICE; DEEP-OCEAN CIRCULATION; SOUTHERN-OCEAN; QUATERNARY GLACIATIONS; ATLANTIC; MAXIMUM; HEMISPHERE; CYCLES; TEMPERATURE</t>
  </si>
  <si>
    <t>Glacial-interglacial cycles are often described as an amplified global response of the climate to perturbations in solar radiation caused by oscillations of Earth's orbit. However, it remains unclear whether internal feedbacks are large enough to account for the radically different glacial and interglacial states. Here we provide support for an alternative view: Glacial-interglacial states are multiple equilibria of the climate system that exist for the same external forcing. We show that such multiple equilibria resembling glacial and interglacial states can be found in a complex coupled general circulation model of the ocean-atmosphere-sea ice system. The multiple states are sustained by ice-albedo feedback modified by ocean heat transport and are not caused by the bistability of the ocean's overturning circulation. In addition, expansion/contraction of the Southern Hemisphere ice pack over regions of upwelling, regulating outgassing of CO2 to the atmosphere, is the primary mechanism behind a large pCO(2) change between states. Plain Language Summary For the last three million years, Earth's climate has oscillated between interglacial states (like today's climate) and glacial states (when ice sheets covered North America and Scandinavia). The dynamics of these glacial-interglacial cycles (GICs) remains elusive. Here we provide evidence that GICs may be supported by multiple equilibrium of Earth's climate. In a coupled climate model with idealized geometry, we reveal two equilibrium states that coexist for the same external forcing. These states, which are sustained by ice-albedo feedback modified by ocean heat transport, resemble the glacial and interglacial states. If confirmed, a link between GICs and multiple stable states would have a profound impact on our interpretation of the paleo-record, and notably on the relationship between changes in the insolation due to Earth's orbital cycles and GICs. This link may provide an answer to puzzling aspects of the GIC, for example, why their amplitude is so regular despite the highly variable magnitude of insolation change during glacial terminations. In our perspective, the GIC's amplitude is primarily set by the separation between the multiple states (an intrinsic property of the unperturbed system) rather than by the forcing. The latter then provides the kick to trigger the transition from one state to the other.</t>
  </si>
  <si>
    <t>[Ferreira, David] Univ Reading, Dept Meteorol, Reading, Berks, England; [Marshall, John; McGee, David] MIT, Dept Earth Atmospher &amp; Planetary Sci, 77 Massachusetts Ave, Cambridge, MA 02139 USA; [Ito, Takamitsu] Georgia Inst Technol, Sch Earth &amp; Atmospher Sci, Atlanta, GA 30332 USA</t>
  </si>
  <si>
    <t>University of Reading; Massachusetts Institute of Technology (MIT); University System of Georgia; Georgia Institute of Technology</t>
  </si>
  <si>
    <t>Ferreira, D (corresponding author), Univ Reading, Dept Meteorol, Reading, Berks, England.</t>
  </si>
  <si>
    <t>d.g.ferreira@reading.ac.uk</t>
  </si>
  <si>
    <t>Ferreira, David/JJD-6133-2023; Ferreira, David/JNR-2354-2023; Ito, Takamitsu/F-3856-2010</t>
  </si>
  <si>
    <t>McGee, David/0000-0002-7329-3428; Ito, Takamitsu/0000-0001-9873-099X</t>
  </si>
  <si>
    <t>NSF; NOAA</t>
  </si>
  <si>
    <t>NSF(National Science Foundation (NSF)); NOAA(National Oceanic Atmospheric Admin (NOAA) - USA)</t>
  </si>
  <si>
    <t>J. M. would like to acknowledge support from NSF and NOAA. Data supporting the results reported in this paper are openly available from the University of Reading Research Data Archive at https://doi.org/10.17864/1947.156.</t>
  </si>
  <si>
    <t>10.1029/2018GL077019</t>
  </si>
  <si>
    <t>WOS:000445727500051</t>
  </si>
  <si>
    <t>Vadas, SL; Becker, E</t>
  </si>
  <si>
    <t>Vadas, Sharon L.; Becker, Erich</t>
  </si>
  <si>
    <t>Numerical Modeling of the Excitation, Propagation, and Dissipation of Primary and Secondary Gravity Waves during Wintertime at McMurdo Station in the Antarctic</t>
  </si>
  <si>
    <t>gravity waves; mountain waves; wave dissipation; secondary gravity waves; Antarctica</t>
  </si>
  <si>
    <t>LOCAL BODY FORCES; MIDDLE-ATMOSPHERE; LIDAR OBSERVATIONS; DEEPWAVE CAMPAIGN; MOUNTAIN WAVES; NEW-ZEALAND; GENERAL-CIRCULATION; PLANETARY-WAVES; SYOWA STATION; MESOSPHERE</t>
  </si>
  <si>
    <t>We analyze the results of the gravity wave (GW)-resolving, high-resolution Kuhlungsborn Mechanistic general Circulation Model in July at McMurdo Station (166.69 degrees E and 77.84 degrees S), where strong downslope eastward winds create strong mountain wave (MW) events. These MWs have horizontal wavelengths of (H)similar or equal to 230km, propagate to z approximate to 40-60km, and can have upward phases in time if the eastward wind accelerates in time. Additionally, inertia-GWs (IGWs) with (H)approximate to 500-800km and ground-based periods of (r)approximate to 5-6hr are generated in the troposphere from unbalanced, large-scale flow. The density-scaled GW amplitudes are approximate to 10 times smaller at z approximate to 80-100km than at z &lt; 50km because of severe wave dissipation. Fishbone structures are seen at z approximate to 30-60km with upward (downward) phases in time below (above) the knee at z(knee). We horizontally filter the perturbations to isolate the GWs in a fishbone structure for a particular MW event. We find that these GWs have strikingly similar parameters below and above z(knee)=46km, with ground-based horizontal phase speeds of c(H)approximate to 40-60m/s, (r)approximate to 9-10hr, (H)approximate to 1,600-2,050km, vertical wavelengths of (z)approximate to 18-25km, and azimuths of ?=145 degrees -151 degrees east of north. We show that these are secondary GWs excited by a body force at z(knee) created by MW dissipation approximately 400km northwest of McMurdo 2.5hr earlier and that the secondary GW scales and propagation directions are consistent with this force. Importantly, we show that most of the GWs at z &gt; 70km are secondary GWs not primary GWs from the troposphere.</t>
  </si>
  <si>
    <t>[Vadas, Sharon L.] Northwest Res Associates, Boulder, CO 80301 USA; [Becker, Erich] Leibniz Inst Atmospher Phys, Kuhlungsborn, Germany</t>
  </si>
  <si>
    <t>NorthWest Research Associates; Leibniz Institut fur Atmospharenphysik e.V. an der Universitat Rostock (IAP)</t>
  </si>
  <si>
    <t>Vadas, SL (corresponding author), Northwest Res Associates, Boulder, CO 80301 USA.</t>
  </si>
  <si>
    <t>vasha@cora.nwra.com</t>
  </si>
  <si>
    <t>Becker, Erich/0000-0001-7883-3254</t>
  </si>
  <si>
    <t>NSF [PLR-1246405, AGS-1552315]; Collaborative Research Centre - German Research Foundation [TRR 181]; Office of Polar Programs (OPP); Directorate For Geosciences [1246405] Funding Source: National Science Foundation</t>
  </si>
  <si>
    <t>NSF(National Science Foundation (NSF)); Collaborative Research Centre - German Research Foundation; Office of Polar Programs (OPP); Directorate For Geosciences(National Science Foundation (NSF)NSF - Directorate for Geosciences (GEO))</t>
  </si>
  <si>
    <t>We would like to thank three anonymous reviewers for helpful comments. S. L. V. was supported by NSF grants PLR-1246405 and AGS-1552315. E. B. was supported by the Collaborative Research Centre TRR 181 (subproject T1) funded by the German Research Foundation. E. B. would like to thank NCAR/HAO and IAP for the sabbatical opportunity at NCAR/HAO. The model data shown in this paper is available via NWRA's website at https://www.cora.nwra.com/vadas/VadasBecker_JGR_2018_files/.</t>
  </si>
  <si>
    <t>10.1029/2017JD027974</t>
  </si>
  <si>
    <t>WOS:000445617500023</t>
  </si>
  <si>
    <t>Kwok, R; Markus, T</t>
  </si>
  <si>
    <t>Kwok, R.; Markus, T.</t>
  </si>
  <si>
    <t>Potential basin-scale estimates of Arctic snow depth with sea ice freeboards from CryoSat-2 and ICESat-2: An exploratory analysis</t>
  </si>
  <si>
    <t>ADVANCES IN SPACE RESEARCH</t>
  </si>
  <si>
    <t>CryoSat-2; ICESat-2; Sea ice; Snow depth; Arctic; Antarctic</t>
  </si>
  <si>
    <t>RADAR; THICKNESS; LAND</t>
  </si>
  <si>
    <t>The potential of deriving snow depth estimates using differences in freeboard heights from CryoSat-2 (CS-2) and ICESat-2 (IS-2) is examined. In our analysis, we use lidar freeboard from the Airborne Topographic Mapper (ATM) on Operation IceBridge (OIB) as proxy of IS-2 total (snow + ice) freeboard. Snow depths are estimates from the OIB snow radar. Differences in height between the total (ATM) and ice (CS-2) freeboards are related to snow depth by the refractive index of the snow layer (eta(s)), which is dependent on snow density. For two years (2014 and 2015), regression of the ATM and CS-2 freeboard differences against OIB snow depth gives correlations of similar to 0.80, estimated eta(s) of similar to 1.21, and standard errors of similar to 8 cm. The resulting refractive index, eta(s), can be compared to that expected of the Arctic snow cover in early spring (1.25 +/- 0.05). The expected biases and variability in the regression analysis are discussed. Results suggest that snow depth can be estimated from the freeboard differences. The benefits of adjusting the orbit of CS-2 for providing more optimized overlaps between IS-2 and CS-2 are considered. (C) 2017 COSPAR. Published by Elsevier Ltd. All rights reserved.</t>
  </si>
  <si>
    <t>[Kwok, R.] CALTECH, Jet Prop Lab, 4800 Oak Grove Dr, Pasadena, CA 91109 USA; [Markus, T.] NASA, Goddard Space Flight Ctr, Greenbelt, MD 20771 USA</t>
  </si>
  <si>
    <t>National Aeronautics &amp; Space Administration (NASA); NASA Jet Propulsion Laboratory (JPL); California Institute of Technology; National Aeronautics &amp; Space Administration (NASA); NASA Goddard Space Flight Center</t>
  </si>
  <si>
    <t>Kwok, R (corresponding author), CALTECH, Jet Prop Lab, 4800 Oak Grove Dr, Pasadena, CA 91109 USA.</t>
  </si>
  <si>
    <t>ron.kwok@jpl.nasa.gov</t>
  </si>
  <si>
    <t>Kwok, Ron/A-9762-2008; Kwok, Ronald/L-3968-2019</t>
  </si>
  <si>
    <t>Kwok, Ron/0000-0003-4051-5896; Kwok, Ronald/0000-0003-4051-5896</t>
  </si>
  <si>
    <t>National Aeronautics and Space Administration</t>
  </si>
  <si>
    <t>National Aeronautics and Space Administration(National Aeronautics &amp; Space Administration (NASA))</t>
  </si>
  <si>
    <t>We thank John Sonntag for plots of the CryoSat-2 and ICESat-2 ground tracks. RK performed this work at the Jet Propulsion Laboratory, California Institute of Technology, under contract with the National Aeronautics and Space Administration.</t>
  </si>
  <si>
    <t>0273-1177</t>
  </si>
  <si>
    <t>1879-1948</t>
  </si>
  <si>
    <t>ADV SPACE RES</t>
  </si>
  <si>
    <t>Adv. Space Res.</t>
  </si>
  <si>
    <t>SEP 15</t>
  </si>
  <si>
    <t>10.1016/j.asr.2017.09.007</t>
  </si>
  <si>
    <t>Engineering, Aerospace; Astronomy &amp; Astrophysics; Geosciences, Multidisciplinary; Meteorology &amp; Atmospheric Sciences</t>
  </si>
  <si>
    <t>Engineering; Astronomy &amp; Astrophysics; Geology; Meteorology &amp; Atmospheric Sciences</t>
  </si>
  <si>
    <t>GR8MI</t>
  </si>
  <si>
    <t>WOS:000442977600006</t>
  </si>
  <si>
    <t>Fernandez, R; Gulick, S; Domack, E; Montelli, A; Leventer, A; Shevenell, A; Frederick, B</t>
  </si>
  <si>
    <t>Fernandez, R.; Gulick, S.; Domack, E.; Montelli, A.; Leventer, A.; Shevenell, A.; Frederick, B.</t>
  </si>
  <si>
    <t>NBP1402 Science Party</t>
  </si>
  <si>
    <t>Past ice stream and ice sheet changes on the continental shelf off the Sabrina Coast, East Antarctica</t>
  </si>
  <si>
    <t>GEOMORPHOLOGY</t>
  </si>
  <si>
    <t>East Antarctic Ice Sheet; Glacial geomorphology; Mega scale glacial lineations; Grounding zone wedges</t>
  </si>
  <si>
    <t>PINE ISLAND BAY; LAST GLACIAL MAXIMUM; SEA-LEVEL RISE; WEST ANTARCTICA; SUBGLACIAL DRAINAGE; SUBMARINE LANDFORMS; TOTTEN GLACIER; MASS-BALANCE; WILKES LAND; RETREAT</t>
  </si>
  <si>
    <t>Our understanding of the response of the Antarctic ice sheet to climate and ocean changes requires the improvement of current ice-atmosphere-ocean models and the accurate determination of boundary conditions such as ice thickness and extent at key time intervals, so that satellite gravity observations and isostatic models can be adjusted. However, large portions of the Antarctic margin remain understudied or lack suitable data. One key area where data are lacking, is the Sabrina Coast portion of the East Antarctic Ice Sheet (EAIS) margin where the Totten Glacier, which has the largest ice discharge in East Antarctica, is accelerating, thinning and loosing mass at high rates. In this work, we present the results of the first geological and geophysical marine survey to the continental shelf offshore of the Dalton Ice Tongue and Moscow University ice shelf, east of the Totten Glacier. The data presented include multibeam swath bathymetry and multichannel seismic, focusing on the sea floor morphology and sedimentary section above a regional angular unconformity separating pre- and post-Miocene glacial strata. Sea floor scouring and iceberg keel marks on the outer shelf, associated with gullies on the upper slope indicate that ice expanded in the past and grounded similar to 5 km from the shelf edge at similar to 450-500 mbsl, extending similar to 155 km north of the current Moscow University Ice Shelf. A nearly 1000 m deep area in the inner-middle shelf, oriented NW with paleo-ice flow direction indicated by mega scale glacial lineations (MSGL) and drumlins, is interpreted as a cross shelf glacial trough. A series of geomorphic associations on the north-eastern side of the glacial trough includes glacial lobes, grounding zone wedges (GZW), glacial lineations and transverse ridges, which indicates slower ice, grounding line stabilization and collapse. These geomorphic associations are organized in 4 four sets representing different past ice-flow configurations reflecting changes in ice flow direction, grounding line position, location of fast and slow ice areas, and retreat pattern. Some of the geomorphic features identified are compatible with the presence of an organized subglacial drainage, and others are with rapid grounding line collapse. A well-preserved series of GZWs occurring at different water depths implies they were formed during different glacial stages or cycles. The inferred diminishing ice thickness for consecutives GZWs indicates that the margin of the Antarctic ice sheet evolved to a less extensive coverage of the continental shelf through successive glacial stages or cycles. The identification of different ice flow configurations, evidence of subglacial water and past ice margin collapse indicates a dynamic ice sheet margin with varying glacial conditions and retreat modes. We observe that some of the described morphological associations are similar to those found in the Amundsen sea sector of the West Antarctic Ice Sheet (WAIS) where they are associated with ice sheet and ice stream collapse. Although further studies are needed to assess the precise timing and rates of the glacial processes involved, we conclude that there is enough evidence to support the hypothesis that the EAIS margin can behave as dynamically as the WAIS margin, especially during glacial retreat and icesheet margin collapse. (C) 2018 Elsevier B.V. All rights reserved.</t>
  </si>
  <si>
    <t>[Fernandez, R.; Gulick, S.; Montelli, A.; Frederick, B.] Univ Texas Austin, Jackson Sch Geosci, Inst Geophys, Austin, TX 78758 USA; [Domack, E.; Shevenell, A.] Univ S Florida, Coll Marine Sci, St Petersburg, FL 33701 USA; [Leventer, A.] Colgate Univ, Geol Dept, Hamilton, NY 13346 USA; [Fernandez, R.] Univ Chile, Dept Geol, Santiago, Chile; [Montelli, A.] Univ Cambridge, Scott Polar Res Inst, Cambridge CB2 1ER, England; [Frederick, B.] Univ Kansas, Dept Geol, Lawrence, KS 66045 USA</t>
  </si>
  <si>
    <t>University of Texas System; University of Texas Austin; State University System of Florida; University of South Florida; Colgate University; Universidad de Chile; University of Cambridge; University of Kansas</t>
  </si>
  <si>
    <t>Fernandez, R (corresponding author), Univ Texas Austin, Jackson Sch Geosci, Inst Geophys, Austin, TX 78758 USA.;Fernandez, R (corresponding author), Univ Chile, Dept Geol, Santiago, Chile.</t>
  </si>
  <si>
    <t>rfernandez@ing.uchile.cl</t>
  </si>
  <si>
    <t>Fernandez, Rodrigo/ABC-8361-2020; Frederick, Bruce/N-3916-2019; Fernandez, Rodrigo/GRF-1350-2022; Gulick, Sean/GNH-2042-2022</t>
  </si>
  <si>
    <t>Frederick, Bruce/0000-0002-7381-8693; Gulick, Sean/0000-0003-4740-9068; Leventer, Amy/0000-0001-9401-0987; Fernandez, Rodrigo/0000-0003-4226-6010</t>
  </si>
  <si>
    <t>National Science Foundation [PLR-1143836, PLR-1143837, PLR-1143843, PLR-1430550, PLR-1048343]</t>
  </si>
  <si>
    <t>National Science Foundation(National Science Foundation (NSF))</t>
  </si>
  <si>
    <t>We thank the NBP14-02 science party, ECO crew, and ASC staff aboard the RV/IBV N.B. Palmer for their help during the geophysical survey. NBP14-02 was supported by National Science Foundation grants PLR-1143836, -1143837, -1143843, -1430550, and -1048343. We also thank the team of marine mammal observers that insured that seismic operations were done safely for the local marine life. We thank Richard A. Marston, editor in chief of Geomorphology, and Ian S. Evans who reviewed the manuscript for their insightful comments. This is IJTIG contribution #3273.</t>
  </si>
  <si>
    <t>0169-555X</t>
  </si>
  <si>
    <t>1872-695X</t>
  </si>
  <si>
    <t>Geomorphology</t>
  </si>
  <si>
    <t>10.1016/j.geomorph.2018.05.020</t>
  </si>
  <si>
    <t>GO6CB</t>
  </si>
  <si>
    <t>WOS:000440120600002</t>
  </si>
  <si>
    <t>Kim, S; Yoo, KC; Lee, JI; Lee, MK; Kim, K; Yoon, HI; Moon, HS</t>
  </si>
  <si>
    <t>Kim, Sunghan; Yoo, Kyu-Cheul; Lee, Jae Il; Lee, Min Kyung; Kim, Kitae; Yoon, Ho Il; Moon, Heung Soo</t>
  </si>
  <si>
    <t>Relationship between magnetic susceptibility and sediment grain size since the last glacial period in the Southern Ocean off the northern Antarctic Peninsula - Linkages between the cryosphere and atmospheric circulation</t>
  </si>
  <si>
    <t>Magnetic susceptibility; Grain size; Ice-rafted debris; Southern ocean; The last glacial period</t>
  </si>
  <si>
    <t>ICE-RAFTED DEBRIS; SEA-ICE; LATE QUATERNARY; SCOTIA SEA; CIRCUMPOLAR CURRENT; WEDDELL SEA; TERRIGENOUS SEDIMENT; SURFACE-TEMPERATURE; ATLANTIC-OCEAN; OKHOTSK SEA</t>
  </si>
  <si>
    <t>Magnetic susceptibility (MS) values in Scotia Sea sediments showed strong correlations to ice core non-sea salt Ca2+ concentration (dust input), which emphasizes the role of atmospheric circulation in the Southern Ocean. As a result, the correlation between these values was suggested as a powerful tool for age reconstruction of marine sediments in the Southern Ocean. However, controls on MS variation in Scotia Sea sediments are not clear. In this study, we documented records of grain size, MS values (10(-6) CGS/g) of bulk sediments, and MS values of sand-sized (&gt;63 mu m), coarse silt-sized (16-63 mu m), and fine sediment fractions (&lt;16 mu m) at sediment cores from the Southern Ocean off the northern Antarctic Peninsula (the south Scotia Sea and the northern Powell Basin) to reveal which size fraction is responsible for increased MS values during the glacial period and how this size fraction is transported to the Southern Ocean deep-sea. The MS values of all cores GCO2-SS02, GC03-C2, GC03-C4, and GC04-G03 increased along with increased sand- and coarse silt-sized fractions and decreased fine sediment fraction. Although The MS values of all size fractions increased during the glacial period, the increased glacial MS values are more related to fine sand- to coarse silt-sized fractions than they are to the fine sediment fraction. The fine sand- to coarse silt-sized sediments with the highest MS values during the glacial period show (semi-)normal distribution patterns, indicating that they are transported by the same mechanism. The sediments are considered to be transported as ice rafted debris (IRD) during the glacial period. Based on our record, the strong correlation between marine core MS values and ice core dust record thus suggests a strong linkage between the cryosphere (iceberg calving activity) and atmospheric circulation (dust) in the Southern Ocean off the northern Antarctic Peninsula.</t>
  </si>
  <si>
    <t>[Kim, Sunghan; Yoo, Kyu-Cheul; Lee, Jae Il; Lee, Min Kyung; Kim, Kitae; Yoon, Ho Il; Moon, Heung Soo] Korea Polar Res Inst, Incheon 21990, South Korea</t>
  </si>
  <si>
    <t>Korea Polar Research Institute (KOPRI)</t>
  </si>
  <si>
    <t>Kim, S (corresponding author), Korea Polar Res Inst, Incheon 21990, South Korea.</t>
  </si>
  <si>
    <t>delongksh@kopri.re.kr</t>
  </si>
  <si>
    <t>Kim, Sunghan/CAG-2289-2022</t>
  </si>
  <si>
    <t>Kim, Kitae/0000-0003-0803-3547</t>
  </si>
  <si>
    <t>KOPRI project [PE18030]</t>
  </si>
  <si>
    <t>KOPRI project(Korea Polar Research Institute of Marine Research Placement (KOPRI))</t>
  </si>
  <si>
    <t>We would like to thank the crew and scientific party of the R/V Yuzhmorgeologiya for all their help during the gravity coring on board. We would like to thank the KOPRI laboratory members for all their help during experimental measurements. We appreciate the handling editor (Dr. Thierry Correge) and two anonymous reviewers for their critical and constructive comments to improve data interpretation and manuscript structure. This research was supported by KOPRI project (PE18030).</t>
  </si>
  <si>
    <t>10.1016/j.palaeo.2018.06.016</t>
  </si>
  <si>
    <t>GM8KO</t>
  </si>
  <si>
    <t>WOS:000438477700031</t>
  </si>
  <si>
    <t>Aublanc, J; Moreau, T; Thibaut, P; Boy, F; Rémy, F; Picot, N</t>
  </si>
  <si>
    <t>Aublanc, J.; Moreau, T.; Thibaut, P.; Boy, F.; Remy, F.; Picot, N.</t>
  </si>
  <si>
    <t>Evaluation of SAR altimetry over the antarctic ice sheet from CryoSat-2 acquisitions</t>
  </si>
  <si>
    <t>CryoSat-2; Antarctic ice sheet; SAR altimetry; Radar altimetry</t>
  </si>
  <si>
    <t>ELEVATION CHANGE; RETRACKING ALGORITHM; SURFACE-PROPERTIES; VOLUME SCATTERING; RADAR ALTIMETRY; EAST ANTARCTICA; LAKE VOSTOK; GREENLAND; RETURN; MODEL</t>
  </si>
  <si>
    <t>Since the 1990s and the launch of ERS-1, Earth's polar regions have been near continuously monitored by satellite altimetry, improving substantially our knowledge of the ice sheet topography and its evolution. CryoSat-2 is the first satellite carrying on-board a new generation of radar altimeter able to operate in a Synthetic Aperture Radar (SAR) mode. In comparison with the Low Resolution Mode (LRM) used in conventional radar altimetry, SAR mode allows to reduce the along-track footprint from several kilometers to 300 m. In this paper we assess the SAR mode performance over the Antarctic ice sheet using sporadic CryoSat-2 acquisitions carried out in winter 2014 on dedicated zones (Lake Vostok and Adelie land). Level-1 data from two different algorithms are exploited: the CNES Cryosat-2 Processing Prototype (CPP) and the ESA Instrument Processing Facility (IPF). Firstly, results show that the estimated surface elevation from the SAR mode acquisitions over the flat surface of Lake Vostok is within the same order of magnitude as available DEMs. Mean bias is in the order of several centimeters, without any corrections accounting for the snowpack volume scattering. Secondly, the undertaken analyzes evidence that SAR altimetry has either no, or only small, sensitivity to the along-track slope-induced effect, while the across-track slope-induced effect is similar as LRM. Thirdly, SAR altimetry mode appears to be more performant than Pseudo-LRM over the steep slopes of the Antarctica margins. The precision of the estimated surface elevation is improved by 30%, and the processed waveforms are less noisy. Overall, this work demonstrates the improved measuring capability offered by SAR mode altimetry over the ice sheet surface compared to conventional altimetry. (C) 2018 COSPAR. Published by Elsevier Ltd. All rights reserved.</t>
  </si>
  <si>
    <t>[Aublanc, J.; Moreau, T.; Thibaut, P.] CLS, Parc Technol Canal,11 Rue Hermes, F-31520 Ramonville St Agne, France; [Boy, F.; Picot, N.] CNES, 18 Ave Edouard Belin, F-31400 Toulouse, France; [Remy, F.] LEGOS, 14 Ave E Belin, F-31400 Toulouse, France</t>
  </si>
  <si>
    <t>Universite de Toulouse; Universite Toulouse III - Paul Sabatier; Centre National de la Recherche Scientifique (CNRS); Institut de Recherche pour le Developpement (IRD); Laboratoire d'Etudes en Geophysique et oceanographie spatiales</t>
  </si>
  <si>
    <t>Aublanc, J (corresponding author), CLS, Parc Technol Canal,11 Rue Hermes, F-31520 Ramonville St Agne, France.</t>
  </si>
  <si>
    <t>jaublanc@cls.fr</t>
  </si>
  <si>
    <t>Aublanc, Jeremie/0009-0000-3090-8093</t>
  </si>
  <si>
    <t>French Space Agency (CNES)</t>
  </si>
  <si>
    <t>French Space Agency (CNES)(Centre National D'etudes Spatiales)</t>
  </si>
  <si>
    <t>This work was supported by the French Space Agency (CNES). The authors are grateful to the ESA's CryoSat mission manager, Tornmaso Parinello, for sharing SIRAL data. The authors also thank Denis Blumstein, from CNES, for his support. The authors would also like to thank the NSIDC for providing most of the external data (DEMs, satellite imagery) used on this study. Finally, we are grateful for the contributions of three anonymous reviewers which helped to improve the quality and clarity of the manuscript.</t>
  </si>
  <si>
    <t>10.1016/j.asr.2018.06.043</t>
  </si>
  <si>
    <t>WOS:000442977600011</t>
  </si>
  <si>
    <t>Passaro, M; Müller, FL; Dettmering, D</t>
  </si>
  <si>
    <t>Passaro, Marcello; Mueller, Felix L.; Dettmering, Denise</t>
  </si>
  <si>
    <t>Lead detection using Cryosat-2 delay-doppler processing and Sentinel-1 SAR images</t>
  </si>
  <si>
    <t>Leads detection; Delay-Dopper altimetry; Cryosat-2 stack data; Sentinel-1; SAR image processing</t>
  </si>
  <si>
    <t>ARCTIC SEA-ICE; THICKNESS; FREEBOARD; FRACTION; MISSION</t>
  </si>
  <si>
    <t>In the Arctic and Antarctic Ocean, where part of the sea surface is seasonally or continuously covered by sea ice, the sea level monitoring from satellite altimetry relies on the localisation of open water areas, especially on the detection of leads: long and narrow fractures in the sea ice, which dominate the radar echoes even if hundreds of meters away from nadir. The Cryosat-2 altimetry mission is based on the Delay-Doppler processing, in which the averaged waveform is formed by summing up several looks acquired at different look angles and stacked together. This imaging technique and the resulting improved along-track resolution are here exploited to evaluate different lead identification schemes. In particular, stack and power statistics of Cryosat-2 waveforms are used to classify leads on a subset of 12 tracks in which the altimetry-based classification is compared to a classification based on Sentinel-1A SAR images. For this scope, a dedicated SAR-image automated processing is proposed to avoid the manual classification. Results show that the adoption of a single new stack parameter (the Stack Peakiness) can perform equally well as the use of multiple stack parameters currently available. Moreover, a multi-waveform analysis of the Stack Peakiness helps to isolate the point where narrow leads cross the tracks at nadir. For all the tested strategies, the number of altimetry-detected leads that are unidentified by SAR is comparable to the number of detections from both sensors. This could be due to presence of narrow leads, not detected by SAR due to resolution limits, but still dominant in the radar altimeter return due to the high backscatter. (C) 2017 COSPAR. Published by Elsevier Ltd. All rights reserved.</t>
  </si>
  <si>
    <t>[Passaro, Marcello; Mueller, Felix L.; Dettmering, Denise] Tech Univ Munich, Deutsch Geodat Forschungsinst, Arcisstr 21, D-80333 Munich, Germany</t>
  </si>
  <si>
    <t>Technical University of Munich</t>
  </si>
  <si>
    <t>Passaro, M (corresponding author), Tech Univ Munich, Deutsch Geodat Forschungsinst, Arcisstr 21, D-80333 Munich, Germany.</t>
  </si>
  <si>
    <t>marcello.passaro@tum.de</t>
  </si>
  <si>
    <t>Passaro, Marcello/AAL-4772-2020; Dettmering, Denise/C-6337-2012; Müller, Felix Lucian/AAR-2043-2021</t>
  </si>
  <si>
    <t>Passaro, Marcello/0000-0002-3372-3948; Dettmering, Denise/0000-0002-8940-4639; Müller, Felix Lucian/0000-0003-4219-0407</t>
  </si>
  <si>
    <t>German Research Foundation (DFG) [BO1228/13-1, DE2174/3-1]</t>
  </si>
  <si>
    <t>German Research Foundation (DFG)(German Research Foundation (DFG))</t>
  </si>
  <si>
    <t>This work was partly supported by the German Research Foundation (DFG) through grants BO1228/13-1 and DE2174/3-1.</t>
  </si>
  <si>
    <t>10.1016/j.asr.2017.07.011</t>
  </si>
  <si>
    <t>WOS:000442977600029</t>
  </si>
  <si>
    <t>Meyer, CR; Minchew, BM</t>
  </si>
  <si>
    <t>Meyer, Colin R.; Minchew, Brent M.</t>
  </si>
  <si>
    <t>Temperate ice in the shear margins of the Antarctic Ice Sheet: Controlling processes and preliminary locations</t>
  </si>
  <si>
    <t>temperate ice; shear margins; ice streams; ice flow; deformation heating; glacier thermomechanics</t>
  </si>
  <si>
    <t>WEST ANTARCTICA; STREAM B; SUBGLACIAL HYDROLOGY; GLACIERS; MODEL; MECHANICS; MIGRATION; DYNAMICS; DEFORMATION; VARIABILITY</t>
  </si>
  <si>
    <t>The flux of grounded ice from the Antarctic Ice Sheet (AIS) primarily occurs through narrow, fast-flowing outlet glaciers and ice streams. Shearing generates heat in the lateral glacier margins, where there is a transition from fast-flow to near-stagnant ice or rock. This heat warms the ice and can form zones of water-saturated porous ice at the melting temperature, known as temperate ice. Here we derive a one-dimensional thermomechanical model to infer which AIS shear margins may contain temperate ice. Our model provides expressions for the critical shear strain rate at which a zone of temperate ice initiates and the thickness of the temperate zone. Both of these quantities are described by two non-dimensional numbers the Brinkman and Peclet numbers that are functions of observable parameters such as shear strain rate, surface temperature, surface accumulation rate, and ice thickness. The development of temperate zones is incited by shear strain rates (Brinkman number) and suppressed by the advection of cold ice from the surface (Peclet number), which scales with surface accumulation rate. We also include a parametrization for lateral advection, which can suppress the formation of temperate ice. Applying recent observations and outputs from a regional climate model, we show that many active glacier shear margins could contain temperate ice. The spatial distribution and thickness of temperate zones are controlled largely by shear strain rates and surface accumulation rates. (C) 2018 Elsevier B.V. All rights reserved.</t>
  </si>
  <si>
    <t>[Meyer, Colin R.] Univ Oregon, Dept Earth Sci, Eugene, OR 94703 USA; [Minchew, Brent M.] MIT, Dept Earth Atmospher &amp; Planetary Sci, Cambridge, MA 02139 USA</t>
  </si>
  <si>
    <t>University of Oregon; Massachusetts Institute of Technology (MIT)</t>
  </si>
  <si>
    <t>Meyer, CR (corresponding author), Univ Oregon, Dept Earth Sci, Eugene, OR 94703 USA.</t>
  </si>
  <si>
    <t>colinrmeyer@gmail.com</t>
  </si>
  <si>
    <t>Meyer, Colin R./AAC-9138-2019</t>
  </si>
  <si>
    <t>Meyer, Colin R./0000-0002-1209-1881</t>
  </si>
  <si>
    <t>NSF Graduate Research Fellowship [DGE1144152]; David Crighton Fellowship; NSF Earth Sciences Postdoctoral Fellowship [EAR1452587]</t>
  </si>
  <si>
    <t>NSF Graduate Research Fellowship(National Science Foundation (NSF)); David Crighton Fellowship; NSF Earth Sciences Postdoctoral Fellowship</t>
  </si>
  <si>
    <t>We wish to thank Jim Rice, Alan Rempel, and Jenny Suckale for insightful discussions. We are grateful to the scientific editor Bruce Buffett as well as Kurt Cuffey and an anonymous reviewer for suggesting improvements to this manuscript. We also thank J.M. van Wessen for providing surface mass balance and temperature from RACM02.3 and Alex Gardner for providing the Landsat-derived surface velocity fields. We are grateful for the support of the NSF Graduate Research Fellowship award DGE1144152 and a David Crighton Fellowship to CRM and the NSF Earth Sciences Postdoctoral Fellowship award EAR1452587 to BMM.</t>
  </si>
  <si>
    <t>10.1016/j.epsl.2018.06.028</t>
  </si>
  <si>
    <t>GQ9BJ</t>
  </si>
  <si>
    <t>WOS:000442060600003</t>
  </si>
  <si>
    <t>Phillips, EH; Sims, KWW; Blichert-Toft, J; Aster, RC; Gaetani, GA; Kyle, PR; Wallace, PJ; Rasmussen, DJ</t>
  </si>
  <si>
    <t>Phillips, Erin H.; Sims, Kenneth W. W.; Blichert-Toft, Janne; Aster, Richard C.; Gaetani, Glenn A.; Kyle, Philip R.; Wallace, Paul J.; Rasmussen, Daniel J.</t>
  </si>
  <si>
    <t>The nature and evolution of mantle upwelling at Ross Island, Antarctica, with implications for the source of HIMU lavas</t>
  </si>
  <si>
    <t>Ross Island; Antarctica; alkaline magmatism; Sr-Nd-Hf-Pb isotopes; mantle upwelling; HIMU</t>
  </si>
  <si>
    <t>MARIE BYRD LAND; EREBUS VOLCANO; ERUPTIVE HISTORY; WEST ANTARCTICA; VICTORIA-LAND; NEW-ZEALAND; INTRAPLATE VOLCANISM; CENOZOIC VOLCANISM; EAST ANTARCTICA; MOUNT EREBUS</t>
  </si>
  <si>
    <t>The multiple, proximal, young and/or active volcanic centers of Ross Island, Antarctica, provide a unique opportunity to investigate both deep and shallow processes of alkaline magma genesis and the length scales of mantle heterogeneity. Ross Island, Antarctica is an assembly of four silica-undersaturated alkaline volcanic centers, including the active phonolitic Erebus volcano (1.2 to 0 Ma). Mt. Terror, Mt. Bird, and Hut Point Peninsula surround Erebus on the periphery of Ross Island and are mostly older (similar to 0.3 to 4 Ma) and mainly basanitic in composition. While the geochemical compositions and HIMU isotopic signature of Erebus lavas are well characterized, the geochemistry of the peripheral volcanic centers was, until this study, poorly known. To further investigate the nature of mantle sources and magmatic processes beneath Ross Island, we therefore measured major and trace element and Sr, Nd, Hf, and Pb isotope compositions on fifty-seven samples from the three volcanoes peripheral to Erebus volcano and compared the results to previous geochemical and isotopic studies of the latter. Mt. Terror, Mt. Bird, and Hut Point Peninsula have Sr-87/Sr-86 ranging from 0.702907 to 0.703147, epsilon(Nd) ranging from +4.3 to +6.3, epsilon(Hf) ranging from +5.6 to +8.6, and (206)pb/Pb-204 ranging from 19.282 to 20.241. The Sr, Nd, Hf, and Pb isotope compositions of all four volcanoes (Erebus, Terror, Bird, and Hut Point Peninsula) fall on a mixing line between the HIMU and DMM mantle end-members, with a minor contribution from an EM component. Small, but distinct differences in the isotopic compositions of the four volcanoes, most notably Mt. Bird, imply mantle source heterogeneity beneath Ross Island on a length scale comparable to or smaller than inter-volcano distances (i.e., less than 50 km). The major and trace element systematics and isotopic signatures of the Ross Island volcanic samples are distinct from those for samples from Zealandia and older Antarctic samples that typify magmas from the Cenozoic alkaline magmatic province. The chemical and isotopic compositions of the Ross Island lavas and tephras are best explained by small-degree melting of an ancient asthenospheric source containing residual garnet. Additionally, recent global tomographic modeling indicates low shear wave velocity anomalies with depths down to similar to 1200 km beneath Ross Island. This suggests a deep-seated upwelling plume impinging on shallower metasomatized mantle which has been gradually eroded away and is no longer a potential source of Ross Island magmatism. Rather, the source of Ross Island lavas is old (Archean to early Proterozoic) material upwelling from the deep mantle as opposed to melting of subcontinental lithospheric mantle metasomatized by Paleozoic subduction. While our findings have local significance in terms of understanding Ross Island volcanism and providing a new perspective on the evolution of volcanism in the surrounding region during the Phanerozoic, they also have important global implications for gauging the nature, age, and evolution of the HIMU mantle source. (C) 2018 Elsevier B.V. All rights reserved.</t>
  </si>
  <si>
    <t>[Phillips, Erin H.; Sims, Kenneth W. W.] Univ Wyoming, Dept Geol &amp; Geophys, 1000 E Univ Ave, Laramie, WY 82071 USA; [Blichert-Toft, Janne] Ecole Normale Super Lyon, CNRS UMR 5276, Lab Geol Lyon, 46 Allee Italie, F-69007 Lyon, France; [Blichert-Toft, Janne] Univ Claude Bernard Lyon 1, 46 Allee Italie, F-69007 Lyon, France; [Aster, Richard C.] Colorado State Univ, Warner Coll Nat Resources, Dept Geosci, Ft Collins, CO 80523 USA; [Gaetani, Glenn A.] Woods Hole Oceanog Inst, Dept Geol &amp; Geophys, Woods Hole, MA 02543 USA; [Kyle, Philip R.] New Mexico Inst Min &amp; Technol, Dept Earth &amp; Environm Sci, Socorro, NM 87801 USA; [Wallace, Paul J.] Univ Oregon, Dept Earth Sci, Eugene, OR 97403 USA; [Rasmussen, Daniel J.] Columbia Univ, Lamont Doherty Earth Observ, Palisades, NY 10964 USA; [Phillips, Erin H.] Univ Wyoming, Ctr Econ Geol Res, 1000 E Univ Ave, Laramie, WY 82071 USA</t>
  </si>
  <si>
    <t>University of Wyoming; Centre National de la Recherche Scientifique (CNRS); CNRS - National Institute for Earth Sciences &amp; Astronomy (INSU); Ecole Normale Superieure de Lyon (ENS de LYON); Universite Claude Bernard Lyon 1; Universite Claude Bernard Lyon 1; Colorado State University; Woods Hole Oceanographic Institution; New Mexico Institute of Mining Technology; University of Oregon; Columbia University; University of Wyoming</t>
  </si>
  <si>
    <t>Sims, KWW (corresponding author), Univ Wyoming, Dept Geol &amp; Geophys, 1000 E Univ Ave, Laramie, WY 82071 USA.</t>
  </si>
  <si>
    <t>ksims7@uwyo.edu</t>
  </si>
  <si>
    <t>Aster, Richard/E-5067-2013; Sims, Kenneth/HOC-7512-2023; Gaetani, Glenn/P-3870-2019; Blichert-Toft, Janne/C-8280-2012</t>
  </si>
  <si>
    <t>Aster, Richard/0000-0002-0821-4906; Gaetani, Glenn/0000-0002-6026-2534; Sims, Kenneth/0000-0001-6179-6610; Rasmussen, Daniel/0000-0003-0137-6715</t>
  </si>
  <si>
    <t>National Science Foundation [OPP-ANT-1141167, NSF-OPP ANT-1644013, EAR-0960270, ANT-1141534, OPP-ANT-1419268]; French Agence Nationale de la Recherche [ANR-10-BLAN-0603]; Polar Geospatial Center under NSF OPP awards [1043681, 1559691]; Dick and Lynne Cheney Fellowship for Excellence in Study Abroad; University of Wyoming Department of Geology and Geophysics; Roy J. Schlemon Center for Quaternary Studies; Goldschmidt Student Travel Grant</t>
  </si>
  <si>
    <t>National Science Foundation(National Science Foundation (NSF)); French Agence Nationale de la Recherche(Agence Nationale de la Recherche (ANR)); Polar Geospatial Center under NSF OPP awards; Dick and Lynne Cheney Fellowship for Excellence in Study Abroad; University of Wyoming Department of Geology and Geophysics; Roy J. Schlemon Center for Quaternary Studies; Goldschmidt Student Travel Grant</t>
  </si>
  <si>
    <t>This work was funded by National Science Foundation awards OPP-ANT-1141167 (KWWS), NSF-OPP ANT-1644013 (KWWS), EAR-0960270 (KWWS), ANT-1141534 (PRK) and OPP-ANT-1419268 (RCA). JBT acknowledges financial support from the French Agence Nationale de la Recherche through grant ANR-10-BLAN-0603 (M&amp;Ms - Mantle Melting - Measurements, Models, Mechanisms). Geospatial support for this work was provided by the Polar Geospatial Center under NSF OPP awards 1043681 &amp; 1559691. Additional funding was provided to EHP by the Dick and Lynne Cheney Fellowship for Excellence in Study Abroad, the University of Wyoming Department of Geology and Geophysics, the Roy J. Schlemon Center for Quaternary Studies, and a Goldschmidt Student Travel Grant. Global model sections were facilitated by the IRIS Earth Modeling Collaboration (Trabant et al., 2012). Code and data for the SEMUCB-WM1 model was provided by Barbara Romanowicz and colleagues at the University of California, Berkeley. NSF-directed Antarctic support personnel made fieldwork in Antarctica smooth and efficient. EHP is grateful to ENS Lyon for its hospitality and to Philippe Telouk and Francis Albarede for help and guidance. We further thank Susan Swapp, Tyler Brown, Sean Scott, and Evan Soderberg for assistance with sample preparation and analyses. We appreciate constructive discussions with Sean Scott and Mark Reagan. Comments by two anonymous reviewers and editor Tamsin Mather significantly improved the manuscript.</t>
  </si>
  <si>
    <t>10.1016/j.epsl.2018.05.049</t>
  </si>
  <si>
    <t>WOS:000442060600005</t>
  </si>
  <si>
    <t>Kanamaru, T; Suganuma, Y; Oiwane, H; Miura, H; Miura, M; Okuno, J; Hayakawa, H</t>
  </si>
  <si>
    <t>Kanamaru, Tatsuo; Suganuma, Yusuke; Oiwane, Hisashi; Miura, Hideki; Miura, Makoto; Okuno, Jun'ichi; Hayakawa, Hideaki</t>
  </si>
  <si>
    <t>The weathering of granitic rocks in a hyper-arid and hypothermal environment: A case study from the Sor-Rondane Mountains, East Antarctica</t>
  </si>
  <si>
    <t>Antarctica; Weathering; Oxidation; Hyper-arid environment; Hypothermal environment; Equotip; Mars</t>
  </si>
  <si>
    <t>DRONNING MAUD LAND; DRY VALLEYS; MARS; GEOMORPHOLOGY; METEORITES; EVOLUTION; OXIDATION; MINERALS; EQUOTIP; OXIDE</t>
  </si>
  <si>
    <t>Weathering processes in hyper-arid and hypothermal environments are key to our understanding of geomorphological processes and landscape evolution in Antarctica and likely on Mars. A number of studies have focused on the weathering of basaltic rocks in Antarctica; however, the nature of the weathering of quartzofeldspathic rocks, a common rock type on Earth, has received less attention and remains unclear. Here, we explore the weathering of granitic rocks, which are a type of quartzofeldspathic rock, and the associated weathering products, in the Ser-Rondane Mountains of East Antarctica to obtain quantitative information regarding the physical and chemical weathering of granitic rocks in hyper-arid and hypothermal environments. Various petrological techniques were used to analyze the physical and chemical weathering of the rocks. Loss on ignition (LOI) values and the major element composition obtained from the crust and core of the rock samples indicate that the production of hydrous clay minerals in this area is very limited. Examination under a microscope, together with laser-Raman microspectroscopy, of thin sections from the crust and core of the samples indicate that goethite grains form mainly in veins within the crust, which is consistent with the contrasts seen in the Fe3+/Fe2+ and color strength index (CSI) values obtained from the core and crust. A negative correlation between rock hardness and degree of weathering, as measured from the crust of the samples, indicates that the weathered samples are softer than the core. This indicates that cracking and subsequent vein formation cause a reduction in the hardness of the crust and an increase in staining via the formation of goethite grains that develop in the veins. Furthermore, electron probe microanalyzer (EPMA) analysis indicates that the original Fe-Ti oxide grains are altered by weathering and change to hematite or a non-stoichiometric Fe-Ti compound associated with ilmenite grains in the case of a greater degree of weathering. These findings reveal that the weathering of granitic rocks in a hyper-arid and hypothermal environment is controlled mainly by oxidation, including iron hydroxide formation in veins formed by the thermal expansion and contraction of rock-forming minerals, frost shattering and/or salt fretting, and Fe-Ti oxide alteration in the rock interior. Importantly, these physical and chemical weathering processes are unlikely to require a liquid water supply from the environment (snow or vapor). Hence, the restricted supply of liquid water and salt is the most probable explanation for the extremely slow weathering rates in the Srar-Rondane Mountains. We therefore conclude that the weathering process observed in this area is a typical feature of quartzofeldspathic rocks under hyper-arid and hypothermal conditions, and potentially also on Mars. In situ color measurements essentially express the amount of iron hydroxide on the rock surface; thus, in situ and satellite measurements of the color of exposed rocks in Antarctica can potentially provide quantitative information regarding the degree of weathering. (C) 2018 The Authors. Published by Elsevier B.V.</t>
  </si>
  <si>
    <t>[Kanamaru, Tatsuo] Nihon Univ, Coll Humanities &amp; Sci, Setagaya Ku, 3-25-40 Sakurajosui, Tokyo 1568550, Japan; [Suganuma, Yusuke; Oiwane, Hisashi; Miura, Hideki; Okuno, Jun'ichi] Natl Inst Polar Res, 10-3 Midoricho, Tachikawa, Tokyo 1908518, Japan; [Suganuma, Yusuke; Miura, Hideki; Okuno, Jun'ichi] Grad Univ Adv Studies SOKENDAI, Sch Multidisciplinary Sci, Dept Polar Sci, 10-3 Midoricho, Tachikawa, Tokyo 1908518, Japan; [Miura, Makoto] Kanazawa Univ, Dept Earth &amp; Planetary Sci, Kanazawa, Ishikawa 9201192, Japan; [Hayakawa, Hideaki] Univ Tokyo, Inst Cosm Ray Res, Kashiwa, Chiba 2778582, Japan</t>
  </si>
  <si>
    <t>Nihon University; Research Organization of Information &amp; Systems (ROIS); National Institute of Polar Research (NIPR) - Japan; Graduate University for Advanced Studies - Japan; Kanazawa University; University of Tokyo</t>
  </si>
  <si>
    <t>Kanamaru, T (corresponding author), Nihon Univ, Coll Humanities &amp; Sci, Setagaya Ku, 3-25-40 Sakurajosui, Tokyo 1568550, Japan.</t>
  </si>
  <si>
    <t>kanamaru.tatsuo@nihon-u.ac.jp; suganuma.yusuke@nipr.ac.jp; oiwane@me.com; miura@nipr.ac.jp; makomiu1214@gmail.com; okuno@nipr.ac.jp; haya@icrr.u-tokyo.ac.jp</t>
  </si>
  <si>
    <t>suganuma, yusuke/0000-0003-3516-1317</t>
  </si>
  <si>
    <t>Japanese Antarctic Research Expedition; JSPS Kakenhi [21253001, 17H06321, 16H05739, 22500991]; Toray Science Foundation; Center for the Promotion of Integrated Sciences (CPIS) of Sokendai; NIPR; MEXT-Supported Program for the Strategic Research Foundation at Private Universities [S901022]; Grants-in-Aid for Scientific Research [16H05739, 17H06321, 21253001, 22500991] Funding Source: KAKEN</t>
  </si>
  <si>
    <t>Japanese Antarctic Research Expedition; JSPS Kakenhi(Ministry of Education, Culture, Sports, Science and Technology, Japan (MEXT)Japan Society for the Promotion of ScienceGrants-in-Aid for Scientific Research (KAKENHI)); Toray Science Foundation(Toray Industries, Inc.); Center for the Promotion of Integrated Sciences (CPIS) of Sokendai(Graduate University for Advanced Studies - Japan); NIPR(National Institute of Polar Research (NIPR) - Japan); MEXT-Supported Program for the Strategic Research Foundation at Private Universities(Ministry of Education, Culture, Sports, Science and Technology, Japan (MEXT)); Grants-in-Aid for Scientific Research(Ministry of Education, Culture, Sports, Science and Technology, Japan (MEXT)Japan Society for the Promotion of ScienceGrants-in-Aid for Scientific Research (KAKENHI))</t>
  </si>
  <si>
    <t>The study was supported by the Japanese Antarctic Research Expedition and partially funded by JSPS Kakenhi (grant numbers: 21253001, 17H06321, 16H05739, and 22500991), Toray Science Foundation, the Center for the Promotion of Integrated Sciences (CPIS) of Sokendai, NIPR through Advanced Project (KP-1), and the MEXT-Supported Program for the Strategic Research Foundation at Private Universities, 2009-2013 (grant number: S901022). We thank Alan Hubert, Gigi, and all at Princess Elisabeth (PE) station. We are also grateful for the help given by Yukihisa Akada (NIPR), Hiroaki Saita (GSI), Teruyoshi Imaoka (Yamaguchi University), Tetsuya Waragai (Nihon University), Natsumi Hokanishi, (University of Tokyo), and Atsushi Kamei (Shimane University). We used the Landsat Image Mosaic of Antarctica (LIMA), the SCAR Antarctic Digital Database, and GIS package Quantarctica 2 produced by the Norwegian Polar Institute for Figs. 1 and 2. We also greatly appreciate the constructive comments of the two anonymous reviewers.</t>
  </si>
  <si>
    <t>10.1016/j.geomorph.2018.05.015</t>
  </si>
  <si>
    <t>WOS:000440120600005</t>
  </si>
  <si>
    <t>Friedrich, JM; Abreu, NM; Wolf, SF; Troiano, JM; Stanek, GL</t>
  </si>
  <si>
    <t>Friedrich, Jon M.; Abreu, Neyda M.; Wolf, Stephen F.; Troiano, Julianne M.; Stanek, Gregory L.</t>
  </si>
  <si>
    <t>Redox-influenced trace element compositional differences among variably aqueously altered CM chondrites</t>
  </si>
  <si>
    <t>GEOCHIMICA ET COSMOCHIMICA ACTA</t>
  </si>
  <si>
    <t>CM chondrites; Aqueous alteration; Trace elements; Redox</t>
  </si>
  <si>
    <t>PLASMA-MASS SPECTROMETRY; CARBONACEOUS CHONDRITES; REFRACTORY INCLUSIONS; TERRESTRIAL AGES; MODAL MINERALOGY; CHESAPEAKE BAY; H CHONDRITES; TAGISH LAKE; METEORITES; CLASSIFICATION</t>
  </si>
  <si>
    <t>It is generally agreed that the CM chondrites are remarkably compositionally uniform. To date, this observation has largely been based on major and selected trace element bulk elemental abundances. Here, we examine the trace element compositional uniformity of the CM chondrites in detail. We quantified the abundances of 43 trace elements in 21 CM chondrites displaying variable degrees of petrographically identified aqueous alteration. With these data, we used graphic and standard statistical methods for examining evidence for compositional differences with respect to degree of aqueous alteration. The results show that suites of variably aqueously altered CM chondrites have readily apparent and statistically significant trace element compositional differences. Higher degrees of aqueous alteration are associated with depleted bulk trace elemental abundances; however, when the variable mineralogy and hydration (H2O or -OH) are taken into account, the compositional differences between variably aqueously altered suites of CM chondrites largely disappear. Nevertheless, some trace elements still show statistically significant differences between suites of CM chondrites that experienced extensive and milder degrees of aqueous alteration. These elements are observed to be redox sensitive species (e.g. Mn, Zn, Mo, Re, U), whose mobilities between aqueous solutions and solids are mediated by complex ions whose solubilities are sensitive to a complicated combination of either the presence of Mn or Fe (oxy)hydroxide surfaces, specific redox environments, solution pH, presence of organic matter, and phyllosilicate surface binding. The studies suggest that the apparent compositional differences of these elements reflect an evolving redox environment during the history of the CM chondrites. It is unclear if the compositional differences between variably aqueously altered CM chondrites are the result of anisochemical (open system) aqueous alteration for some redox condition sensitive trace elements on the CM parent body or bodies or if the differences are the result of the meteorites' terrestrial residence. (C) 2018 Elsevier Ltd. All rights reserved.</t>
  </si>
  <si>
    <t>[Friedrich, Jon M.; Troiano, Julianne M.] Fordham Univ, Dept Chem, 441 East Fordham Rd, Bronx, NY 10458 USA; [Friedrich, Jon M.] Amer Museum Nat Hist, Dept Earth &amp; Planetary Sci, 79th St Cent Pk West, New York, NY 10024 USA; [Abreu, Neyda M.; Stanek, Gregory L.] Penn State Univ, Earth Sci Program, 240 Swift Bldg,Coll Pl, Du Bois, PA 15801 USA; [Wolf, Stephen F.] Indiana State Univ, Dept Chem &amp; Phys, 600 Chestnut St, Terre Haute, IN 47809 USA; [Troiano, Julianne M.] MIT, Dept Chem, 77 Massachusetts Ave, Cambridge, MA 02139 USA; [Stanek, Gregory L.] Puget Sound Naval Shipyard, Code 105-3 Radiol Controls Dept,1400 Farragut Ave, Bremerton, WA 98314 USA</t>
  </si>
  <si>
    <t>Fordham University; American Museum of Natural History (AMNH); Pennsylvania Commonwealth System of Higher Education (PCSHE); Pennsylvania State University; Indiana State University; Massachusetts Institute of Technology (MIT)</t>
  </si>
  <si>
    <t>Friedrich, JM (corresponding author), Fordham Univ, Dept Chem, 441 East Fordham Rd, Bronx, NY 10458 USA.</t>
  </si>
  <si>
    <t>friedrich@fordham.edu</t>
  </si>
  <si>
    <t>Claire Boothe Luce Undergraduate Scholarship; Dubois Educational Foundation grant; NSF; NASA</t>
  </si>
  <si>
    <t>Claire Boothe Luce Undergraduate Scholarship; Dubois Educational Foundation grant; NSF(National Science Foundation (NSF)); NASA(National Aeronautics &amp; Space Administration (NASA))</t>
  </si>
  <si>
    <t>This work was supported by a Claire Boothe Luce Undergraduate Scholarship to JMT. NMA acknowledges a Dubois Educational Foundation grant.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thank associate editor P. Beck for thoughtful editorial handling. Reviewers K. Howard, B. Mahan, an anonymous reviewer, and D. Hezel helped to improve the manuscript.</t>
  </si>
  <si>
    <t>0016-7037</t>
  </si>
  <si>
    <t>1872-9533</t>
  </si>
  <si>
    <t>GEOCHIM COSMOCHIM AC</t>
  </si>
  <si>
    <t>Geochim. Cosmochim. Acta</t>
  </si>
  <si>
    <t>10.1016/j.gca.2018.06.020</t>
  </si>
  <si>
    <t>GN9ZP</t>
  </si>
  <si>
    <t>WOS:000439574400001</t>
  </si>
  <si>
    <t>Henkel, S; Kasten, S; Hartmann, JF; Silva-Busso, A; Staubwasser, M</t>
  </si>
  <si>
    <t>Henkel, Susann; Kasten, Sabine; Hartmann, Jan F.; Silva-Busso, Adrian; Staubwasser, Michael</t>
  </si>
  <si>
    <t>Iron cycling and stable Fe isotope fractionation in Antarctic shelf sediments, King George Island</t>
  </si>
  <si>
    <t>Antarctica; Marine sediment; Stable iron isotopes; Dissimilatory iron reduction; Subglacial discharge</t>
  </si>
  <si>
    <t>POTENTIALLY BIOAVAILABLE IRON; DEEP SULFATE REDUCTION; SOUTH SHETLAND ISLANDS; POTTER COVE; FE(II)-FE(III) ELECTRON; DISSIMILATORY FE(III); CONTINENTAL-SHELF; DISSOLVED IRON; ICE-SHEET; OXIDATION</t>
  </si>
  <si>
    <t>Iron (Fe) fluxes from reducing sediments and subglacial environments are potential sources of bioavailable Fe into the Southern Ocean. Stable Fe isotopes (delta Fe-56) are considered a proxy for Fe sources and reaction pathways, but respective data are scarce and Fe cycling in complex natural environments is not understood sufficiently to constrain respective delta Fe-56 endmembers for different types of sediments, environmental conditions, and biogeochemical processes. We present delta Fe-56 data from pore waters and sequentially extracted sedimentary Fe phases of two contrasting sites in Potter Cove (King George Island, Antarctic Peninsula), a bay that is affected by fast glacier retreat. Sediments close to the glacier front contain more easily reducible Fe oxides and pyrite and show a broader ferruginous zone, compared to sediments close to the ice-free coast, where surficial oxic meltwater streams discharge into the bay. Pyrite in sediments close to the glacier front predominantly derives from eroded bedrock. For the high amount of easily reducible Fe oxides proximal to the glacier we suggest mainly subglacial sources, where Fe liberation from comminuted material beneath the glacier is coupled to biogeochemical weathering processes (likely pyrite oxidation or dissimilatory iron reduction, DIR). Our strongest argument for a subglacial source of the highly reactive Fe pool in sediments close to the glacier front is its predominantly negative delta Fe-56 signature that remains constant over the whole ferruginous zone. This implies in-situ DIR does not significantly alter the stable Fe isotope composition of the accumulated Fe oxides. The nonetheless overall light delta Fe-56 signature of easily reducible Fe oxides suggests pre-depositional microbial cycling as it occurs in potentially anoxic subglacial environments. The strongest Fe-56-depletion in pore water and most reactive Fe oxides was observed in sediments influenced by oxic meltwater discharge. The respective site showed a condensed redox zonation and a pore water delta Fe-56 profile typical for in-situ Fe cycling. We demonstrate that the potential of pore water delta Fe-56 as a proxy for benthic Fe fluxes is not straight-forward due to its large variability in marine shelf sediments at small spatial scales (-2.4% at the site proximal to oxic meltwater discharge vs. -0.9% at the site proximal to the marine glacier terminus, both at 2 cm sediment depth). The controlling factors are multifold and include the amount and reactivity of reducible Fe oxides and organic matter, the isotopic composition of the primary and secondary ferric substrates, sedimentation rates, and physical reworking (bioturbation, ice scraping). The application of delta Fe-56 geochemistry may prove valuable in investigating biogeochemical weathering and Fe cycling in subglacial environments. This requires, however (similarly to the use of delta Fe-56 for the quantification of benthic fluxes), that the spatial and temporal variability of the isotopic endmember is known and accounted for. Since geochemical data from subglacial environments are very limited, further studies are needed in order to sufficiently assess Fe cycling and fractionation at glacier beds and the composition of discharges from those areas. (C) 2018 The Authors. Published by Elsevier Ltd.</t>
  </si>
  <si>
    <t>[Henkel, Susann; Kasten, Sabine] Alfred Wegener Inst Helmholtz Ctr Polar &amp; Marine, Handelshafen 12, D-27570 Bremerhaven, Germany; [Henkel, Susann; Kasten, Sabine] Univ Bremen, MARUM Ctr Marine Environm Sci, Leobener Str 8, D-28359 Bremen, Germany; [Kasten, Sabine] Univ Bremen, Fac Geosci, Klagenfurter Str, D-28359 Bremen, Germany; [Hartmann, Jan F.] Heidelberg Univ, Inst Earth Sci, Neuenheimer Feld 236, D-69120 Heidelberg, Germany; [Silva-Busso, Adrian] Inst Nacl Agua, Empalme J Newbery km 1,620, Ezeiza, Buenos Aires, Argentina; [Staubwasser, Michael] Univ Cologne, Zalpicher Str 49a, D-50674 Cologne, Germany</t>
  </si>
  <si>
    <t>Helmholtz Association; Alfred Wegener Institute, Helmholtz Centre for Polar &amp; Marine Research; University of Bremen; University of Bremen; Ruprecht Karls University Heidelberg; University of Cologne</t>
  </si>
  <si>
    <t>Henkel, S (corresponding author), Alfred Wegener Inst Helmholtz Ctr Polar &amp; Marine, Handelshafen 12, D-27570 Bremerhaven, Germany.</t>
  </si>
  <si>
    <t>susann.henkel@awi.de</t>
  </si>
  <si>
    <t>Staubwasser, Michael/N-4021-2015; Henkel, Susann/AAR-3270-2021; Henkel, Susann/S-4924-2016</t>
  </si>
  <si>
    <t>Henkel, Susann/0000-0001-7490-0237; Staubwasser, Michael/0000-0002-5892-1115; Kleint, Jan Frederik/0000-0002-7325-2028</t>
  </si>
  <si>
    <t>German Research Foundation (DFG) [STA 936/5-1, KA 2769/31]; Helmholtz Association (PACES II Topic 1: Changes and regional feedbacks in Arctic and Antarctic); MARUM project SD2</t>
  </si>
  <si>
    <t>German Research Foundation (DFG)(German Research Foundation (DFG)); Helmholtz Association (PACES II Topic 1: Changes and regional feedbacks in Arctic and Antarctic); MARUM project SD2</t>
  </si>
  <si>
    <t>We are grateful to D. Abele (AWI Bremerhaven) for her support of this project within the framework of IMCOAST (Impact of climate-induced glacial melting on marine coastal systems in the Western Antarctic Peninsula region). H. Brumsack, B. Schnetger, P. and D. Monien (at that time all ICBM Oldenburg) are thanked for loaning the coring device and providing analytical protocols for nutrient analyses with the microtiter plate reader. K. Jerosch (AWI) is thanked for having generated Fig. 1. We appreciate the help of A. Ulrich, O. Gonzales (Instituto Antartico Argentino, Buenos Aires), G. Tonelotto (Prefectura Naval, Buenos Aires) and Jochen Scheld (Cologne University) during the sampling campaigns and of Johanna Menges (GFZ Postdam) and Ingrid Stimac (AWI Bremerhaven) for support in the laboratory. We are grateful for excellent comments from three anonymous reviewers and fruitful discussions with Hans Roy (Aarhus University) and Bo Liu (AWI). This study was funded via the German Research Foundation (DFG grant number STA 936/5-1 and KA 2769/31), the Helmholtz Association (PACES II Topic 1: Changes and regional feedbacks in Arctic and Antarctic) and MARUM project SD2 (Post-depositional cycling and fractionation of Fe in dependence on sediment dynamics and depositional regime). Data are available in the Pangaea database (https://doi.pangaea.de/10.1594/PANGAEA.890315).</t>
  </si>
  <si>
    <t>10.1016/j.gca.2018.06.042</t>
  </si>
  <si>
    <t>WOS:000439574400020</t>
  </si>
  <si>
    <t>Tangunan, DN; Baumann, KH; Just, J; LeVay, LJ; Barker, S; Brentegani, L; De Vleeschouwer, D; Hall, IR; Hemming, S; Norris, R; Berke, MA; Caley, T; Cartagena-Sierra, A; Charles, CD; Coenen, JJ; Crespin, JG; Franzese, AM; Gruetzner, J; Han, XB; Hines, SK; Espejo, FJJ; Koutsodendris, A; Kubota, K; Lathika, N; dos Santos, TP; Robinson, R; Rolison, JM; Simon, MH; van der Lubbe, JJL; Yamane, M; Zhang, HC</t>
  </si>
  <si>
    <t>Tangunan, Deborah N.; Baumann, Karl-Heinz; Just, Janna; LeVay, Leah J.; Barker, Stephen; Brentegani, Luna; De Vleeschouwer, David; Hall, Ian R.; Hemming, Sidney; Norris, Richard; Berke, Melissa A.; Caley, Thibaut; Cartagena-Sierra, Alejandra; Charles, Christopher D.; Coenen, Jason J.; Crespin, Julien G.; Franzese, Allison M.; Gruetzner, Jens; Han, Xibin; Hines, Sophia K. V.; Espejo, Francisco J. Jimenez; Koutsodendris, Andreas; Kubota, Kaoru; Lathika, Nambiyathodi; dos Santos, Thiago Pereira; Robinson, Rebecca; Rolison, John M.; Simon, Margit H.; van der Lubbe, Jeroen J. L.; Yamane, Masako; Zhang, Hucai</t>
  </si>
  <si>
    <t>Expedition 361 Shipboard Sci Party</t>
  </si>
  <si>
    <t>The last 1 million years of the extinct genus Discoaster: Plio-Pleistocene environment and productivity at Site U1476 (Mozambique Channel)</t>
  </si>
  <si>
    <t>Calcareous nannofossils; Nannoplankton; Western Indian Ocean; Expedition 361</t>
  </si>
  <si>
    <t>OCEANIC PRIMARY PRODUCTION; INDIAN-OCEAN; CALCAREOUS NANNOFOSSILS; CLIMATE; PLIOCENE; COCCOLITHOPHORES; CIRCULATION; GLACIATION; SOUTHERN; HISTORY</t>
  </si>
  <si>
    <t>A detailed paleoenvironment reconstruction from the Mozambique Channel, western Indian Ocean, based on the calcareous nannoplankton assemblages was conducted for the interval between 2.85 and 1.85 Myr. This study covers the period during which the successive extinction of the last five species of discoasters occurred. New productivity data obtained from the abundances of the Discoaster species (Discoaster brouweri, D. triradiatus, D. pentaradiatus, D surculus, and D. tamalis) and other indicative calcareous nannoplankton taxa showed abundance variations, which were at paced with the 100, 41, and 23 kyr astronomical periodicities. A shift in the productivity and water-column stratification proxies occurred at similar to 2.4 Ma, after the onset of the Northern Hemisphere glaciation. Here we propose that the variability recorded at International Ocean Discovery Program Site U1476 reflects the interplay between forcing associated with warm tropical Pacific and cold southern ocean influences. The former is shown by consistent occurrence of warm water taxa (Calcidiscus leptoporus, Oolithotus spp., Rhabdosphaera clavigera, Syracosphaera spp., Umbellosphaera spp.), typical of Indonesian Throughflow surface waters. On the other hand, the occurrence of Coccolithus pelagicus indicates the influence of cold, nutrient-rich sub-Antarctic surface waters. A more mixed water column initiated at similar to 2.4 Ma, and a consequent productivity increase led to the gradual reduction of the Discoaster species, until their extinction at 1.91 Ma. This period was characterized by the low values of the Florisphaera profunda index and high abundances of upper photic zone flora, indicative of nutrient-rich surface water conditions. High productivity at the location during this period could have also been amplified by localized upwelling events driven by the Mozambique Channel eddies.</t>
  </si>
  <si>
    <t>[Tangunan, Deborah N.; Baumann, Karl-Heinz; De Vleeschouwer, David] Univ Bremen, MARUM, Ctr Marine Environm Sci, D-28359 Bremen, Germany; [Baumann, Karl-Heinz; Just, Janna] Univ Bremen, Dept Geosci, D-28359 Bremen, Germany; [LeVay, Leah J.] Texas A&amp;M Univ, Int Ocean Discovery Program, 1000 Discovery Dr, College Stn, TX 77845 USA; [Barker, Stephen; Hall, Ian R.] Cardiff Univ, Sch Earth &amp; Ocean Sci, Main Bldg,Pk Pl Cardiff Wales, Cardiff CF10 3AT, S Glam, Wales; [Brentegani, Luna] Univ Technol Queensland, Earth &amp; Environm Sci, Gardens Point Campus, Brisbane, Qld 4000, Australia; [Hemming, Sidney] Columbia Univ, Lamont Doherty Earth Observ, 61 Route 9W, Palisades, NY 10964 USA; [Norris, Richard] Univ Calif San Diego, Scripps Inst Oceanog, 9500 Gilman Dr, La Jolla, CA 92093 USA; [Berke, Melissa A.; Cartagena-Sierra, Alejandra] Univ Notre Dame, Dept Civil &amp; Environm Engn &amp; Earth Sci, 156 Fitzpatrick Hall, Notre Dame, IN 46556 USA; [Caley, Thibaut; Crespin, Julien G.] Univ Bordeaux, UMR 5805, EPOC, CNRS, Allee Geoffroy St Hilaire, F-33615 Pessac, France; [Coenen, Jason J.] Northern Illinois Univ, Dept Geol, 218 Normal Rd, De Kalb, IL 60115 USA; [Franzese, Allison M.] Hostos Community Coll, Sch Earth &amp; Environm Sci, Nat Sci Dept, 500 Grand Concourse, Bronx, NY 10451 USA; [Gruetzner, Jens] Alfred Wegener Inst Polar &amp; Marine Res, Alten Hafen 26, D-27568 Bremerhaven, Germany; [Han, Xibin] Second Inst Oceanog, Key Lab Submarine Sci, 36 Baochubeilu, Hangzhou, Zhejiang, Peoples R China; [Hines, Sophia K. V.] CALTECH, Div Geol &amp; Planetary Sci, 1200 E Calif Blvd,MC 131-24, Pasadena, CA 91125 USA; [Espejo, Francisco J. Jimenez] Japan Agcy Marine Earth Sci &amp; Technol JAMSTEC, Inst Biogeosci, Natsushima Cho 2-15, Yokosuka, Kanagawa 2370061, Japan; [Koutsodendris, Andreas] Heidelberg Univ, Inst Earth Sci, Neuenheimer Feld 234, D-69120 Heidelberg, Germany; [Kubota, Kaoru] Univ Tokyo, Atmosphere &amp; Ocean Res Inst, 5-1-5 Kashiwano Ha, Kashiwashi, Chiba 2778564, Japan; [Lathika, Nambiyathodi] Natl Ctr Antarctic &amp; Ocean Res, Ice Core Lab, Vasco Da Gama 403804, Goa, India; [dos Santos, Thiago Pereira] Univ Fed Fluminense, Programa Geociencias Geoquim, BR-24020141 Niteroi, RJ, Brazil; [Robinson, Rebecca] Univ Rhode Isl, Grad Sch Oceanog, South Ferry Rd, Narragansett, RI 02882 USA; [Rolison, John M.] Univ Otago, Chem Dept, POB 56, Dunedin 9054, New Zealand; [Simon, Margit H.] Uni Res Climate &amp; Bjerknes Ctr Climate Res, N-5007 Bergen, Norway; [van der Lubbe, Jeroen J. L.] Univ Amsterdam, Dept Sedimentol, Amsterdam, Netherlands; [Yamane, Masako] JAMSTEC, Dept Biogeochem, 2-15 Natsushima Cho, Yokosuka, Kanagawa 2370061, Japan; [Zhang, Hucai] Yunnan Normal Univ, Lab Plateau Lake Ecol &amp; Global Change, 1 Yuhua Dist, Kunming Chengong 650500, Peoples R China</t>
  </si>
  <si>
    <t>University of Bremen; University of Bremen; Texas A&amp;M University System; Texas A&amp;M University College Station; Cardiff University; Queensland University of Technology (QUT); Columbia University; University of California System; University of California San Diego; Scripps Institution of Oceanography; University of Notre Dame; Universite de Bordeaux; Centre National de la Recherche Scientifique (CNRS); CNRS - National Institute for Earth Sciences &amp; Astronomy (INSU); Northern Illinois University; Helmholtz Association; Alfred Wegener Institute, Helmholtz Centre for Polar &amp; Marine Research; Ministry of Natural Resources of the People's Republic of China; Second Institute of Oceanography, Ministry of Natural Resources; California Institute of Technology; Japan Agency for Marine-Earth Science &amp; Technology (JAMSTEC); Ruprecht Karls University Heidelberg; University of Tokyo; Ministry of Earth Sciences (MoES) - India; National Centre for Polar and Ocean Research (NCPOR); Universidade Federal Fluminense; University of Rhode Island; University of Otago; Bjerknes Centre for Climate Research; University of Amsterdam; Japan Agency for Marine-Earth Science &amp; Technology (JAMSTEC); Yunnan Normal University</t>
  </si>
  <si>
    <t>Tangunan, DN (corresponding author), Univ Bremen, MARUM, Ctr Marine Environm Sci, D-28359 Bremen, Germany.</t>
  </si>
  <si>
    <t>tangunan@uni-bremen.de</t>
  </si>
  <si>
    <t>Caley, Thibaut/B-9759-2014; Stephen, Barker/C-2770-2009; Koutsodendris, Andreas/G-8966-2013; Simon, Margit/AAB-7420-2021; De Vleeschouwer, David/ABA-6115-2020; Kubota, Kaoru/I-1071-2014; Hall, Ian R/C-2755-2009; Berke, Melissa A/H-3819-2016; Just, Janna/I-1874-2015</t>
  </si>
  <si>
    <t>Koutsodendris, Andreas/0000-0003-4236-7508; Simon, Margit/0000-0002-3150-3220; De Vleeschouwer, David/0000-0002-3323-807X; Kubota, Kaoru/0000-0001-6659-4284; Santos, Thiago/0000-0002-9273-3329; Barker, Stephen/0000-0001-7870-6431; Just, Janna/0000-0002-5257-604X; Hemming, Sidney/0000-0001-8117-2303; Norris, Richard/0000-0001-5288-1733; van der Lubbe, Jeroen/0000-0001-7545-6502; Caley, Thibaut/0000-0001-8249-7054; Tangunan, Deborah/0000-0002-1078-5767</t>
  </si>
  <si>
    <t>German Science Foundation (DFG) Research Center/Cluster of Excellence The Ocean in the Earth System MARUM [49926684]; NERC [NE/P000037/1] Funding Source: UKRI</t>
  </si>
  <si>
    <t>German Science Foundation (DFG) Research Center/Cluster of Excellence The Ocean in the Earth System MARUM(German Research Foundation (DFG)); NERC(UK Research &amp; Innovation (UKRI)Natural Environment Research Council (NERC))</t>
  </si>
  <si>
    <t>This research used samples and data provided by the International Ocean Discovery Program (IODP). We are thankful for much support from the crew of the R/V JOIDES Resolution and the IODP staff. This work is part of the project Ocean and Climate 2: Land-ocean interaction and climate variability in low latitudes funded thru the German Science Foundation (DFG) Research Center/Cluster of Excellence The Ocean in the Earth System MARUM (Grant 49926684). This manuscript benefited from the editorial handling of Thierry Correge, and Jeremy Young and an anonymous reviewer who provided critical and constructive comments and suggestions. All the data from this manuscript will be archived in the PANGAEA database (www.pangaea.de).</t>
  </si>
  <si>
    <t>10.1016/j.palaeo.2018.05.043</t>
  </si>
  <si>
    <t>WOS:000438477700016</t>
  </si>
  <si>
    <t>Zhang, R; Guo, J; Zhao, M; Wu, J; Zhang, S; Yu, Y</t>
  </si>
  <si>
    <t>Zhang, Rui; Guo, Jing; Zhao, Miao; Wu, Jing; Zhang, Sen; Yu, Yue</t>
  </si>
  <si>
    <t>Effect of graphene oxide on the molecules of a sodium alginate-krill protein composite system and characterization of the system's composite fiber morphology and mechanical properties</t>
  </si>
  <si>
    <t>JOURNAL OF APPLIED POLYMER SCIENCE</t>
  </si>
  <si>
    <t>composites; fibers; polyelectrolytes; proteins</t>
  </si>
  <si>
    <t>SCAFFOLDS; FILMS</t>
  </si>
  <si>
    <t>Graphene oxide (GO), sodium alginate (SA), and Antarctic krill protein (AKP) were blended to get functional fibers. These GO-SA-AKP composite fibers were obtained by conventional wet spinning with 5% calcium chloride as a coagulation solution. The intermolecular interactions of the GO-SA-AKP composite system were characterized by Fourier transform infrared spectroscopy. The morphology, crystallinity, thermal stability, and mechanical properties of the GO-SA-AKP composites were investigated with scanning electron microscopy, X-ray diffraction, thermogravimetric analysis, and differential scanning calorimetry. The results show that the number of GO layers decreased gradually during the process of wet spinning. The addition of GO promoted an increase in intramolecular hydrogen bonding and a decrease in intermolecular hydrogen bonding in the composite system. With increasing GO mass fraction, the intermolecular hydrogen-bond content, crystallinity, breaking strength, and thermal stability in the composite system increased first and then decreased. At the same time, the mass fraction of GO and the draw ratio had significant effects on the surface morphologies of the composite fibers. (c) 2018 Wiley Periodicals, Inc. J. Appl. Polym. Sci. 2018, 135, 46642.</t>
  </si>
  <si>
    <t>[Zhang, Rui; Guo, Jing; Zhao, Miao; Wu, Jing; Zhang, Sen; Yu, Yue] Dalian Polytech Univ, Sch Text &amp; Mat Engn, Dalian 116034, Peoples R China; [Guo, Jing; Zhao, Miao; Zhang, Sen; Yu, Yue] Liaoning Engn Technol Res Ctr Funct Fiber &amp; Its C, Dalian 116034, Peoples R China</t>
  </si>
  <si>
    <t>Dalian Polytechnic University</t>
  </si>
  <si>
    <t>Guo, J; Zhao, M (corresponding author), Dalian Polytech Univ, Sch Text &amp; Mat Engn, Dalian 116034, Peoples R China.;Guo, J; Zhao, M (corresponding author), Liaoning Engn Technol Res Ctr Funct Fiber &amp; Its C, Dalian 116034, Peoples R China.</t>
  </si>
  <si>
    <t>guojing8161@163.com; dlpuzhaomiao@163.com</t>
  </si>
  <si>
    <t>Zhang, Sen/HKW-2973-2023; zhang, sen/GXH-3513-2022</t>
  </si>
  <si>
    <t>Zhang, Sen/0000-0001-7429-7300; zhang, rui/0000-0001-7496-6041</t>
  </si>
  <si>
    <t>Natural Science Foundation of Liaoning Province of China [2016J069, 2015020221]; National Natural Science Foundation of China [51773024, 51373027]</t>
  </si>
  <si>
    <t>Natural Science Foundation of Liaoning Province of China(Natural Science Foundation of Liaoning Province); National Natural Science Foundation of China(National Natural Science Foundation of China (NSFC))</t>
  </si>
  <si>
    <t>The authors acknowledge funding for this research from the National Natural Science Foundation of China (contract grant numbers 51373027 and 51773024) and the Natural Science Foundation of Liaoning Province of China (contract grant numbers 2015020221 and 2016J069).</t>
  </si>
  <si>
    <t>0021-8995</t>
  </si>
  <si>
    <t>1097-4628</t>
  </si>
  <si>
    <t>J APPL POLYM SCI</t>
  </si>
  <si>
    <t>J. Appl. Polym. Sci.</t>
  </si>
  <si>
    <t>10.1002/app.46642</t>
  </si>
  <si>
    <t>Polymer Science</t>
  </si>
  <si>
    <t>GK2FA</t>
  </si>
  <si>
    <t>WOS:000435940900004</t>
  </si>
  <si>
    <t>Rivas, MB; Otosaka, I; Stoffelen, A; Verhoef, A</t>
  </si>
  <si>
    <t>Rivas, Maria Belmonte; Otosaka, Ines; Stoffelen, Ad; Verhoef, Anton</t>
  </si>
  <si>
    <t>A scatterometer record of sea ice extents and backscatter: 1992-2016</t>
  </si>
  <si>
    <t>ERS SCATTEROMETER; QUIKSCAT; SURFACE; COVER; CLASSIFICATION; VARIABILITY; ALGORITHMS; SIGNATURES; TRACKING; ASCAT</t>
  </si>
  <si>
    <t>This paper presents the first long-term climate data record of sea ice extents and backscatter derived from intercalibrated satellite scatterometer missions (ERS, QuikSCAT and ASCAT) extending from 1992 to the present date (Verhoef et al., 2018). This record provides a valuable independent account of the evolution of Arctic and Antarctic sea ice extents, one that is in excellent agreement with the passive microwave records during the fall and winter months but shows higher sensitivity to lower concentration and melting sea ice during the spring and summer months. The scatterometer record also provides a depiction of sea ice backscatter at C-and Ku-bands, allowing the separation of seasonal and perennial sea ice in the Arctic and further differentiation between second-year (SY) and older multiyear (MY) ice classes, revealing the emergence of SY ice as the dominant perennial ice type after the historical sea ice loss in 2007 and bearing new evidence on the loss of multiyear ice in the Arctic over the last 25 years. The relative good agreement between the backscatter-based sea ice (FY, SY and older MY) classes and the ice thickness record from Cryosat suggests its applicability as a reliable proxy in the historical reconstruction of sea ice thickness in the Arctic.</t>
  </si>
  <si>
    <t>[Rivas, Maria Belmonte; Otosaka, Ines; Stoffelen, Ad; Verhoef, Anton] Royal Netherlands Meteorol Inst KNMI, NL-3731 GA De Bilt, Netherlands; [Otosaka, Ines] Univ Leeds, CPOM, Leeds LS2 9JT, W Yorkshire, England; [Rivas, Maria Belmonte] CSIC, ICM, E-08003 Barcelona, Spain</t>
  </si>
  <si>
    <t>Royal Netherlands Meteorological Institute; University of Leeds; Consejo Superior de Investigaciones Cientificas (CSIC); CSIC - Centro Mediterraneo de Investigaciones Marinas y Ambientales (CMIMA); CSIC - Instituto de Ciencias del Mar (ICM)</t>
  </si>
  <si>
    <t>Rivas, MB (corresponding author), Royal Netherlands Meteorol Inst KNMI, NL-3731 GA De Bilt, Netherlands.;Rivas, MB (corresponding author), CSIC, ICM, E-08003 Barcelona, Spain.</t>
  </si>
  <si>
    <t>belmonte@knmi.nl</t>
  </si>
  <si>
    <t>Stoffelen, Ad/AAF-3524-2020</t>
  </si>
  <si>
    <t>Stoffelen, Ad/0000-0002-4018-4073; Otosaka, Ines Natsuki/0000-0001-9740-3735</t>
  </si>
  <si>
    <t>ESA Scirocco project; EUMETSAT OSI SAF; German Ministry of Economics Affairs and Energy [50EE1008, REKLIM-2013-04]</t>
  </si>
  <si>
    <t>ESA Scirocco project; EUMETSAT OSI SAF; German Ministry of Economics Affairs and Energy</t>
  </si>
  <si>
    <t>The authors would like to acknowledge the financial support of the ESA Scirocco project, the EUMETSAT OSI SAF for the provision of backscatter data, our KNMI colleague Jeroen Verspeek for his insights, and the NASA and NSIDC public data archives as essential towards the completion of this activity. Processing of the AWI CryoSat-2 (PARAMETER) ice thickness is funded by the German Ministry of Economics Affairs and Energy (grant 50EE1008) and data obtained from http://www.meereisportal.de (grant REKLIM-2013-04).</t>
  </si>
  <si>
    <t>SEP 14</t>
  </si>
  <si>
    <t>10.5194/tc-12-2941-2018</t>
  </si>
  <si>
    <t>GT7QJ</t>
  </si>
  <si>
    <t>WOS:000444723200002</t>
  </si>
  <si>
    <t>Fossum, KN; Ovadnevaite, J; Ceburnis, D; Dall'Osto, M; Marullo, S; Bellacicco, M; Simó, R; Liu, DT; Flynn, M; Zuend, A; O'Dowd, C</t>
  </si>
  <si>
    <t>Fossum, Kirsten N.; Ovadnevaite, Jurgita; Ceburnis, Darius; Dall'Osto, Manuel; Marullo, Salvatore; Bellacicco, Marco; Simo, Rafel; Liu, Dantong; Flynn, Michael; Zuend, Andreas; O'Dowd, Colin</t>
  </si>
  <si>
    <t>Summertime Primary and Secondary Contributions to Southern Ocean Cloud Condensation Nuclei</t>
  </si>
  <si>
    <t>SCIENTIFIC REPORTS</t>
  </si>
  <si>
    <t>AEROSOL MASS-SPECTROMETER; ORGANIC-MATTER ENRICHMENT; SEA-SPRAY; ACTIVITY-COEFFICIENTS; ATMOSPHERIC SULFUR; THERMODYNAMIC MODEL; SURFACE-TENSION; PHYTOPLANKTON; SIZE; CCN</t>
  </si>
  <si>
    <t>Atmospheric aerosols in clean remote oceanic regions contribute significantly to the global albedo through the formation of haze and cloud layers; however, the relative importance of 'primary' windproduced sea-spray over secondary (gas-to-particle conversion) sulphate in forming marine clouds remains unclear. Here we report on marine aerosols (PM1) over the Southern Ocean around Antarctica, in terms of their physical, chemical, and cloud droplet activation properties. Two predominant pristine air masses and aerosol populations were encountered: modified continental Antarctic (cAA) comprising predominantly sulphate with minimal sea-salt contribution and maritime Polar (mP) comprising sulphate plus sea-salt. We estimate that in cAA air, 75% of the CCN are activated into cloud droplets while in mP air, 37% are activated into droplets, for corresponding peak supersaturation ranges of 0.37-0.45% and 0.19-0.31%, respectively. When realistic marine boundary layer cloud supersaturations are considered (e.g. similar to 0.2-0.3%), sea-salt CCN contributed 2-13% of the activated nuclei in the cAA air and 8-51% for the marine air for surface-level wind speed &lt; 16 m s(-1). At higher wind speeds, primary marine aerosol can even contribute up to 100% of the activated CCN, for corresponding peak supersaturations as high as 0.32%.</t>
  </si>
  <si>
    <t>[Fossum, Kirsten N.; Ovadnevaite, Jurgita; Ceburnis, Darius; O'Dowd, Colin] Natl Univ Ireland Galway, Sch Phys, Ryan Inst, Ctr Climate &amp; Pollut Studies, Galway H91 CF50, Ireland; [Fossum, Kirsten N.; Ovadnevaite, Jurgita; Ceburnis, Darius; O'Dowd, Colin] Natl Univ Ireland Galway, Marine Renewable Energy Ireland, Galway H91 CF50, Ireland; [Dall'Osto, Manuel; Simo, Rafel] CSIC, Inst Ciencies Mar, Barcelona, Catalonia, Spain; [Marullo, Salvatore] Agenzia Nazl Nuove Tecnol Energia &amp; Sviluppo Econ, ENEA Ctr Ric Frascati, Frascati, Italy; [Marullo, Salvatore; Bellacicco, Marco] Inst Atmospher Sci &amp; Climate ISAC, Rome, Italy; [Bellacicco, Marco] Sorbonne Univ, CNRS, LOV, F-06230 Villefranche Sur Mer, France; [Liu, Dantong; Flynn, Michael] Univ Manchester, Sch Earth &amp; Environm Sci, Ctr Atmospher Sci, Manchester M13 9PL, Lancs, England; [Zuend, Andreas] McGill Univ, Dept Atmospher &amp; Ocean Sci, Montreal, PQ, Canada</t>
  </si>
  <si>
    <t>Consejo Superior de Investigaciones Cientificas (CSIC); CSIC - Centro Mediterraneo de Investigaciones Marinas y Ambientales (CMIMA); CSIC - Instituto de Ciencias del Mar (ICM); Italian National Agency New Technical Energy &amp; Sustainable Economics Development; Consiglio Nazionale delle Ricerche (CNR); Istituto di Scienze dell'Atmosfera e del Clima (ISAC-CNR); Sorbonne Universite; Centre National de la Recherche Scientifique (CNRS); University of Manchester; McGill University</t>
  </si>
  <si>
    <t>O'Dowd, C (corresponding author), Natl Univ Ireland Galway, Sch Phys, Ryan Inst, Ctr Climate &amp; Pollut Studies, Galway H91 CF50, Ireland.;O'Dowd, C (corresponding author), Natl Univ Ireland Galway, Marine Renewable Energy Ireland, Galway H91 CF50, Ireland.</t>
  </si>
  <si>
    <t>colin.odowd@nuigalway.ie</t>
  </si>
  <si>
    <t>Marullo, Salvatore/GLV-5804-2022; O'Dowd, Colin D/K-8904-2012; Liu, Dantong/AAY-1281-2020; Zuend, Andreas/O-1552-2019; Ceburnis, Darius/C-1293-2012; Ovadnevaite, Jurgita/B-6203-2018; dallosto, manuel/G-3584-2016</t>
  </si>
  <si>
    <t>O'Dowd, Colin D/0000-0002-3068-2212; Liu, Dantong/0000-0003-3768-1770; Zuend, Andreas/0000-0003-3101-8521; Ovadnevaite, Jurgita/0000-0001-7201-0118; Bellacicco, Marco/0000-0002-0477-173X; Simo, Rafel/0000-0003-3276-7663; dallosto, manuel/0000-0003-4203-894X</t>
  </si>
  <si>
    <t>European Union's Seventh Framework Programme (FP7/2007-2013) project BACCHUS [n_ 603445]; Spanish Ministry of Economy and Competitiveness (MINECO) as part of the PEGASO project [CTM2012-37615]; Spanish Ministry of Economy and Competitiveness (MINECO) as part of BIO-NUC project [CGL2013-49020-R]; EPA Ireland; Italian RITMARE fellowship; Centre National d'Etudes Spatiales (CNES, Paris, France); Natural Sciences and Engineering Research Council of Canada (NSERC) [RGPIN/04315-2014]</t>
  </si>
  <si>
    <t>European Union's Seventh Framework Programme (FP7/2007-2013) project BACCHUS(European Union (EU)); Spanish Ministry of Economy and Competitiveness (MINECO) as part of the PEGASO project; Spanish Ministry of Economy and Competitiveness (MINECO) as part of BIO-NUC project; EPA Ireland(Environmental Protection Agency Ireland (EPA)); Italian RITMARE fellowship; Centre National d'Etudes Spatiales (CNES, Paris, France)(Centre National D'etudes Spatiales); Natural Sciences and Engineering Research Council of Canada (NSERC)(Natural Sciences and Engineering Research Council of Canada (NSERC))</t>
  </si>
  <si>
    <t>The research leading to these results has received funding from the European Union's Seventh Framework Programme (FP7/2007-2013) project BACCHUS under grant agreement n_ 603445; Spanish Ministry of Economy and Competitiveness (MINECO) as part of the PEGASO (Ref.: CTM2012-37615) and BIO-NUC (Ref: CGL2013-49020-R) projects; HEA-PRTLI4 and SFI under MaREI. EPA Ireland is acknowledged for research support at Mace Head. M.B. received funding through the Italian RITMARE fellowship and is now funded by the postdoc fellowship of the Centre National d'Etudes Spatiales (CNES, Paris, France). A.Z. acknowledges support by the Natural Sciences and Engineering Research Council of Canada (NSERC), through grant RGPIN/04315-2014. The SP2 instrument used in this work was provided by H. Coe and J. Allan from the Centre for Atmospheric Sciences, School of Earth and Environmental Sciences, University of Manchester, Manchester M13 9PL, UK. We acknowledge the use of imagery from the NASA Worldview application (https://worldview.earthdata.nasa.gov/) operated by the NASA/Goddard Space Flight Center Earth Science Data and Information System (ESDIS) project.</t>
  </si>
  <si>
    <t>2045-2322</t>
  </si>
  <si>
    <t>SCI REP-UK</t>
  </si>
  <si>
    <t>Sci Rep</t>
  </si>
  <si>
    <t>10.1038/s41598-018-32047-4</t>
  </si>
  <si>
    <t>GT5SX</t>
  </si>
  <si>
    <t>WOS:000444571200052</t>
  </si>
  <si>
    <t>Atsawawaranunt, K; Comas-Bru, L; Mozhdehi, SA; Deininger, M; Harrison, SP; Baker, A; Boyd, M; Kaushal, N; Ahmad, SM; Brahim, YA; Arienzo, M; Bajo, P; Braun, K; Burstyn, Y; Chawchai, S; Duan, WH; Hatvani, IG; Hu, J; Kern, Z; Labuhn, I; Lachniet, M; Lechleitner, FA; Lorrey, A; Pérez-Mejías, C; Pickering, R; Scroxton, N; Atkinson, T; Ayalon, A; Baldini, J; Bar-Matthews, M; Bernal, JP; Breitenbach, S; Boch, R; Borsato, A; Cai, YJ; Carolin, S; Cheng, H; Columbu, A; Couchoud, I; Cruz, F; Demény, A; Dominguez-Villar, D; Dragusin, V; Drysdale, R; Ersek, V; Finné, M; Fleitmann, D; Fohlmeister, J; Frappier, A; Genty, D; Holzkämper, S; Hopley, P; Kathayat, G; Keenan-Jones, D; Koltai, G; Luetscher, M; Li, TY; Lone, MA; Markowska, M; Mattey, D; McDermott, F; Moreno, A; Moseley, G; Nehme, C; Novello, VF; Psomiadis, D; Rehfeld, K; Ruan, JY; Sekhon, N; Sha, LJ; Sholz, D; Shopov, Y; Smith, A; Strikis, N; Treble, P; Ünal-Imer, E; Vaks, A; Vansteenberge, S; Veiga-Pires, C; Voarintsoa, NR; Wang, XF; Wong, C; Wortham, B; Wurtzel, J; Zong, BY</t>
  </si>
  <si>
    <t>Atsawawaranunt, Kamolphat; Comas-Bru, Laia; Mozhdehi, Sahar Amirnezhad; Deininger, Michael; Harrison, Sandy P.; Baker, Andy; Boyd, Meighan; Kaushal, Nikita; Ahmad, Syed Masood; Brahim, Yassine Ait; Arienzo, Monica; Bajo, Petra; Braun, Kerstin; Burstyn, Yuval; Chawchai, Sakonvan; Duan, Wuhui; Hatvani, Istvan Gabor; Hu, Jun; Kern, Zoltan; Labuhn, Inga; Lachniet, Matthew; Lechleitner, Franziska A.; Lorrey, Andrew; Perez-Mejias, Carlos; Pickering, Robyn; Scroxton, Nick; Atkinson, Tim; Ayalon, Avner; Baldini, James; Bar-Matthews, Miriam; Pablo Bernal, Juan; Breitenbach, Sebastian; Boch, Ronny; Borsato, Andrea; Cai, Yanjun; Carolin, Stacy; Cheng, Hai; Columbu, Andrea; Couchoud, Isabelle; Cruz, Francisco; Demeny, Attila; Dominguez-Villar, David; Dragusin, Virgil; Drysdale, Russell; Ersek, Vasile; Finne, Martin; Fleitmann, Dominik; Fohlmeister, Jens; Frappier, Amy; Genty, Dominique; Holzkamper, Steffen; Hopley, Philip; Kathayat, Gayatri; Keenan-Jones, Duncan; Koltai, Gabriella; Luetscher, Marc; Li, Ting-Yong; Lone, Mahjoor Ahmad; Markowska, Monika; Mattey, Dave; McDermott, Frank; Moreno, Ana; Moseley, Gina; Nehme, Carole; Novello, Valdir F.; Psomiadis, David; Rehfeld, Kira; Ruan, Jiaoyang; Sekhon, Natasha; Sha, Lijuan; Sholz, Denis; Shopov, Yavor; Smith, Andrew; Strikis, Nicolas; Treble, Pauline; Unal-Imer, Ezgi; Vaks, Anton; Vansteenberge, Stef; Veiga-Pires, Cristina; Voarintsoa, Ny Riavo; Wang, Xianfeng; Wong, Corinne; Wortham, Barbara; Wurtzel, Jennifer; Zong, Baoyun</t>
  </si>
  <si>
    <t>SISAL Working Grp Members</t>
  </si>
  <si>
    <t>The SISAL database: a global resource to document oxygen and carbon isotope records from speleothems</t>
  </si>
  <si>
    <t>EARTH SYSTEM SCIENCE DATA</t>
  </si>
  <si>
    <t>HOLOCENE CLIMATE VARIABILITY; SOUTH-AMERICAN MONSOON; LATE PLEISTOCENE STALAGMITE; LAST GLACIAL MAXIMUM; ASIAN SUMMER MONSOON; SOUTHWESTERN UNITED-STATES; INTERTROPICAL CONVERGENCE ZONE; EL-NINO/SOUTHERN OSCILLATION; NORTH-ATLANTIC OSCILLATION; STABLE WATER ISOTOPES</t>
  </si>
  <si>
    <t>Stable isotope records from speleothems provide information on past climate changes, most particularly information that can be used to reconstruct past changes in precipitation and atmospheric circulation. These records are increasingly being used to provide out-of-sample evaluations of isotope-enabled climate models. SISAL (Speleothem Isotope Synthesis and Analysis) is an international working group of the Past Global Changes (PAGES) project. The working group aims to provide a comprehensive compilation of speleothem isotope records for climate reconstruction and model evaluation. The SISAL database contains data for individual speleothems, grouped by cave system. Stable isotopes of oxygen and carbon (delta O-18, delta C-13) measurements are referenced by distance from the top or bottom of the speleothem. Additional tables provide information on dating, including information on the dates used to construct the original age model and sufficient information to assess the quality of each data set and to erect a standardized chronology across different speleothems. The metadata table provides location information, information on the full range of measurements carried out on each speleothem and information on the cave system that is relevant to the interpretation of the records, as well as citations for both publications and archived data.</t>
  </si>
  <si>
    <t>[Atsawawaranunt, Kamolphat; Harrison, Sandy P.] Univ Reading, Ctr Past Climate Change, Reading RG6 6AH, Berks, England; [Atsawawaranunt, Kamolphat; Harrison, Sandy P.] Univ Reading, Sch Archaeol Geog &amp; Environm Sci, Reading RG6 6AH, Berks, England; [Comas-Bru, Laia; Mozhdehi, Sahar Amirnezhad; Deininger, Michael; McDermott, Frank] Univ Coll Dublin, Sch Earth Sci, Dublin 4, Ireland; [Deininger, Michael; Sholz, Denis] Johannes Gutenberg Univ Mainz, Inst Geosci, Johann Joachim Becher Weg 21, D-55128 Mainz, Germany; [Baker, Andy] Univ New South Wales, Sch Biol Earth &amp; Environm Sci, Kensington, NSW 2052, Australia; [Boyd, Meighan] Royal Holloway Univ London, Dept Earth Sci, Egham TW20 0EX, Surrey, England; [Kaushal, Nikita; Lechleitner, Franziska A.] Univ Oxford, Dept Earth Sci, South Parks Rd, Oxford OX1 3AN, England; [Ahmad, Syed Masood] Natl Geophys Res Inst, CSIR, Uppal Rd, Hyderabad 500007, India; [Brahim, Yassine Ait; Sha, Lijuan; Zong, Baoyun] Xi An Jiao Tong Univ, Inst Global Environm Change, Xian, Shaanxi, Peoples R China; [Arienzo, Monica] Desert Res Inst, Div Hydrol Sci, 2215 Raggio Pkwy, Reno, NV 89512 USA; [Bajo, Petra; Drysdale, Russell] Univ Melbourne, Sch Geog, Melbourne, Vic 3010, Australia; [Braun, Kerstin] Arizona State Univ, Inst Human Origins, POB 874101, Tempe, AZ 85287 USA; [Burstyn, Yuval] Hebrew Univ Jerusalem, Inst Sci, Edmond J Safra Campus, IL-91904 Jerusalem, Israel; [Burstyn, Yuval; Ayalon, Avner; Bar-Matthews, Miriam; Vaks, Anton] Geol Survey Israel, 30 Malkhe Israel, IL-95501 Jerusalem, Israel; [Chawchai, Sakonvan] Chulalongkorn Univ, Fac Sci, Dept Geol, MESA Res Unit, Bangkok 10330, Thailand; [Duan, Wuhui] Univ Chinese Acad Sci, Chinese Acad Sci, Inst Geol &amp; Geophys, 19 Beitucheng West Rd, Beijing, Peoples R China; [Hatvani, Istvan Gabor; Kern, Zoltan; Demeny, Attila] Hungarian Acad Sci, Res Ctr Astron &amp; Earth Sci, Inst Geol &amp; Geochem Res, Budaorsi Ut 45, H-1112 Budapest, Hungary; [Hu, Jun] Univ Southern Calif, Dept Earth Sci, 3651 Trousdale Pkwy, Los Angeles, CA 90089 USA; [Labuhn, Inga] Univ Bremen, Inst Geog, Bremen, Germany; [Lachniet, Matthew] Univ Nevada, Dept Geosci, Box 4010, Las Vegas, NV 89154 USA; [Lorrey, Andrew] Natl Inst Water &amp; Atmospher Res, Climate Atmosphere &amp; Hazards Ctr, 41 Market Pl, Auckland, New Zealand; [Perez-Mejias, Carlos] Pyrenean Inst Ecol IPE CSIC, Dept Geoenvironm Proc &amp; Global Change, Avda Montanana 1005, Zaragoza 50059, Spain; [Pickering, Robyn] Univ Cape Town, Human Evolutionary Res Inst, Dept Geol Sci, ZA-7701 Cape Town, South Africa; [Scroxton, Nick] Univ Massachusetts, Dept Geosci, 611 North Pleasant St, Amherst, MA 01003 USA; [Ahmad, Syed Masood] Jamia Millia Islamia, Fac Nat Sci, Dept Geog, New Delhi 110025, India; [Atkinson, Tim] UCL, Dept Earth Sci, London WC1E 6BT, England; [Atkinson, Tim] UCL, Dept Geog, London WC1E 6BT, England; [Baldini, James] Univ Durham, Dept Earth Sci, Durham DH1 3LE, England; [Pablo Bernal, Juan] Univ Nacl Autonoma Mexico, Ctr Geociencias, Campus UNAM Juriquilla, Queretaro 76230, Mexico; [Breitenbach, Sebastian] Ruhr Univ Bochum, Inst Geol Mineral &amp; Geophys, Univ Str 150,NABF04-751, D-44801 Bochum, Germany; [Boch, Ronny] Graz Univ Technol, Inst Appl Geosci, Rechbauerstr 12, A-8010 Graz, Austria; [Borsato, Andrea] Univ Newcastle, Sch Environm &amp; Life Sci, Callaghan, NSW 2308, Australia; [Cai, Yanjun] Chinese Acad Sci, Inst Earth Environm, State Key Lab Loess &amp; Quaternary Geol, Xian 710061, Shaanxi, Peoples R China; [Carolin, Stacy; Koltai, Gabriella; Moseley, Gina] Univ Innsbruck, Inst Geol, Innrain 52, A-6020 Innsbruck, Austria; [Cheng, Hai; Kathayat, Gayatri] Xi An Jiao Tong Univ, Inst Global Environm Change, Xian, Shaanxi, Peoples R China; [Columbu, Andrea] Dept Biol Geol &amp; Environm Sci, Via Zamboni 67, I-40126 Bologna, Italy; [Couchoud, Isabelle] Univ Grenoble Alpes, Univ Savoie Mt Blanc, CNRS, EDYTEM,UMR 5204, F-73370 Le Bourget Du Lac, France; [Cruz, Francisco; Novello, Valdir F.] Univ Sao Paulo, Inst Geociencias, Sao Paulo, SP, Brazil; [Dominguez-Villar, David] Univ Birmingham, Sch Geog Earth &amp; Environm Sci, Birmingham B15 2TT, W Midlands, England; [Dragusin, Virgil] Romanian Acad, Emil Racovita Inst Speleol, Frumoasa St 31, Bucharest, Romania; [Ersek, Vasile] Northumbria Univ, Dept Geog &amp; Environm Sci, Newcastle Upon Tyne, Tyne &amp; Wear, England; [Finne, Martin] Uppsala Univ, Dept Archaeol &amp; Ancient Hist, Uppsala, Sweden; [Fleitmann, Dominik] Univ Reading, Sch Archaeol &amp; Geog &amp; Environm Sci, Dept Archaeol, Reading RG6 6AB, Berks, England; [Fohlmeister, Jens] Univ Potsdam, Inst Earth &amp; Environm Sci, Karl Liebknecht Str 24-25, D-14476 Potsdam, Germany; [Frappier, Amy] Skidmore Coll, Dept Geosci, Saratoga Springs, NY 12866 USA; [Genty, Dominique] CNRS, Lab Sci Climat &amp; Environm, LOrme Merisiers, F-91191 Gif Sur Yvette, France; [Holzkamper, Steffen] Stockholm Univ, Dept Phys Geog, S-10691 Stockholm, Sweden; [Hopley, Philip] Birkbeck Univ London, Dept Earth &amp; Planetary Sci, Malet St, London WC1E 7HX, England; [Keenan-Jones, Duncan] Univ Queensland, Sch Hist &amp; Philosoph Inquiry, St Lucia, Qld 4072, Australia; [Luetscher, Marc; Li, Ting-Yong] Swiss Inst Speleol &amp; Karst Studies, Serre 68, CH-2300 La Chaux De Fonds, Switzerland; [Li, Ting-Yong] Field Sci Observat Res Base Karst Ecoenvironm Nan, Minist Land &amp; Resources China, Chongqing 408435, Peoples R China; [Lone, Mahjoor Ahmad] Natl Taiwan Univ, Dept Geosci, High Precis Mass Spectrometry &amp; Environm Change L, Taipei 10617, Taiwan; [Lone, Mahjoor Ahmad] Natl Taiwan Univ, Res Ctr Future Earth, Taipei 10617, Taiwan; [Markowska, Monika] Univ Tubingen, Holderlinstr 12, D-72074 Tubingen, Germany; [Mattey, Dave] Royal Holloway Univ London, Dept Earth Sci, Egham TW20 0EX, Surrey, England; [Moreno, Ana] Inst Pirenaico Ecol CSIC, Dpto Procesos Geoambient &amp; Cambio Global, Zaragoza, Spain; [Nehme, Carole] Univ Rouen Normandie, CNRS, Geog Dept, IDEES,UMR 6266, Mont St Aignan, France; [Psomiadis, David] Imprint Analyt GmbH, Werner von Siemens Str 1, A-7343 Neutal, Austria; [Rehfeld, Kira] British Antarctic Survey, High Cross,Madingley Rd, Cambridge CB3 0ET, England; [Rehfeld, Kira] Heidelberg Univ, Inst Environm Phys, Neuenheimer Feld 229, D-69120 Heidelberg, Germany; [Ruan, Jiaoyang] Sun Yat Sen Univ, Sch Earth Sci &amp; Engn, Guangdong Prov Key Lab Geodynam &amp; Geohazards, Guangzhou 510275, Guangdong, Peoples R China; [Sekhon, Natasha] Univ Texas Austin, Jackson Sch Geosci, Dept Geol Sci, Austin, TX 78712 USA; [Shopov, Yavor] Univ Sofia, Univ Ctr Space Res &amp; Technol, Fac Phys, James Baucher 5, Sofia 1164, Bulgaria; [Smith, Andrew] British Geol Survey, NERC Isotope Geoscience Facil, Nottingham, England; [Strikis, Nicolas] Univ Fed Fluminense, Dept Geoquim, Niteroi, RJ, Brazil; [Treble, Pauline] ANSTO, Lucas Heights, NSW, Australia; [Unal-Imer, Ezgi] Hacettepe Univ, Dept Geol Engn, Ankara, Turkey; [Vansteenberge, Stef] Vrije Univ Brussel, Dept Chem, Analyt Environm &amp; Geochem, Brussels, Belgium; [Veiga-Pires, Cristina] Univ Algarve FCT, CIMA Res Ctr, Campus Gambelas, P-8005139 Faro, Portugal; [Voarintsoa, Ny Riavo] Hebrew Univ Jerusalem, Inst Earth Sci, Jerusalem, Israel; [Wang, Xianfeng] Nanyang Technol Univ, Earth Observ Singapore, Singapore 636798, Singapore; [Wong, Corinne] Univ Texas Austin, Inst Environm Sci, Austin, TX 78712 USA; [Wortham, Barbara] Univ Calif Davis, Dept Earth &amp; Planetary Sci, Davis, CA 95616 USA; [Wurtzel, Jennifer] Australian Natl Univ, Res Sch Earth Sci, Canberra, ACT, Australia; [Wurtzel, Jennifer] Australian Natl Univ, ARC Ctr Excellence Climate Syst Sci, Canberra, ACT, Australia; [Wurtzel, Jennifer] Orange Agr Inst, NSW Dept Primary Ind, Orange, NSW, Australia</t>
  </si>
  <si>
    <t>University of Reading; University of Reading; University College Dublin; Johannes Gutenberg University of Mainz; University of New South Wales Sydney; University of London; Royal Holloway University London; University of Oxford; Council of Scientific &amp; Industrial Research (CSIR) - India; CSIR - National Geophysical Research Institute (NGRI); Xi'an Jiaotong University; Nevada System of Higher Education (NSHE); Desert Research Institute NSHE; University of Melbourne; Melbourne Genomics Health Alliance; Arizona State University; Arizona State University-Tempe; Hebrew University of Jerusalem; Geological Survey Israel; Chulalongkorn University; Chinese Academy of Sciences; University of Chinese Academy of Sciences, CAS; Institute of Geology &amp; Geophysics, CAS; Hungarian Research Network; Hungarian Academy of Sciences; HUN-REN Research Centre for Astronomy &amp; Earth Sciences; Institute for Geological &amp; Geochemical Research - HAS; University of Southern California; University of Bremen; Nevada System of Higher Education (NSHE); University of Nevada Las Vegas; National Institute of Water &amp; Atmospheric Research (NIWA) - New Zealand; Consejo Superior de Investigaciones Cientificas (CSIC); University of Cape Town; University of Massachusetts System; University of Massachusetts Amherst; Jamia Millia Islamia; University of London; University College London; University of London; University College London; Durham University; Universidad Nacional Autonoma de Mexico; Ruhr University Bochum; Graz University of Technology; University of Newcastle; Chinese Academy of Sciences; Institute of Earth Environment, CAS; University of Innsbruck; Xi'an Jiaotong University; Universite Savoie Mont Blanc; Centre National de la Recherche Scientifique (CNRS); CNRS - Institute of Ecology &amp; Environment (INEE); Communaute Universite Grenoble Alpes; Universite Grenoble Alpes (UGA); Universidade de Sao Paulo; University of Birmingham; Romanian Academy of Sciences; Emil Racovita Institute of Speleology; Northumbria University; Uppsala University; University of Reading; University of Potsdam; Skidmore College; Universite Paris Saclay; CEA; Centre National de la Recherche Scientifique (CNRS); Stockholm University; University of London; Birkbeck University London; University of Queensland; Ministry of Natural Resources of the People's Republic of China; National Taiwan University; National Taiwan University; Eberhard Karls University of Tubingen; University of London; Royal Holloway University London; Consejo Superior de Investigaciones Cientificas (CSIC); Centre National de la Recherche Scientifique (CNRS); CNRS - Institute for Humanities &amp; Social Sciences (INSHS); Universite de Rouen Normandie; Universite Le Havre Normandie; UK Research &amp; Innovation (UKRI); Natural Environment Research Council (NERC); NERC British Antarctic Survey; Ruprecht Karls University Heidelberg; Sun Yat Sen University; University of Texas System; University of Texas Austin; University of Sofia; UK Research &amp; Innovation (UKRI); Natural Environment Research Council (NERC); NERC British Geological Survey; Universidade Federal Fluminense; Australian Nuclear Science &amp; Technology Organisation; Hacettepe University; Vrije Universiteit Brussel; Universidade do Algarve; Hebrew University of Jerusalem; Nanyang Technological University; University of Texas System; University of Texas Austin; University of California System; University of California Davis; Australian National University; ARC Centre of Excellence for Climate System Science; Australian National University; NSW Department of Primary Industries</t>
  </si>
  <si>
    <t>Comas-Bru, L (corresponding author), Univ Coll Dublin, Sch Earth Sci, Dublin 4, Ireland.</t>
  </si>
  <si>
    <t>laia.comas-bru@ucdconnect.ie</t>
  </si>
  <si>
    <t>Luetscher, Marc/G-6190-2018; Fleitmann, Domnik/HSF-0516-2023; Cruz, Francisco w./G-6059-2012; Labuhn, Inga/HZI-0423-2023; Hu, Jun/K-8453-2019; Ünal İmer, Ezgi/HIK-1206-2022; Moreno, Ana/D-5781-2011; Braun, Kerstin/F-4492-2011; Ruan, Jiaoyang/AAE-7410-2020; Nehme, Carole/JDW-1650-2023; Chawchai, Sakonvan/GRF-2426-2022; Lone, Mahjoor/C-9637-2011; IPO, PAGES/JXY-7546-2024; Columbu, Andrea/AAH-2339-2019; Shopov, Yavor/B-9258-2008; Lechleitner, Franziska/IZD-7410-2023; Scholz, Denis/G-1861-2016; McDermott, Frank/F-3096-2010; Warken, Sophie/HWR-4526-2023; Novello, Valdir/P-5824-2015; Baker, Andy/O-5362-2019; Moreno, Ana/AAB-5761-2019; Finné, Martin/O-4768-2019; Breitenbach, Sebastian/AAB-1420-2019; Lechleitner, Franziska/AAW-1983-2021; Rehfeld, Kira/O-1781-2019; Borsato, Andrea/H-1412-2012; Couchoud, Isabelle/C-3309-2012; Domínguez-Villar, David/A-9794-2018; Nehme, Carole/AAD-8421-2022; Couchoud, Isabelle/KFA-9264-2024; CHENG, HAI/H-3413-2017; Ersek, Vasile/G-5287-2010; Bernal, Juan Pablo/I-8012-2012; Cai, Yanjun/A-9462-2010; Misailidis Strikis, Nicolas/H-6531-2015; Veiga-Pires, Cristina/B-5144-2008; Kern, Zoltan/C-8449-2013; Wang, Xianfeng/F-1233-2014</t>
  </si>
  <si>
    <t>Labuhn, Inga/0000-0003-3755-5264; Ünal İmer, Ezgi/0000-0002-2387-4283; Braun, Kerstin/0000-0003-4028-7758; Nehme, Carole/0000-0003-0004-0910; Lone, Mahjoor/0000-0003-4436-5004; Columbu, Andrea/0000-0001-5410-062X; Lechleitner, Franziska/0000-0002-1697-0429; Scholz, Denis/0000-0002-0055-8915; McDermott, Frank/0000-0001-7037-7936; Novello, Valdir/0000-0002-0120-3745; Baker, Andy/0000-0002-1552-6166; Moreno, Ana/0000-0001-7357-584X; Finné, Martin/0000-0001-7433-268X; Lechleitner, Franziska/0000-0002-1697-0429; Rehfeld, Kira/0000-0002-9442-5362; Couchoud, Isabelle/0000-0002-7166-9575; Domínguez-Villar, David/0000-0002-4730-6053; Nehme, Carole/0000-0003-0004-0910; CHENG, HAI/0000-0002-5305-9458; Ait Brahim, Yassine/0000-0003-3098-7339; Cruz, Francisco/0000-0002-4030-4581; Ersek, Vasile/0000-0001-9730-0007; Hu, Jun/0000-0002-0458-5996; Atsawawaranunt, Kamolphat/0000-0003-3995-5448; Sekhon, Natasha/0000-0002-4513-2301; Bernal, Juan Pablo/0000-0001-8363-572X; Kathayat, Gayatri/0000-0001-9333-9385; Shopov, Yavor/0000-0002-5366-5159; Boch, Ronny/0000-0002-4535-8597; Cai, Yanjun/0000-0001-7063-5050; Comas-Bru, Laia/0000-0002-7882-4996; Scroxton, Nick/0000-0003-2315-9199; Perez-Mejias, Carlos/0000-0002-8370-9271; Drysdale, Russell/0000-0001-7867-031X; Misailidis Strikis, Nicolas/0000-0003-4721-3380; dragusin, virgil/0000-0003-0221-1816; Markowska, Monika/0000-0003-1455-1121; Treble, Pauline/0000-0002-1969-8555; Moseley, Gina/0000-0002-5618-5759; Veiga-Pires, Cristina/0000-0002-9323-0723; Holzkamper, Steffen/0000-0001-8487-2532; Fohlmeister, Jens/0009-0002-1654-3715; Kern, Zoltan/0000-0003-4900-2587; Breitenbach, Sebastian/0000-0001-9615-2065; Kaushal, Nikita/0000-0002-2220-9046; Ruan, Jiaoyang/0000-0003-4733-1125; Wang, Xianfeng/0000-0002-8614-5627; Keenan-Jones, Duncan/0000-0001-5951-5146; Harrison, Sandy/0000-0001-5687-1903; Koltai, Gabriella/0000-0001-6084-6890; Smith, Andrew/0000-0002-7658-6234; Vaks, Anton/0000-0002-2982-5220; Li, Ting-Yong/0000-0003-1236-3354</t>
  </si>
  <si>
    <t>PAGES; European Geosciences Union (EGU TE Winter call) [W2017/413]; Irish Centre for Research in Applied Geosciences (iCRAG); European Association of Geochemistry (Early Career Ambassadors program 2017); Geological Survey Ireland; Quaternary Research Association UK; Navarino Environmental Observatory; Stockholm University; Savillex; University of Reading; University College Dublin [SF1428]; ERC [694481]; Geological Survey Ireland Short Call 2017 (Developing a toolkit for model evaluation using speleothem isotope data) [2017-SC-056]; JPI-Belmont project PAlaeo-Constraints on Monsoon Evolution and Dynamics (PACMEDY) through the UK Natural Environmental Research Council (NERC); NERC [NE/M012689/1, NE/P006752/1] Funding Source: UKRI</t>
  </si>
  <si>
    <t>PAGES; European Geosciences Union (EGU TE Winter call); Irish Centre for Research in Applied Geosciences (iCRAG); European Association of Geochemistry (Early Career Ambassadors program 2017); Geological Survey Ireland; Quaternary Research Association UK; Navarino Environmental Observatory; Stockholm University; Savillex; University of Reading; University College Dublin; ERC(European Research Council (ERC)); Geological Survey Ireland Short Call 2017 (Developing a toolkit for model evaluation using speleothem isotope data); JPI-Belmont project PAlaeo-Constraints on Monsoon Evolution and Dynamics (PACMEDY) through the UK Natural Environmental Research Council (NERC); NERC(UK Research &amp; Innovation (UKRI)Natural Environment Research Council (NERC))</t>
  </si>
  <si>
    <t>SISAL (Speleothem Isotopes Synthesis and Analysis) is a working group of the Past Global Changes (PAGES) programme. We thank PAGES for their support for this activity. Additional financial support for SISAL activities has been provided by the European Geosciences Union (EGU TE Winter call, grant number W2017/413), Irish Centre for Research in Applied Geosciences (iCRAG), European Association of Geochemistry (Early Career Ambassadors program 2017), Geological Survey Ireland, Quaternary Research Association UK, Navarino Environmental Observatory, Stockholm University, Savillex, John Cantle, University of Reading and University College Dublin (Seed Funding award, grant number SF1428). The design and creation of the database has been supported by funding to Sandy P. Harrison from the ERC-funded project GC2.0 (Global Change 2.0: Unlocking the past for a clearer future, grant number 694481) and by funding to Laia Comas-Bru from the Geological Survey Ireland Short Call 2017 (Developing a toolkit for model evaluation using speleothem isotope data, grant number 2017-SC-056). Sandy P. Harrison also acknowledges funding from the JPI-Belmont project PAlaeo-Constraints on Monsoon Evolution and Dynamics (PACMEDY) through the UK Natural Environmental Research Council (NERC). We thank SISAL members who contributed their published data to the database and provided additional information when necessary.</t>
  </si>
  <si>
    <t>1866-3508</t>
  </si>
  <si>
    <t>1866-3516</t>
  </si>
  <si>
    <t>EARTH SYST SCI DATA</t>
  </si>
  <si>
    <t>Earth Syst. Sci. Data</t>
  </si>
  <si>
    <t>10.5194/essd-10-1687-2018</t>
  </si>
  <si>
    <t>Geosciences, Multidisciplinary; Meteorology &amp; Atmospheric Sciences</t>
  </si>
  <si>
    <t>Geology; Meteorology &amp; Atmospheric Sciences</t>
  </si>
  <si>
    <t>GT7PQ</t>
  </si>
  <si>
    <t>Green Submitted, Green Accepted, Green Published, gold</t>
  </si>
  <si>
    <t>WOS:000444721100001</t>
  </si>
  <si>
    <t>Hara, K; Osada, K; Yabuki, M; Takashima, H; Theys, N; Yamanouchi, T</t>
  </si>
  <si>
    <t>Hara, Keiichiro; Osada, Kazuo; Yabuki, Masanori; Takashima, Hisahiro; Theys, Nicolas; Yamanouchi, Takashi</t>
  </si>
  <si>
    <t>Important contributions of sea-salt aerosols to atmospheric bromine cycle in the Antarctic coasts</t>
  </si>
  <si>
    <t>BOUNDARY-LAYER HALOGENS; OZONE; CHEMISTRY; ICE; BRO; TROPOSPHERE; GREENLAND; MODEL; SNOW</t>
  </si>
  <si>
    <t>Polar sunrise activates reactive bromine (BrOx) cycle on the Antarctic coasts. BrOx chemistry relates to depletion of O-3 and Hg in polar regions. Earlier studies have indicated blowing snow as a source of atmospheric BrOx. However, surface O-3 depletion and BrO enhancement occurs rarely under blowing snow conditions at Syowa Station, Antarctica. Therefore, trigger processes for BrOx activation other than the heterogeneous reactions on blowing snow particles must be considered. Results of this study show that enhancement of sea- salt aerosols (SSA) and heterogeneous reactions on SSA are the main key processes for atmospheric BrOx cycle activation. Blowing snow had Br- enrichment, in contrast to strong Br- depletion in SSA. In- situ aerosol measurements and satellite BrO measurements demonstrated clearly that a BrO plume appeared simultaneously in SSA enhancement near the surface. Results show that surface O-3 depletion at Syowa Station occurred in aerosol enhancement because of SSA dispersion during the polar sunrise. Amounts of depleted Br- from SSA were matched well to the tropospheric vertical column density of BrO and BrOx concentrations found in earlier work. Our results indicate that SSA enhancement by strong winds engenders activation of atmospheric BrOx cycles via heterogeneous reactions on SSA.</t>
  </si>
  <si>
    <t>[Hara, Keiichiro; Takashima, Hisahiro] Fukuoka Univ, Dept Earth Syst Sci, Fac Sci, Fukuoka, Fukuoka, Japan; [Osada, Kazuo] Nagoya Univ, Grad Sch Environm Studies, Nagoya, Aichi, Japan; [Yabuki, Masanori] Kyoto Univ, Res Inst Sustainable Humanosphere, Uji, Kyoto, Japan; [Theys, Nicolas] Belgian Inst Space Aeron, Brussels, Belgium; [Yamanouchi, Takashi] Natl Inst Polar Res, Tokyo, Japan</t>
  </si>
  <si>
    <t>Fukuoka University; Nagoya University; Kyoto University; Research Organization of Information &amp; Systems (ROIS); National Institute of Polar Research (NIPR) - Japan</t>
  </si>
  <si>
    <t>Hara, K (corresponding author), Fukuoka Univ, Dept Earth Syst Sci, Fac Sci, Fukuoka, Fukuoka, Japan.</t>
  </si>
  <si>
    <t>harakei@fukuoka-u.ac.jp</t>
  </si>
  <si>
    <t>Hara, Keiichiro/N-8264-2018; Osada, Kazuo/I-6395-2014</t>
  </si>
  <si>
    <t>Osada, Kazuo/0000-0003-3100-5835</t>
  </si>
  <si>
    <t>Observation project of global atmospheric change in the Antarctic; Ministry of Education, Culture, Sports, Science and Technology of Japan [16253001, 15310012, 22310013]; Grants-in-Aid for Scientific Research [16253001, 15310012, 22310013] Funding Source: KAKEN</t>
  </si>
  <si>
    <t>Observation project of global atmospheric change in the Antarctic; 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</si>
  <si>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We thank the members of the 45th-47th Japanese Antarctic Research Expedition for assistance with aerosol measurements at Syowa Station. This study was supported financially by the Observation project of global atmospheric change in the Antarctic for JARE 43-47. This work was also supported by a Grant-in Aid (No. 16253001, PI: T.Yamanouchi, No. 15310012, PI: K. Osada, and No. 22310013, PI: K. Hara) from the Ministry of Education, Culture, Sports, Science and Technology of Japan. The authors gratefully acknowledge the NOAA Air Resources Laboratory (ARL) for providing the HYSPLIT transport and dispersion model and READY website used for this research (http://www.arl.noaa.gov/ready.html).</t>
  </si>
  <si>
    <t>10.1038/s41598-018-32287-4</t>
  </si>
  <si>
    <t>Green Published, Green Submitted, gold</t>
  </si>
  <si>
    <t>WOS:000444571200060</t>
  </si>
  <si>
    <t>Aguirre, F; Carrasco, J; Sauter, T; Schneider, C; Gaete, K; Garín, E; Adaros, R; Butorovic, N; Jaña, R; Casassa, G</t>
  </si>
  <si>
    <t>Aguirre, Francisco; Carrasco, Jorge; Sauter, Tobias; Schneider, Christoph; Gaete, Katherine; Garin, Enrique; Adaros, Rodrigo; Butorovic, Nicolas; Jana, Ricardo; Casassa, Gino</t>
  </si>
  <si>
    <t>Snow Cover Change as a Climate Indicator in Brunswick Peninsula, Patagonia</t>
  </si>
  <si>
    <t>FRONTIERS IN EARTH SCIENCE</t>
  </si>
  <si>
    <t>snow cover; climate change; remote sensing; MODIS; Patagonia</t>
  </si>
  <si>
    <t>TEMPERATURE-VARIATIONS; SOUTHERN-OSCILLATION; RAINFALL VARIABILITY; MASS-BALANCE; MODIS; TRENDS; ENSO; PRECIPITATION; CHILE; ANDES</t>
  </si>
  <si>
    <t>Snow cover changes are assessed for the Brunswick Peninsula in southern Patagonia (52.9 degrees S to 53.5 degrees S), located on the transition between the wet Pacific Ocean area and the drier leeward side of the Andes. We use the Normalized Difference Snow Index (NDSI) and a new index which we call Snowpower, combining the NDSI and the Melt Area Detection Index (MADI), to reconstruct the snow cover extent and its temporal distribution for the period 2000-2016, based on Moderate Resolution Imaging Spectroradiometer Sensor (MODIS) MOD09GA products. Comparison of these satellite-derived products with available snow duration and snow height data for 2010-2016 at the local Club Andino ski center of Punta Arenas shows that the NDSI exhibits the best agreement. A reasonable and significant linear correlation is found between the MODIS NDSI snow cover extent and the mean monthly temperature at Punta Arenas Airport combined with the monthly snow accumulation at Jorge Schythe station at Punta Arenas city for the extended winter period (April to September) from 2000 to 2016. Snow cover changes within this time series are extended to 1972 and 1958 based on historical climate data of Jorge Schythe and Punta Arenas airport, repectively. The results show a significant decreasing trend of snow extent of 19% for Brunswick Peninsula for the 45-year period (1972-2016), which can be attributed to a statistically significant long-term warming of 0.71 degrees C at Punta Arenas during the extended winter (April-September) in the same period. Multiple correlation with different climate variables indicates that solid precipitation has a relevant role on short-term snow cover variability, but is not related to the observed long-term snow cover decrease.</t>
  </si>
  <si>
    <t>[Aguirre, Francisco; Gaete, Katherine; Jana, Ricardo] Chilean Antarctic Inst, Dept Sci, Punta Arenas, Chile; [Aguirre, Francisco; Carrasco, Jorge; Gaete, Katherine; Casassa, Gino] Univ Magallanes, CIGA, Punta Arenas, Chile; [Sauter, Tobias] Friedrich Alexander Univ Erlangen Nurnberg FAU, Inst Geog, Climate Syst Res Grp, Erlangen, Germany; [Schneider, Christoph] Humboldt Univ, Dept Geog, Berlin, Germany; [Garin, Enrique; Adaros, Rodrigo] Club Andino, Punta Arenas, Chile; [Butorovic, Nicolas] Univ Magallanes, Inst Patagonia, Lab Climatol, Punta Arenas, Chile; [Casassa, Gino] Minist Obras Publ, Direcc Gen Aguas, Santiago, Chile</t>
  </si>
  <si>
    <t>Universidad de Magallanes; University of Erlangen Nuremberg; Humboldt University of Berlin; Universidad de Magallanes</t>
  </si>
  <si>
    <t>Aguirre, F (corresponding author), Chilean Antarctic Inst, Dept Sci, Punta Arenas, Chile.;Aguirre, F (corresponding author), Univ Magallanes, CIGA, Punta Arenas, Chile.</t>
  </si>
  <si>
    <t>francisco.aguirre@umag.cl</t>
  </si>
  <si>
    <t>Jaña, Ricardo/AAR-1225-2020; Casassa, Gino/AAX-6142-2020; Schneider, Christoph/V-2150-2017; Carrasco, Jorge/ACG-6766-2022; sauter, tobias/HSD-8208-2023; sauter, tobias/AAI-7313-2020; Carrasco, Jorge/AAC-4799-2021</t>
  </si>
  <si>
    <t>Jaña, Ricardo/0000-0003-3319-1168; Schneider, Christoph/0000-0002-9914-3217; Carrasco, Jorge/0000-0003-2154-5483; sauter, tobias/0000-0002-2232-8096; sauter, tobias/0000-0002-2232-8096; Carrasco, Jorge/0000-0003-2154-5483; Gaete, Katherine/0000-0002-0659-065X</t>
  </si>
  <si>
    <t>FNDR GORE Magallanes 2048 Programme Transferencia Cientifico Tecnologica Modelamiento Climatico Planificacion, XII Region, Codigo BIP [30462410]; Chilean Antarctic Institute MoCliM Programme; CONICYT-BMBF project GABY-VASA grant (Chile) [BMBF20140052]; German Research Foundation project Gran Campo Nevado grant [SCHN 680/1-1]; German Research Foundation project MANAU grant [SA 2339/3-1]; Conicyt-Anillo [ACT-1410]; CONICYT-BMBF project GABY-VASA grant (Germany) [01DN15007]</t>
  </si>
  <si>
    <t>FNDR GORE Magallanes 2048 Programme Transferencia Cientifico Tecnologica Modelamiento Climatico Planificacion, XII Region, Codigo BIP; Chilean Antarctic Institute MoCliM Programme; CONICYT-BMBF project GABY-VASA grant (Chile); German Research Foundation project Gran Campo Nevado grant; German Research Foundation project MANAU grant; Conicyt-Anillo(Comision Nacional de Investigacion Cientifica y Tecnologica (CONICYT)CONICYT PIA/ANILLOS); CONICYT-BMBF project GABY-VASA grant (Germany)</t>
  </si>
  <si>
    <t>This study has been funded by the FNDR GORE Magallanes 2048 Programme Transferencia Cientifico Tecnologica Modelamiento Climatico Planificacion, XII Region, Codigo BIP No 30462410, and by the Chilean Antarctic Institute MoCliM Programme. Partial funding has been contributed by the CONICYT-BMBF project GABY-VASA grant No. BMBF20140052 (Chile) and No 01DN15007 (Germany); by the German Research Foundation project Gran Campo Nevado grant No. SCHN 680/1-1; by the German Research Foundation project MANAU grant No SA 2339/3-1; and Conicyt-Anillo ACT-1410. Data from Evangelistas station were kindly provided by Servicio Meteorologico de la Armada de Chile (SERVIMET). Data from Punta Arenas airport and Porvenir were downloaded from the institutional webpage of the Direccion Meteorologica de Chile, while data from San Gregorio, Pampa Huanaco, Bahia San Felipe, and Teniente Merino are from Direccion General de Aguas. The authors gratefully acknowledge the valuable comments and suggestions from both reviewers and the editor that helped improving the manuscript.</t>
  </si>
  <si>
    <t>2296-6463</t>
  </si>
  <si>
    <t>FRONT EARTH SC-SWITZ</t>
  </si>
  <si>
    <t>Front. Earth Sci.</t>
  </si>
  <si>
    <t>SEP 13</t>
  </si>
  <si>
    <t>10.3389/feart.2018.00130</t>
  </si>
  <si>
    <t>GX0MW</t>
  </si>
  <si>
    <t>WOS:000447405800001</t>
  </si>
  <si>
    <t>Siegert, MJ; Kennicutt, MC</t>
  </si>
  <si>
    <t>Siegert, Martin John; Kennicutt, Mahlon C., II</t>
  </si>
  <si>
    <t>Governance of the Exploration of Subglacial Antarctica</t>
  </si>
  <si>
    <t>FRONTIERS IN ENVIRONMENTAL SCIENCE</t>
  </si>
  <si>
    <t>subglacial lakes; environmental protection; Antarctic treaty; subglacial environments; hot water drilling</t>
  </si>
  <si>
    <t>LAKE VOSTOK; ICE-SHEET; BENEATH; ENVIRONMENTS; INVENTORY</t>
  </si>
  <si>
    <t>Subglacial lakes, and their surrounding aqueous environments, are known to be viable yet extreme habitats for microbial life that may hold records of climate change spanning hundreds of thousands of years. Since the detection of Lake Vostok in 1996 plans have been developed to access, sample, and monitor these unique environments. Critical to these plans is assurance that contamination and disturbance is minimized in all aspects of the activity. Precisely how this is achieved has been a matter of international debate for many years culminating in the formulation of a Code of Conduct to guide responsible scientific exploration and stewardship of these pristine systems by the Scientific Committee on Antarctic research. The Code of Conduct was first introduced to the Antarctic Treaty Consultative Meeting in 2011, influencing planning for three exploration programs. In May 2018, following several recent and operational advances, Antarctic Treaty Parties agreed to its use and dissemination, ensuring that subglacial lakes exploration and access is undertaken in a responsible, defensible, and fact-based manner. As our knowledge of subglacial lakes improves, so too will our appreciation of their scientific value and potential vulnerability. In other regions of Antarctica where value and vulnerabilities are high, Antarctic Specially Protected Areas and Antarctic Specially Managed Areas ensure long-term protection whilst allowing scientific access and study. Such governance models will be applicable to the conservation and protection of subglacial lake systems as scientific understanding of their form and functioning advances.</t>
  </si>
  <si>
    <t>[Siegert, Martin John] Imperial Coll London, Grantham Inst, London, England; [Siegert, Martin John] Imperial Coll London, Dept Earth Sci &amp; Engn, London, England; [Kennicutt, Mahlon C., II] Texas A&amp;M Univ, Dept Oceanog, College Stn, TX 77843 USA</t>
  </si>
  <si>
    <t>Imperial College London; Imperial College London; Texas A&amp;M University System; Texas A&amp;M University College Station</t>
  </si>
  <si>
    <t>Siegert, MJ (corresponding author), Imperial Coll London, Grantham Inst, London, England.;Siegert, MJ (corresponding author), Imperial Coll London, Dept Earth Sci &amp; Engn, London, England.</t>
  </si>
  <si>
    <t>m.siegert@imperial.ac.uk</t>
  </si>
  <si>
    <t>Siegert, Martin/M-9939-2019; Siegert, Martin J/A-3826-2008</t>
  </si>
  <si>
    <t>Siegert, Martin/0000-0002-0090-4806; Siegert, Martin J/0000-0002-0090-4806</t>
  </si>
  <si>
    <t>UK Natural Environment Research Council [G00465X/1, G00465X/2, G00465X/3]; NERC [NE/G00465X/3] Funding Source: UKRI</t>
  </si>
  <si>
    <t>UK Natural Environment Research Council(UK Research &amp; Innovation (UKRI)Natural Environment Research Council (NERC)); NERC(UK Research &amp; Innovation (UKRI)Natural Environment Research Council (NERC))</t>
  </si>
  <si>
    <t>MS acknowledges funding for the Lake Ellsworth program from the UK Natural Environment Research Council grants G00465X/1, G00465X/2, and G00465X/3.</t>
  </si>
  <si>
    <t>2296-665X</t>
  </si>
  <si>
    <t>FRONT ENV SCI-SWITZ</t>
  </si>
  <si>
    <t>Front. Environ. Sci.</t>
  </si>
  <si>
    <t>SEP 12</t>
  </si>
  <si>
    <t>10.3389/fenvs.2018.00103</t>
  </si>
  <si>
    <t>HD0CW</t>
  </si>
  <si>
    <t>WOS:000452176200001</t>
  </si>
  <si>
    <t>Cordone, G; Marina, TI; Salinas, V; Doyle, SR; Saravia, LA; Momo, FR</t>
  </si>
  <si>
    <t>Cordone, Georgina; Marina, Tomas, I; Salinas, Vanesa; Doyle, Santiago R.; Saravia, Leonardo A.; Momo, Fernando R.</t>
  </si>
  <si>
    <t>Effects of macroalgae loss in an Antarctic marine food web: applying extinction thresholds to food web studies</t>
  </si>
  <si>
    <t>PEERJ</t>
  </si>
  <si>
    <t>Antarctic; Food webs; Extinctions; Macroalgae loss</t>
  </si>
  <si>
    <t>SOUTH SHETLAND ISLANDS; KING-GEORGE ISLAND; COMMUNITY VIABILITY ANALYSIS; POTTER COVE; SECONDARY EXTINCTIONS; ECOLOGICAL NETWORKS; VULNERABILITY; CONSEQUENCES; BIODIVERSITY; ROBUSTNESS</t>
  </si>
  <si>
    <t>Antarctica is seriously affected by climate change, particularly at the Western Antarctic Peninsula (WAP) where a rapid regional warming is observed. Potter Cove is a WAP fjord at Shetland Islands that constitutes a biodiversity hotspot where over the last years, Potter Cove annual air temperatures averages increased by 0.66 degrees C, coastal glaciers declined, and suspended particulate matter increased due to ice melting. Macroalgae are the main energy source for all consumers and detritivores of Potter Cove. Some effects of climate change favor pioneer macroalgae species that exploit new ice-free areas and can also decline rates of photosynthesis and intensify competition between species due to the increase of suspended particulate matter. In this study, we evaluated possible consequences of climate change at Potter Cove food web by simulating the extinction of macroalgae and detritus using a topological approach with thresholds of extinction. Thresholds represent the minimum number of incoming links necessary for species' survival. When we simulated the extinctions of macroalgae species at random, a threshold of extinction beyond 50% was necessary to obtain a significant number of secondary extinctions, while with a 75% threshold a real collapse of the food web occurred. Our results indicate that Potter Cove food web is relative robust to macroalgae extinction. This is dramatically different from what has been found in other food webs, where the reduction of 10% in prey intake caused a disproportionate increase of secondary extinctions. Robustness of the Potter Cove food web was mediated by omnivory and redundancy, which had an important relevance in this food web. When we eliminated larger-biomass species more secondary extinctions occurred, a similar response was observed when more connected species were deleted, yet there was no correlation between species of larger-biomass and high-degree. This similarity could be explained because both criteria involved key species that produced an emerging effect on the food web. In this way, large-biomass and high-degree species could be acting as source for species with few trophic interactions or low redundancy. Based on this work, we expect the Potter Cove food web to be robust to changes in macroalgae species caused by climate change until a high threshold of stress is reached, and then negative effects are expected to spread through the entire food web leading to its collapse.</t>
  </si>
  <si>
    <t>[Cordone, Georgina] Ctr Nacl Patagon CCT CONICET CENPAT, Ctr Estudio Sistemas Marinos CESIMAR, Puerto Madryn, Chubut, Argentina; [Marina, Tomas, I; Salinas, Vanesa; Doyle, Santiago R.; Saravia, Leonardo A.; Momo, Fernando R.] Univ Nacl Gen Sarmiento, Inst Ciencias ICI, Los Polvorines, Buenos Aires, Argentina; [Marina, Tomas, I; Doyle, Santiago R.; Saravia, Leonardo A.; Momo, Fernando R.] Univ Nacl Lujan, Inst Ecol &amp; Desarrollo Sustentable INEDES, Lujan, Buenos Aires, Argentina; [Marina, Tomas, I] Consejo Nacl Invest Cient &amp; Tecn, Ctr Austral Invest Cient CAD, Ushuaia, Tierra Del Fueg, Argentina</t>
  </si>
  <si>
    <t>Universidad Nacional de Lujan; Consejo Nacional de Investigaciones Cientificas y Tecnicas (CONICET)</t>
  </si>
  <si>
    <t>Cordone, G (corresponding author), Ctr Nacl Patagon CCT CONICET CENPAT, Ctr Estudio Sistemas Marinos CESIMAR, Puerto Madryn, Chubut, Argentina.</t>
  </si>
  <si>
    <t>gcordone@cenpat-conicet.gob.ar</t>
  </si>
  <si>
    <t>Momo, Fernando R/E-3426-2012; Saravia, Leonardo/AAM-3461-2021; Salinas, Vanesa/HLQ-5725-2023; Marina, Tomas Ignacio/U-3460-2018</t>
  </si>
  <si>
    <t>Momo, Fernando R/0000-0003-0710-1149; Saravia, Leonardo/0000-0002-7911-4398; Marina, Tomas Ignacio/0000-0002-9203-7411; Cordone, Georgina Florencia/0000-0003-2883-7964; Salinas, Vanesa/0000-0002-2049-3450</t>
  </si>
  <si>
    <t>Consejo Nacional de Investigaciones Cientificas y Tecnicas (CONICET, Argentina); Universidad Nacional de General Sarmiento; Alfred Wegener Institute for Polar and Marine Research (AWI, Germany); CONICET Argentina [PIO 14420140100035CO]; CONICET, Argentina; Marie Curie Action IRSES (FP7 IRSES) [319718]</t>
  </si>
  <si>
    <t>Consejo Nacional de Investigaciones Cientificas y Tecnicas (CONICET, Argentina)(Consejo Nacional de Investigaciones Cientificas y Tecnicas (CONICET)); Universidad Nacional de General Sarmiento; Alfred Wegener Institute for Polar and Marine Research (AWI, Germany); CONICET Argentina(Consejo Nacional de Investigaciones Cientificas y Tecnicas (CONICET)); CONICET, Argentina(Consejo Nacional de Investigaciones Cientificas y Tecnicas (CONICET)); Marie Curie Action IRSES (FP7 IRSES)(European Union (EU))</t>
  </si>
  <si>
    <t>This research was supported by Consejo Nacional de Investigaciones Cientificas y Tecnicas (CONICET, Argentina), Universidad Nacional de General Sarmiento and Alfred Wegener Institute for Polar and Marine Research (AWI, Germany). The work was partially funded by PIO 14420140100035CO CONICET Argentina and conducted in the frame of GC's Ph.D. studies, whose scholarship (CONICET, Argentina) supported the rest of the study. The work was conducted in the frames of the EU research network IMCONet funded by the Marie Curie Action IRSES (FP7 IRSES, Action No. 319718). There was no additional external funding received for this study. The funders had no role in study design, data collection and analysis, decision to publish, or preparation of the manuscript.</t>
  </si>
  <si>
    <t>PEERJ INC</t>
  </si>
  <si>
    <t>341-345 OLD ST, THIRD FLR, LONDON, EC1V 9LL, ENGLAND</t>
  </si>
  <si>
    <t>2167-8359</t>
  </si>
  <si>
    <t>PeerJ</t>
  </si>
  <si>
    <t>e5531</t>
  </si>
  <si>
    <t>10.7717/peerj.5531</t>
  </si>
  <si>
    <t>GT7CL</t>
  </si>
  <si>
    <t>WOS:000444677900007</t>
  </si>
  <si>
    <t>Kravitz, B; Rasch, PJ; Wang, HL; Robock, A; Gabriel, C; Boucher, O; Cole, JNS; Haywood, J; Ji, DY; Jones, A; Lenton, A; Moore, JC; Muri, H; Niemeier, U; Phipps, S; Schmidt, H; Watanabe, S; Yang, ST; Yoon, JH</t>
  </si>
  <si>
    <t>Kravitz, Ben; Rasch, Philip J.; Wang, Hailong; Robock, Alan; Gabriel, Corey; Boucher, Olivier; Cole, Jason N. S.; Haywood, Jim; Ji, Duoying; Jones, Andy; Lenton, Andrew; Moore, John C.; Muri, Helene; Niemeier, Ulrike; Phipps, Steven; Schmidt, Hauke; Watanabe, Shingo; Yang, Shuting; Yoon, Jin-Ho</t>
  </si>
  <si>
    <t>The climate effects of increasing ocean albedo: an idealized representation of solar geoengineering</t>
  </si>
  <si>
    <t>EARTH SYSTEM MODEL; IRRADIANCE REDUCTION; BASIC EVALUATION; CMIP5; CIRCULATION; RESPONSES</t>
  </si>
  <si>
    <t>Geoengineering, or climate intervention, describes methods of deliberately altering the climate system to offset anthropogenic climate change. As an idealized representation of near-surface solar geoengineering over the ocean, such as marine cloud brightening, this paper discusses experiment Glocean-albedo of the Geoengineering Model Intercomparison Project (GeoMIP), involving an abrupt quadrupling of the CO2 concentration and an instantaneous in-crease in ocean albedo to maintain approximate net top-of-atmosphere radiative flux balance. A total of 11 Earth system models are relatively consistent in their temperature, radiative flux, and hydrological cycle responses to this experiment. Due to the imposed forcing, air over the land surface warms by a model average of 1.14 K, while air over most of the ocean cools. Some parts of the near-surface air temperature over ocean warm due to heat transport from land to ocean. These changes generally resolve within a few years, indicating that changes in ocean heat content play at most a small role in the warming over the oceans. The hydrological cycle response is a general slowing down, with high heterogeneity in the response, particularly in the tropics. While idealized, these results have important implications for marine cloud brightening, or other methods of geoengineering involving spatially heterogeneous forcing, or other general forcings with a strong land-ocean contrast. It also reinforces previous findings that keeping top-of-atmosphere net radiative flux constant is not sufficient for preventing changes in global mean temperature.</t>
  </si>
  <si>
    <t>[Kravitz, Ben; Rasch, Philip J.; Wang, Hailong] Pacific Northwest Natl Lab, Atmospher Sci &amp; Global Change Div, Richland, WA 99352 USA; [Robock, Alan] Rutgers State Univ, Dept Environm Sci, New Brunswick, NJ USA; [Gabriel, Corey] Scripps Inst Oceanog, La Jolla, CA USA; [Boucher, Olivier] Sorbonne Univ, CNRS, Lab Meteorol Dynam, Paris, France; [Cole, Jason N. S.] Environm &amp; Climate Change Canada, Toronto, ON, Canada; [Haywood, Jim; Jones, Andy] Met Off, Hadley Ctr, Exeter, Devon, England; [Haywood, Jim] Univ Exeter, Coll Engn Math &amp; Phys Sci, Exeter, Devon, England; [Ji, Duoying; Moore, John C.] Beijing Normal Univ, Coll Global Change &amp; Earth Syst Sci, State Key Lab Earth Surface Proc &amp; Resource, Beijing, Peoples R China; [Lenton, Andrew] CSIRO Oceans &amp; Atmosphere, Hobart, Tas, Australia; [Muri, Helene] Univ Oslo, Dept Geosci, Oslo, Norway; [Muri, Helene] Norwegian Univ Sci &amp; Technol, Dept Energy &amp; Proc Engn, Trondheim, Norway; [Niemeier, Ulrike; Schmidt, Hauke] Max Planck Inst Meteorol, Hamburg, Germany; [Phipps, Steven] Univ New South Wales, Climate Change Res Ctr, Sydney, NSW, Australia; [Phipps, Steven] Univ Tasmania, Inst Marine &amp; Antarctic Studies, Hobart, Tas, Australia; [Watanabe, Shingo] Japan Agcy Marine Earth Sci &amp; Technol, Yokohama, Kanagawa, Japan; [Yang, Shuting] Danish Meteorol Inst, Copenhagen, Denmark; [Yoon, Jin-Ho] Gwangju Inst Sci &amp; Technol, Sch Earth Sci &amp; Environm Engn, Gwangju, South Korea</t>
  </si>
  <si>
    <t>United States Department of Energy (DOE); Pacific Northwest National Laboratory; Rutgers University System; Rutgers University New Brunswick; University of California System; University of California San Diego; Scripps Institution of Oceanography; Sorbonne Universite; Centre National de la Recherche Scientifique (CNRS); Environment &amp; Climate Change Canada; Met Office - UK; Hadley Centre; University of Exeter; Beijing Normal University; Commonwealth Scientific &amp; Industrial Research Organisation (CSIRO); University of Oslo; Norwegian University of Science &amp; Technology (NTNU); Max Planck Society; University of New South Wales Sydney; University of Tasmania; Japan Agency for Marine-Earth Science &amp; Technology (JAMSTEC); Danish Meteorological Institute DMI; Gwangju Institute of Science &amp; Technology (GIST)</t>
  </si>
  <si>
    <t>Kravitz, B (corresponding author), Pacific Northwest Natl Lab, Atmospher Sci &amp; Global Change Div, Richland, WA 99352 USA.</t>
  </si>
  <si>
    <t>ben.kravitz@pnnl.gov</t>
  </si>
  <si>
    <t>Moore, John C/B-2868-2013; Watanabe, Shingo/L-9689-2014; Ji, Duoying/AAF-9425-2021; YOON, JIN-HO/A-1672-2009; Rasch, Philip J/F-7978-2018; Boucher, Olivier/J-5810-2012; Wang, Hailong/AAM-1464-2021; Yang, Shuting/L-2251-2013; Watanabe, Shingo/X-2336-2019; Muri, Helene/D-4845-2015; Kravitz, Ben/P-7925-2014; Schmidt, Hauke/J-4469-2013; Haywood, Jim/GQA-6691-2022; Robock, Alan/B-6385-2016; Lenton, Andrew/D-2077-2012; Phipps, Steven/B-3135-2008; Boucher, Olivier/K-7483-2012</t>
  </si>
  <si>
    <t>Moore, John C/0000-0001-8271-5787; Watanabe, Shingo/0000-0002-2228-0088; Wang, Hailong/0000-0002-1994-4402; Yang, Shuting/0000-0002-0147-2056; Watanabe, Shingo/0000-0002-2228-0088; Muri, Helene/0000-0003-4738-493X; Kravitz, Ben/0000-0001-6318-1150; Robock, Alan/0000-0002-6319-5656; Lenton, Andrew/0000-0001-9437-8896; Cole, Jason/0000-0003-0450-2748; Haywood, Jim/0000-0002-2143-6634; Phipps, Steven/0000-0001-5657-8782; Boucher, Olivier/0000-0003-2328-5769</t>
  </si>
  <si>
    <t>U.S. Department of Energy [DE-AC05-76RL01830]; NASA High-End Computing (HEC) Program through the NASA Center for Climate Simulation (NCCS) at Goddard Space Flight Center; NSF [AGS-1617844]; German DFG [SPP 1689]; Research Council of Norway [229760/E10]; project CEIBRAL [SPP 1689]; project CELARIT [SPP 1689]; Australian Research Council's Special Research Initiative for the Antarctic Gateway Partnership [SR140300001]; Integrated Research Program for Advancing Climate Models, MEXT, Japan; National Strategic Project - Find particle of the National Research of Korea (NRF) - Ministry of Science and ICT (MSIT); Ministry of Environment (ME); Ministry of Health and Welfare (MOHW) [NRF-2017M3D8A1092022]</t>
  </si>
  <si>
    <t>U.S. Department of Energy(United States Department of Energy (DOE)); NASA High-End Computing (HEC) Program through the NASA Center for Climate Simulation (NCCS) at Goddard Space Flight Center; NSF(National Science Foundation (NSF)); German DFG(German Research Foundation (DFG)); Research Council of Norway(Research Council of Norway); project CEIBRAL; project CELARIT; Australian Research Council's Special Research Initiative for the Antarctic Gateway Partnership(Australian Research Council); Integrated Research Program for Advancing Climate Models, MEXT, Japan; National Strategic Project - Find particle of the National Research of Korea (NRF) - Ministry of Science and ICT (MSIT); Ministry of Environment (ME); Ministry of Health and Welfare (MOHW)</t>
  </si>
  <si>
    <t>We thank Jon Egill Kristjansson, who tragically passed away, for invaluable comments on an earlier version of the manuscript. We acknowledge the World Climate Research Programme's Working Group on Coupled Modelling, which is responsible for CMIP, and we thank the climate modeling groups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We thank all participants of the Geoengineering Model Intercomparison Project and their model development teams, CLIVAR/WCRP Working Group on Coupled Modeling for endorsing GeoMIP, and the scientists managing the Earth System Grid data nodes who have assisted with making GeoMIP output available. The Pacific Northwest National Laboratory is operated for the U.S. Department of Energy by Battelle Memorial Institute under contract DE-AC05-76RL01830. Simulations performed by Ben Kravitz were supported by the NASA High-End Computing (HEC) Program through the NASA Center for Climate Simulation (NCCS) at Goddard Space Flight Center. Alan Robock is supported by NSF grant AGS-1617844. Olivier Boucher acknowledges HPC resources from CCRT under the allocation 2015-t2012012201 made by GENCI (Grand Equipement National de Calcul Intensif). This work is a contribution to the German DFG-funded priority program Climate Engineering: Risks, Challenges, Opportunities? (SPP 1689). Helene Muri was supported by the Research Council of Norway (229760/E10), and acknowledges Sigma2 NOTUR resources nn9182k, NS9033K, and nn9448k. Ulrike Niemeier and Hauke Schmidt are supported by the SPP 1689 within the projects CEIBRAL and CELARIT. This research was supported under the Australian Research Council's Special Research Initiative for the Antarctic Gateway Partnership (project SR140300001). Shingo Watanabe was supported by the Integrated Research Program for Advancing Climate Models, MEXT, Japan. The Earth Simulator was used in his simulations. Jin-Ho Yoon was supported by the National Strategic Project - Find particle of the National Research of Korea (NRF) funded by the Ministry of Science and ICT (MSIT), the Ministry of Environment (ME), and the Ministry of Health and Welfare (MOHW) NRF-2017M3D8A1092022.</t>
  </si>
  <si>
    <t>10.5194/acp-18-13097-2018</t>
  </si>
  <si>
    <t>GT4FE</t>
  </si>
  <si>
    <t>Green Submitted, gold, Green Accepted</t>
  </si>
  <si>
    <t>WOS:000444458800001</t>
  </si>
  <si>
    <t>Hyder, P; Edwards, JM; Allan, RP; Hewitt, HT; Bracegirdle, TJ; Gregory, JM; Wood, RA; Meijers, AJS; Mulcahy, J; Field, P; Furtado, K; Bodas-Salcedo, A; Williams, KD; Copsey, D; Josey, SA; Liu, CL; Roberts, CD; Sanchez, C; Ridley, J; Thorpe, L; Hardiman, SC; Mayer, M; Berry, DI; Belcher, SE</t>
  </si>
  <si>
    <t>Hyder, Patrick; Edwards, John M.; Allan, Richard P.; Hewitt, Helene T.; Bracegirdle, Thomas J.; Gregory, Jonathan M.; Wood, Richard A.; Meijers, Andrew J. S.; Mulcahy, Jane; Field, Paul; Furtado, Kalli; Bodas-Salcedo, Alejandro; Williams, Keith D.; Copsey, Dan; Josey, Simon A.; Liu, Chunlei; Roberts, Chris D.; Sanchez, Claudio; Ridley, Jeff; Thorpe, Livia; Hardiman, Steven C.; Mayer, Michael; Berry, David I.; Belcher, Stephen E.</t>
  </si>
  <si>
    <t>Critical Southern Ocean climate model biases traced to atmospheric model cloud errors</t>
  </si>
  <si>
    <t>SEA-ICE; HADLEY-CENTER; COUPLED MODEL; SURFACE FLUXES; GLOMAP-MODE; SST; CIRCULATION; SATELLITE; IMPACT; WATER</t>
  </si>
  <si>
    <t>The Southern Ocean is a pivotal component of the global climate system yet it is poorly represented in climate models, with significant biases in upper-ocean temperatures, clouds and winds. Combining Atmospheric and Coupled Model Inter-comparison Project (AMIP5/CMIP5) simulations, with observations and equilibrium heat budget theory, we show that across the CMIP5 ensemble variations in sea surface temperature biases in the 40-60 degrees S Southern Ocean are primarily caused by AMIP5 atmospheric model net surface flux bias variations, linked to cloud-related short-wave errors. Equilibration of the biases involves local coupled sea surface temperature bias feedbacks onto the surface heat flux components. In combination with wind feedbacks, these biases adversely modify upper-ocean thermal structure. Most AMIP5 atmospheric models that exhibit small net heat flux biases appear to achieve this through compensating errors. We demonstrate that targeted developments to cloud-related parameterisations provide a route to better represent the Southern Ocean in climate models and projections.</t>
  </si>
  <si>
    <t>[Hyder, Patrick; Edwards, John M.; Hewitt, Helene T.; Gregory, Jonathan M.; Wood, Richard A.; Mulcahy, Jane; Field, Paul; Furtado, Kalli; Bodas-Salcedo, Alejandro; Williams, Keith D.; Copsey, Dan; Roberts, Chris D.; Sanchez, Claudio; Ridley, Jeff; Thorpe, Livia; Hardiman, Steven C.; Belcher, Stephen E.] Met Off Hadley Ctr, FitzRoy Rd, Exeter, Devon, England; [Allan, Richard P.; Liu, Chunlei] Univ Reading, Dept Meteorol, POB 243,Whiteknights Campus Earley Gate, Reading RG6 6BB, Berks, England; [Allan, Richard P.; Liu, Chunlei] Univ Reading, NCEO, POB 243,Whiteknights Campus Earley Gate, Reading RG6 6BB, Berks, England; [Bracegirdle, Thomas J.; Meijers, Andrew J. S.] British Antarctic Survey, Madingley Rd, Cambridge CB3 0ET, England; [Gregory, Jonathan M.] Univ Reading, NCAS, POB 243,Whiteknights Campus Earley Gate, Reading RG6 6BB, Berks, England; [Field, Paul] Univ Leeds, Sch Earth &amp; Environm, Leeds LS2 9JT, W Yorkshire, England; [Josey, Simon A.; Berry, David I.] Natl Oceanog Ctr, European Way, Southampton SO14 3ZH, Hants, England; [Mayer, Michael] Univ Vienna, Dept Meteorol &amp; Geophys, Althanstr 14, A-1090 Vienna, Austria</t>
  </si>
  <si>
    <t>Met Office - UK; Hadley Centre; University of Reading; UK Research &amp; Innovation (UKRI); Natural Environment Research Council (NERC); NERC National Centre for Earth Observation; University of Reading; UK Research &amp; Innovation (UKRI); Natural Environment Research Council (NERC); NERC British Antarctic Survey; University of Reading; UK Research &amp; Innovation (UKRI); Natural Environment Research Council (NERC); NERC National Centre for Atmospheric Science; University of Leeds; NERC National Oceanography Centre; University of Southampton; University of Vienna</t>
  </si>
  <si>
    <t>Hyder, P (corresponding author), Met Off Hadley Ctr, FitzRoy Rd, Exeter, Devon, England.</t>
  </si>
  <si>
    <t>patrick.hyder@metoffice.gov.uk</t>
  </si>
  <si>
    <t>Belcher, Stephen/G-2911-2011; Roberts, Christopher David/AAA-6692-2020; Keyes, Dennis/AAZ-9285-2021; Bracegirdle, Tom/AAD-6060-2020; Hardiman, Steven/HDO-0165-2022; Wood, Richard/HKW-7781-2023; Roberts, Christopher D/F-6197-2011; Allan, Richard Philip/B-5782-2008; Roberts, Christopher D/GRR-4034-2022; Gregory, Jonathan/J-2939-2016; Furtado, Kalli J/T-9845-2018; Berry, David/C-1268-2011</t>
  </si>
  <si>
    <t>Roberts, Christopher David/0000-0002-2958-6637; Roberts, Christopher D/0000-0002-2958-6637; Allan, Richard Philip/0000-0003-0264-9447; Roberts, Christopher D/0000-0002-2958-6637; Gregory, Jonathan/0000-0003-1296-8644; Furtado, Kalli J/0000-0002-5166-112X; Hewitt, Helene/0000-0001-7432-6001; Berry, David/0000-0002-3862-3479; Mulcahy, Jane/0000-0002-0870-7380; Bodas-Salcedo, Alejandro/0000-0002-7890-2536; Sanchez, Claudio/0000-0002-5069-6849</t>
  </si>
  <si>
    <t>Joint UK BEIS/Defra Met Office Hadley Centre Climate Programme [GA01101]; Public Weather Service; UK National Environment Research Council (NERC) [DEEP-C NE/K005480/1, HOSTACE NE/J020788/1, SMURPHS NE/N006054/1, ORCHESTRA NE/N018095/1]; BAS core science programme Polar Science for Planet Earth; Austrian Science Fund [P28818]; Austrian Science Fund (FWF) [P28818] Funding Source: Austrian Science Fund (FWF); NERC [NE/N018095/1, NE/R016518/1, NE/N006054/1, NE/K005480/1, nceo020006, NE/N006038/1, bas0100033, bas0100032] Funding Source: UKRI</t>
  </si>
  <si>
    <t>Joint UK BEIS/Defra Met Office Hadley Centre Climate Programme; Public Weather Service; UK National Environment Research Council (NERC)(UK Research &amp; Innovation (UKRI)Natural Environment Research Council (NERC)); BAS core science programme Polar Science for Planet Earth; Austrian Science Fund(Austrian Science Fund (FWF)); Austrian Science Fund (FWF)(Austrian Science Fund (FWF)); NERC(UK Research &amp; Innovation (UKRI)Natural Environment Research Council (NERC))</t>
  </si>
  <si>
    <t>Met Office authors were supported by the Joint UK BEIS/Defra Met Office Hadley Centre Climate Programme (GA01101) and Public Weather Service. The UK National Environment Research Council (NERC) Projects/Programmes DEEP-C NE/K005480/1 (R.A., C.L., P.H., J.G.), HOSTACE NE/J020788/1 (D.B.), SMURPHS NE/N006054/1 (R.A., C.L., S.J., J.G.), ORCHESTRA NE/N018095/1 (A.M., P.H., S.J.) and the BAS core science programme Polar Science for Planet Earth (T.B.) funded or supported author contributions. MM was funded by Austrian Science Fund project P28818. Malcolm Brooks undertook HadGEM3 GC3-A surface albedo scheme developments. Dave Storkey, Daley Calvert and Tim Graham contributed to HadGEM3-GC3 ocean model developments. We thank Sean Milton, Matt Palmer, Colin Jones, Till Kuhlbrodt, Keith Haines, Mike Bell, Phillip Brohan and Maria Valdivieso for useful discussion. We acknowledge the World Climate Research Programme's Working Group on Coupled Modelling, which is responsible for CMIP, and we thank the climate modelling groups (listed in Supplementary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We are grateful to Sarah Gille, Steven Seims and two anonymous reviewers for useful comments over several reviews that led to many improvements to this manuscript (since its original submission to Nature Climate Change in November 2016).</t>
  </si>
  <si>
    <t>SEP 11</t>
  </si>
  <si>
    <t>10.1038/s41467-018-05634-2</t>
  </si>
  <si>
    <t>GT2AV</t>
  </si>
  <si>
    <t>Green Accepted, Green Published, gold</t>
  </si>
  <si>
    <t>WOS:000444282200001</t>
  </si>
  <si>
    <t>Roberts, CD; Senan, R; Molteni, F; Boussetta, S; Mayer, M; Keeley, SPE</t>
  </si>
  <si>
    <t>Roberts, Christopher D.; Senan, Retish; Molteni, Franco; Boussetta, Souhail; Mayer, Michael; Keeley, Sarah P. E.</t>
  </si>
  <si>
    <t>Climate model configurations of the ECMWF Integrated Forecasting System (ECMWF-IFS cycle 43r1) for HighResMIP</t>
  </si>
  <si>
    <t>MERIDIONAL OVERTURNING CIRCULATION; ANTARCTIC CIRCUMPOLAR CURRENT; NUMERICAL WEATHER PREDICTION; HIGH-RESOLUTION VERSION; TEMPERATURE DATA SET; SOUTHERN-OCEAN; ENERGY BUDGET; ICE MODEL; EC-EARTH; IMPACT</t>
  </si>
  <si>
    <t>This paper presents atmosphere-only and coupled climate model configurations of the European Centre for Medium-Range Weather Forecasts Integrated Forecasting System (ECMWF-IFS) for different combinations of ocean and atmosphere resolution. These configurations are used to perform multi-decadal ensemble experiments following the protocols of the High Resolution Model Intercomparison Project (HighResMIP) and phase 6 of the Coupled Model Intercomparison Project (CMIP6). These experiments are used to evaluate the sensitivity of major biases in the atmosphere, ocean, and cryosphere to changes in atmosphere and ocean resolution. All configurations successfully reproduce the observed long-term trends in global mean surface temperature. Furthermore, following an adjustment to account for drift in the subsurface ocean, coupled configurations of ECMWF-IFS realistically reproduce observation-based estimates of ocean heat content change since 1950. Climatological surface biases in ECMWF-IFS are relatively insensitive to an increase in atmospheric resolution from similar to 50 to similar to 25 km. However, increasing the horizontal resolution of the atmosphere while maintaining the same vertical resolution enhances the magnitude of a cold bias in the lower stratosphere. In coupled configurations, there is a strong sensitivity to an increase in ocean model resolution from 1 to 0.25 degrees. However, this sensitivity to ocean resolution takes many years to fully manifest and is less apparent in the first year of integration. This result has implications for the ECMWF coupled model development strategy that typically relies on the analysis of biases in short (&lt; 1 year) ensemble (re)forecast data sets. The impacts of increased ocean resolution are particularly evident in the North Atlantic and Arctic, where they are associated with an improved Atlantic meridional overturning circulation, increased meridional ocean heat transport, and more realistic sea-ice cover. In the tropical Pacific, increased ocean resolution is associated with improvements to the magnitude and asymmetry of El Nino-Southern Oscillation (ENSO) variability and better representation of non-linear sea surface temperature (SST)-radiation feedbacks during warm events. However, increased ocean model resolution also increases the magnitude of a warm bias in the Southern Ocean. Finally, there is tentative evidence that both ocean coupling and increased atmospheric resolution can improve teleconnections between tropical Pacific rainfall and geopotential height anomalies in the North Atlantic.</t>
  </si>
  <si>
    <t>[Roberts, Christopher D.; Senan, Retish; Molteni, Franco; Boussetta, Souhail; Mayer, Michael; Keeley, Sarah P. E.] European Ctr Medium Range Weather Forecasts, Shinfield Pk, Reading RG2 9AX, Berks, England; [Roberts, Christopher D.] Met Off, Fitzroy Rd, Exeter EX1 3PB, Devon, England</t>
  </si>
  <si>
    <t>European Centre for Medium-Range Weather Forecasts (ECMWF); Met Office - UK</t>
  </si>
  <si>
    <t>Roberts, CD (corresponding author), European Ctr Medium Range Weather Forecasts, Shinfield Pk, Reading RG2 9AX, Berks, England.;Roberts, CD (corresponding author), Met Off, Fitzroy Rd, Exeter EX1 3PB, Devon, England.</t>
  </si>
  <si>
    <t>chris.roberts@ecmwf.int</t>
  </si>
  <si>
    <t>Roberts, Christopher D/GRR-4034-2022; Roberts, Christopher D/F-6197-2011; Keeley, Sarah P E/G-3352-2016; Roberts, Christopher David/AAA-6692-2020; Senan, Retish/AAF-1798-2019; Senan, Retish/HJI-3881-2023</t>
  </si>
  <si>
    <t>Roberts, Christopher D/0000-0002-2958-6637; Roberts, Christopher D/0000-0002-2958-6637; Keeley, Sarah P E/0000-0002-8046-765X; Roberts, Christopher David/0000-0002-2958-6637; Senan, Retish/0000-0003-1949-1893; Boussetta, Souhail/0000-0001-8646-8701</t>
  </si>
  <si>
    <t>European Union's Horizon 2020 programme [641727]</t>
  </si>
  <si>
    <t>European Union's Horizon 2020 programme</t>
  </si>
  <si>
    <t>This work is a contribution to the PRIMAVERA project, which is funded by the European Union's Horizon 2020 programme, grant agreement no. 641727. ECMWF provided institutional support and access to high-performance computing. We acknowledge the many contributors to the IFS code, both past and present, from ECMWF and the EC-Earth consortium. In particular, we acknowledge the EC-Earth consortium for supporting the implementation of the MACv2-SP aerosol scheme. We thank Magdalena Balmaseda and two anonymous reviewers for insightful comments on an earlier version of the manuscript, and Kristian Mogensen for help with the development of the ECMWF-IFS configuration.</t>
  </si>
  <si>
    <t>10.5194/gmd-11-3681-2018</t>
  </si>
  <si>
    <t>GT2MZ</t>
  </si>
  <si>
    <t>WOS:000444329700002</t>
  </si>
  <si>
    <t>Datta, RT; Tedesco, M; Agosta, C; Fettweis, X; Munneke, PK; van den Broeke, MR</t>
  </si>
  <si>
    <t>Datta, Rajashree Tri; Tedesco, Marco; Agosta, Cecile; Fettweis, Xavier; Munneke, Peter Kuipers; van den Broeke, Michiel R.</t>
  </si>
  <si>
    <t>Melting over the northeast Antarctic Peninsula (1999-2009): evaluation of a high-resolution regional climate model</t>
  </si>
  <si>
    <t>SURFACE MASS-BALANCE; GREENLAND ICE-SHEET; SCATTEROMETER DATA; MICROWAVE SENSORS; SNOW-COVER; SHELF; TEMPERATURE; MELTWATER; COLLAPSE; RETREAT</t>
  </si>
  <si>
    <t>Surface melting over the Antarctic Peninsula (AP) may impact the stability of ice shelves and thus the rate at which grounded ice is discharged into the ocean. Energy and mass balance models are needed to understand how climatic change and atmospheric circulation variability drive current and future melting. In this study, we evaluate the regional climate model MAR over the AP at a 10 km spatial resolution between 1999 and 2009, a period when active microwave data from the QuikSCAT mission is available. This model has been validated extensively over Greenland, has is applied here to the AP at a high resolution and for a relatively long time period (full outputs are available to 2014). We find that melting in the northeastern AP, the focus area of this study, can be initiated both by sporadic westerly fohn flow over the AP mountains and by northerly winds advecting warm air from lower latitudes. A comparison of MAR with satellite and automatic weather station (AWS) data reveals that satellite estimates show greater melt frequency, a larger melt extent, and a quicker expansion to peak melt extent than MAR in the centre and east of the Larsen C ice shelf. These differences are reduced in the north and west of the ice shelf, where the comparison with satellite data suggests that MAR is accurately capturing melt produced by warm westerly winds. MAR shows an overall warm bias and a cool bias at temperatures above 0 degrees C as well as fewer warm, strong westerly winds than reported by AWS stations located on the eastern edge of the Larsen C ice shelf, suggesting that the underestimation of melt in this region may be the product of limited eastward flow. At higher resolutions (5 km), MAR shows a further increase in wind biases and a decrease in meltwater production. We conclude that non-hydrostatic models at spatial resolutions better than 5 km are needed to better-resolve the effects of fohn winds on the eastern edges of the Larsen C ice shelf.</t>
  </si>
  <si>
    <t>[Datta, Rajashree Tri] CUNY, Grad Ctr, New York, NY 10016 USA; [Tedesco, Marco] Columbia Univ, Lamont Doherty Earth Observ, New York, NY 10964 USA; [Agosta, Cecile; Fettweis, Xavier] Univ Liege, Dept Geog, Liege, Belgium; [Munneke, Peter Kuipers; van den Broeke, Michiel R.] Univ Utrecht, Inst Marine &amp; Atmospher Res, Utrecht, Netherlands</t>
  </si>
  <si>
    <t>City University of New York (CUNY) System; Columbia University; University of Liege; Utrecht University</t>
  </si>
  <si>
    <t>Datta, RT (corresponding author), CUNY, Grad Ctr, New York, NY 10016 USA.</t>
  </si>
  <si>
    <t>tri.datta@gmail.com</t>
  </si>
  <si>
    <t>Agosta, Cécile/HLQ-5577-2023; Van den Broeke, Michiel R./F-7867-2011; Agosta, Cécile/B-9625-2013</t>
  </si>
  <si>
    <t>Van den Broeke, Michiel R./0000-0003-4662-7565; Agosta, Cécile/0000-0003-4091-1653; Datta, Rajashree Tri/0000-0003-2241-0687; Fettweis, Xavier/0000-0002-4140-3813</t>
  </si>
  <si>
    <t>National Science Foundation [1131973]</t>
  </si>
  <si>
    <t>This research was funded by the National Science Foundation, grant 1131973. Thanks to the University of Wisconsin Madison for the use of AWS data, to Nick Steiner for help with the processing of QuikSCAT melt occurrence and especially to Patrick Alexander and Kate Briggs for their constructive reviews of early versions of the manuscript.</t>
  </si>
  <si>
    <t>SEP 10</t>
  </si>
  <si>
    <t>10.5194/tc-12-2901-2018</t>
  </si>
  <si>
    <t>GT2NO</t>
  </si>
  <si>
    <t>gold, Green Submitted, Green Published</t>
  </si>
  <si>
    <t>WOS:000444332300001</t>
  </si>
  <si>
    <t>Gasiorek, P; Stec, D; Zawierucha, K; Kristensen, RM; Michalczyk, L</t>
  </si>
  <si>
    <t>Gasiorek, Piotr; Stec, Daniel; Zawierucha, Krzysztof; Kristensen, Reinhardt Mobjerg; Michalczyk, Lukasz</t>
  </si>
  <si>
    <t>Revision of Testechiniscus Kristensen, 1987 (Heterotardigrada : Echiniscidae) refutes the polar-temperate distribution of the genus</t>
  </si>
  <si>
    <t>ZOOTAXA</t>
  </si>
  <si>
    <t>Afrotropic; Antarctic; Arctic; glacial refugia; Holarctic; T. laterculus; T. macronyx; T. meridionalis; T. spitsbergensis; ventral plates</t>
  </si>
  <si>
    <t>INTEGRATIVE DESCRIPTION; MOLECULAR-DATA; BRITISH-COLUMBIA; VANCOUVER-ISLAND; TARDIGRADA; PHYLOGENY; EUTARDIGRADA; REDESCRIPTION; SPITSBERGEN; EVOLUTION</t>
  </si>
  <si>
    <t>The family Echiniscidae comprises limno-terrestrial heterotardigrades with a strongly sclerotised dorsum, typically covered with plates. Among other members of the Echiniscus evolutionary line, the genus Testechiniscus Kristensen, 1987 stands out with well-developed ventral armature and polygonal sculpturing of the dorsal plates. It has alleged bipolar distribution (with satellite alpine records in the Holarctic). Thanks to fresh material from terra typica (Svalbard), we integratively redescribe (i.e. using light and electron microscopy imaging, morphometry, and molecular methods) the nominal species for the genus, Testechiniscus spitsbergensis (Scourfield, 1897). A comparison of the neotype series with a number of Holarctic records revealed morphological variability suggesting that the species may encompass several taxa, which, most likely, will be possible to delineate primarily with molecular tools. Moreover, based on material from Simien Mountains (Northern Ethiopia), we describe a new sibling subspecies, Testechiniscus spitsbergensis tropicalis ssp. nov. Extensive morphometric datasets are provided for the genus members for the first time. A new generic definition is proposed, embracing the two subspecies of T. spitsbergensis and T. laterculus (Schuster et al., 1980), but excluding two circum-Antarctic species, T. macronyx (Richters, 1907) and T. meridionalis (Murray, 1906). The later species are likely to be erected in the future as separate genera, and their autapomorphies are described here. In the light of our findings, the genus Testechiniscus should be recognised as a native element of the Northern Hemisphere, with mainly circum-Arctic distribution and additional, insular alpine records from the Nearctic, Palearctic and Eastern Afrotropic.</t>
  </si>
  <si>
    <t>[Gasiorek, Piotr; Stec, Daniel; Michalczyk, Lukasz] Jagiellonian Univ, Inst Zool &amp; Biomed Res, Gronostajowa 9, PL-30387 Krakow, Poland; [Zawierucha, Krzysztof] Adam Mickiewicz Univ, Inst Environm Sci, Umultowska 89, PL-61614 Poznan, Poland; [Kristensen, Reinhardt Mobjerg] Univ Copenhagen, Nat Hist Museum Denmark, Sect Biosystemat, Univ Pk 15, DK-2100 Copenhagen, Denmark</t>
  </si>
  <si>
    <t>Jagiellonian University; Adam Mickiewicz University; University of Copenhagen</t>
  </si>
  <si>
    <t>Michalczyk, L (corresponding author), Jagiellonian Univ, Inst Zool &amp; Biomed Res, Gronostajowa 9, PL-30387 Krakow, Poland.</t>
  </si>
  <si>
    <t>LM@tardigrada.net</t>
  </si>
  <si>
    <t>Stec, Daniel/AAL-3532-2020; Zawierucha, Krzysztof/HTP-6506-2023; Zawierucha, Krzysztof/HDN-5985-2022; Kristensen, Reinhardt M/A-8772-2013; Gąsiorek, Piotr/L-3152-2017; Michalczyk, Lukasz/D-1362-2009</t>
  </si>
  <si>
    <t>Zawierucha, Krzysztof/0000-0002-0754-1411; Gąsiorek, Piotr/0000-0002-2814-8117; Stec, Daniel/0000-0001-6876-0717; Michalczyk, Lukasz/0000-0002-2912-4870</t>
  </si>
  <si>
    <t>European Commission [DK-TAF-5609]; Jagiellonian University [K/ZDS/007357]; National Centre for Research and Development under the Norwegian Financial Mechanism [Pol-Nor/201992/93/2014]</t>
  </si>
  <si>
    <t>European Commission(European Union (EU)European Commission Joint Research Centre); Jagiellonian University; National Centre for Research and Development under the Norwegian Financial Mechanism</t>
  </si>
  <si>
    <t>The work was supported by a grant from the European Commission's programme Transnational Access to Major Research Infrastructures to SYNTHESYS (grant no. DK-TAF-5609) to DS and by the Jagiellonian University (subsidy K/ZDS/007357 to LM). Moreover, KZ received funding for morphometric analysis and sampling from the Polish-Norwegian Research Programme operated by the National Centre for Research and Development under the Norwegian Financial Mechanism 2009-2014 (project no. Pol-Nor/201992/93/2014).</t>
  </si>
  <si>
    <t>MAGNOLIA PRESS</t>
  </si>
  <si>
    <t>AUCKLAND</t>
  </si>
  <si>
    <t>PO BOX 41383, AUCKLAND, ST LUKES 1030, NEW ZEALAND</t>
  </si>
  <si>
    <t>1175-5326</t>
  </si>
  <si>
    <t>1175-5334</t>
  </si>
  <si>
    <t>Zootaxa</t>
  </si>
  <si>
    <t>10.11646/zootaxa.4472.2.3</t>
  </si>
  <si>
    <t>GS8FR</t>
  </si>
  <si>
    <t>WOS:000443944300003</t>
  </si>
  <si>
    <t>Schirrmeister, L; Bobrov, A; Raschke, E; Herzschuh, U; Strauss, J; Pestryakova, LA; Wetterich, S</t>
  </si>
  <si>
    <t>Schirrmeister, L.; Bobrov, A.; Raschke, E.; Herzschuh, U.; Strauss, J.; Pestryakova, L. A.; Wetterich, S.</t>
  </si>
  <si>
    <t>Late Holocene ice-wedge polygon dynamics in northeastern Siberian coastal lowlands (vol 50, e1462595, 2018)</t>
  </si>
  <si>
    <t>ARCTIC ANTARCTIC AND ALPINE RESEARCH</t>
  </si>
  <si>
    <t>Correction</t>
  </si>
  <si>
    <t>Schirrmeister, Lutz/O-5584-2015; Wetterich, Sebastian/AAD-6569-2019; Pestryakova, Luidmila/Q-9900-2016; Schirrmeister, Lutz/AGW-0545-2022</t>
  </si>
  <si>
    <t>Schirrmeister, Lutz/0000-0001-9455-0596; Wetterich, Sebastian/0000-0001-9234-1192; Pestryakova, Luidmila/0000-0001-5347-4478; Schirrmeister, Lutz/0000-0001-9455-0596</t>
  </si>
  <si>
    <t>1523-0430</t>
  </si>
  <si>
    <t>1938-4246</t>
  </si>
  <si>
    <t>ARCT ANTARCT ALP RES</t>
  </si>
  <si>
    <t>Arct. Antarct. Alp. Res.</t>
  </si>
  <si>
    <t>e1514819</t>
  </si>
  <si>
    <t>10.1080/15230430.2018.1514819</t>
  </si>
  <si>
    <t>Environmental Sciences; Geography, Physical</t>
  </si>
  <si>
    <t>JD9YL</t>
  </si>
  <si>
    <t>WOS:000490344000001</t>
  </si>
  <si>
    <t>Everett, A; Kohler, J; Sundfjord, A; Kovacs, KM; Torsvik, T; Pramanik, A; Boehme, L; Lydersen, C</t>
  </si>
  <si>
    <t>Everett, Alistair; Kohler, Jack; Sundfjord, Arild; Kovacs, Kit M.; Torsvik, Tomas; Pramanik, Ankit; Boehme, Lars; Lydersen, Christian</t>
  </si>
  <si>
    <t>Subglacial discharge plume behaviour revealed by CTD-instrumented ringed seals</t>
  </si>
  <si>
    <t>TIDEWATER GLACIER; MELTWATER PLUMES; WEST GREENLAND; SUBMARINE MELT; MASS-BALANCE; RUNOFF; SVALBARD; FJORD; KONGSFJORDEN; DYNAMICS</t>
  </si>
  <si>
    <t>Subglacial discharge plumes increase submarine melting of marine-terminating glaciers significantly; however, in-situ data on their properties and behaviour are limited. We present oceanographic data collected by ringed seals (Pusa hispida) instrumented with GPS-equipped conductivity-temperaturedepth satellite relay data loggers (GPS-CTD-SRDLs) in Kongsfjorden, Svalbard, during 2012. The seals foraged just outside the plumes and collected hydrographic data from within the plumes' upwelling cores as they returned to the surface. The seals encountered water with fractions of subglacial discharge as high as 27% at 60 m below the ocean surface. The ringed seals responded rapidly to spatial and temporal variations in subglacial discharge at the glacier terminus, suggesting that prey becomes available quickly following the appearance of plumes. The seals' dive locations were used to monitor the presence of plumes over a four-month period. High surface runoff from Kronebreen catchment created strong plumes, but weak plumes were present even during periods of low surface runoff. The continued retreat of Kronebreen, and other tidewater glaciers, will lead to the loss of these marine-termini as the glaciers retreat onto land. The techniques presented here improve our understanding of the drivers of glacial retreat and the implications of future habitat loss for glacier-associated birds and mammals.</t>
  </si>
  <si>
    <t>[Everett, Alistair; Kohler, Jack; Sundfjord, Arild; Kovacs, Kit M.; Torsvik, Tomas; Pramanik, Ankit; Lydersen, Christian] Norwegian Polar Res Inst, Fram Ctr, N-9296 Tromso, Norway; [Pramanik, Ankit] ESSO Natl Ctr Antarctic &amp; Ocean Res, Vasco Da Gama 403804, Goa, India; [Boehme, Lars] Univ St Andrews, Scottish Oceans Inst, NERC Sea Mammal Res Unit, St Andrews, Fife, Scotland</t>
  </si>
  <si>
    <t>Norwegian Polar Institute; Ministry of Earth Sciences (MoES) - India; National Centre for Polar and Ocean Research (NCPOR); University of St Andrews</t>
  </si>
  <si>
    <t>Everett, A (corresponding author), Norwegian Polar Res Inst, Fram Ctr, N-9296 Tromso, Norway.</t>
  </si>
  <si>
    <t>alistair.everett@npolar.no</t>
  </si>
  <si>
    <t>Torsvik, Tomas/HJI-6278-2023; Boehme, Lars/B-6567-2009</t>
  </si>
  <si>
    <t>Torsvik, Tomas/0000-0001-9138-5847; Pramanik, Ankit/0000-0003-4991-9344; Kohler, Jack/0000-0003-1963-054X; Sundfjord, Arild/0000-0002-6913-3368; Boehme, Lars/0000-0003-3513-6816; Everett, Alistair/0000-0002-4045-4491</t>
  </si>
  <si>
    <t>Norwegian Polar Institute's Centre for Ice, Climate and Ecosystems (ICE); Research Council of Norway; TIGRIF (RCN) [243808/E40]; TW-ICE research programmes; Ministry of Earth Sciences, India [MoES/16/22/12-RDEAS]; NERC [NE/P005721/1] Funding Source: UKRI</t>
  </si>
  <si>
    <t>Norwegian Polar Institute's Centre for Ice, Climate and Ecosystems (ICE); Research Council of Norway(Research Council of Norway); TIGRIF (RCN); TW-ICE research programmes; Ministry of Earth Sciences, India; NERC(UK Research &amp; Innovation (UKRI)Natural Environment Research Council (NERC))</t>
  </si>
  <si>
    <t>This research was supported by the Norwegian Polar Institute's Centre for Ice, Climate and Ecosystems (ICE) and the Research Council of Norway. Some of this financial support was derived from the TIGRIF (RCN project number 243808/E40) and TW-ICE research programmes. AP was also funded by The Ministry of Earth Sciences, India, Grant/Award number: MoES/16/22/12-RDEAS (PhD fellowship-NPI). We thank Charmain Hamilton and Hans Lund for help with fieldwork. Landsat data were acquired from the Land Processes Distributed Active Archive Center (LP DAAC), located at USGS/EROS, Sioux Falls, SD. http://lpdaac.usgs.gov.</t>
  </si>
  <si>
    <t>SEP 7</t>
  </si>
  <si>
    <t>10.1038/s41598-018-31875-8</t>
  </si>
  <si>
    <t>GS9GC</t>
  </si>
  <si>
    <t>WOS:000444024100002</t>
  </si>
  <si>
    <t>Greene, CA; Young, DA; Gwyther, DE; Galton-Fenzi, BK; Blankenship, DD</t>
  </si>
  <si>
    <t>Greene, Chad A.; Young, Duncan A.; Gwyther, David E.; Galton-Fenzi, Benjamin K.; Blankenship, Donald D.</t>
  </si>
  <si>
    <t>Seasonal dynamics of Totten Ice Shelf controlled by sea ice buttressing</t>
  </si>
  <si>
    <t>GREENLAND OUTLET GLACIER; EAST ANTARCTICA; SUBGLACIAL DRAINAGE; JAKOBSHAVN ISBRAE; WEST GREENLAND; SURFACE MELT; SHEET; VARIABILITY; FLOW; MELANGE</t>
  </si>
  <si>
    <t>Previous studies of Totten Ice Shelf have employed surface velocity measurements to estimate its mass balance and understand its sensitivities to interannual changes in climate forcing. However, displacement measurements acquired over timescales of days to weeks may not accurately characterize long-term flow rates wherein ice velocity fluctuates with the seasons. Quantifying annual mass budgets or analyzing interannual changes in ice velocity requires knowing when and where observations of glacier velocity could be aliased by subannual variability. Here, we analyze 16 years of velocity data for Totten Ice Shelf, which we generate at subannual resolution by applying feature-tracking algorithms to several hundred satellite image pairs. We identify a seasonal cycle characterized by a spring to autumn speedup of more than 100 m yr(-1) close to the ice front. The amplitude of the seasonal cycle diminishes with distance from the open ocean, suggesting the presence of a resistive back stress at the ice front that is strongest in winter. Springtime acceleration precedes summer surface melt and is not attributable to thinning from basal melt. We attribute the onset of ice shelf acceleration each spring to the loss of buttressing from the breakup of seasonal landfast sea ice.</t>
  </si>
  <si>
    <t>[Greene, Chad A.; Young, Duncan A.; Blankenship, Donald D.] Univ Texas Austin, Inst Geophys, Jackson Sch Geosci, Austin, TX 78712 USA; [Gwyther, David E.] Univ Tasmania, Inst Marine &amp; Antarctic Studies, Hobart, Tas, Australia; [Galton-Fenzi, Benjamin K.] Australian Antarctic Div, Kingston, Tas 7050, Australia; [Galton-Fenzi, Benjamin K.] Univ Tasmania, Antarctic Climate &amp; Ecosyst Cooperat Res Ctr, Hobart, Tas 7001, Australia</t>
  </si>
  <si>
    <t>University of Texas System; University of Texas Austin; University of Tasmania; Australian Antarctic Division; Antarctic Climate &amp; Ecosystems Cooperative Research Centre (ACE CRC); University of Tasmania</t>
  </si>
  <si>
    <t>Greene, CA (corresponding author), Univ Texas Austin, Inst Geophys, Jackson Sch Geosci, Austin, TX 78712 USA.</t>
  </si>
  <si>
    <t>chad@chadagreene.com</t>
  </si>
  <si>
    <t>Gwyther, David E/Q-2987-2018; Greene, Chad/HTQ-9931-2023; Young, Duncan/G-6256-2010</t>
  </si>
  <si>
    <t>Gwyther, David E/0000-0002-7218-2785; Greene, Chad/0000-0001-6710-6297; Galton-Fenzi, Benjamin Keith/0000-0003-1404-4103; Young, Duncan/0000-0002-6866-8176</t>
  </si>
  <si>
    <t>G. Unger Vetlesen Foundation; NSF [PLR-1543452]; Australian Government's Cooperative Research Centre Programme through the Antarctic Climate &amp; Ecosystems Cooperative Research Centre; Australian Research Council's Special Research Initiative for Antarctic Gateway Partnership [SR140300001]</t>
  </si>
  <si>
    <t>G. Unger Vetlesen Foundation; NSF(National Science Foundation (NSF)); Australian Government's Cooperative Research Centre Programme through the Antarctic Climate &amp; Ecosystems Cooperative Research Centre(Australian GovernmentDepartment of Industry, Innovation and ScienceCooperative Research Centres (CRC) Programme); Australian Research Council's Special Research Initiative for Antarctic Gateway Partnership(Australian Research Council)</t>
  </si>
  <si>
    <t>We thank Mason J. Fried and Denis Felikson for many helpful discussions throughout the development of this work. We also thank Alex S. Gardner and the anonymous reviewer for providing feedback and suggestions that significantly improved the paper. This work was supported by the G. Unger Vetlesen Foundation and NSF grant PLR-1543452. Ocean modeling research was supported by the Australian Government's Cooperative Research Centre Programme through the Antarctic Climate &amp; Ecosystems Cooperative Research Centre, the Australian Research Council's Special Research Initiative for Antarctic Gateway Partnership (Project ID SR140300001) and computing resource grants m68, gh9 and nk1 from the Australian Government National Computing Infrastructure. This is UTIG contribution 3280.</t>
  </si>
  <si>
    <t>SEP 6</t>
  </si>
  <si>
    <t>10.5194/tc-12-2869-2018</t>
  </si>
  <si>
    <t>GS7LH</t>
  </si>
  <si>
    <t>gold, Green Submitted, Green Accepted</t>
  </si>
  <si>
    <t>WOS:000443882000002</t>
  </si>
  <si>
    <t>Genthon, C; Berne, A; Grazioli, J; Alarcón, CD; Praz, C; Boudevillain, B</t>
  </si>
  <si>
    <t>Genthon, Christophe; Berne, Alexis; Grazioli, Jacopo; Alarcon, Claudio Duran; Praz, Christophe; Boudevillain, Brice</t>
  </si>
  <si>
    <t>Precipitation at Dumont d'Urville, Adelie Land, East Antarctica: the APRES3 field campaigns dataset</t>
  </si>
  <si>
    <t>SNOWFALL MICROPHYSICS; POLARIMETRIC RADAR; POLARIZATION; PROFILES</t>
  </si>
  <si>
    <t>Compared to the other continents and lands, Antarctica suffers from a severe shortage of in situ observations of precipitation. APRES3 (Antarctic Precipitation, Remote Sensing from Surface and Space) is a program dedicated to improving the observation of Antarctic precipitation, both from the surface and from space, to assess climatologies and evaluate and ameliorate meteorological and climate models. A field measurement campaign was deployed at Dumont d'Urville station at the coast of Adelie Land in Antarctica, with an intensive observation period from November 2015 to February 2016 using X-band and K-band radars, a snow gauge, snowflake cameras and a disdrometer, followed by continuous radar monitoring through 2016 and beyond. Among other results, the observations show that a significant fraction of precipitation sublimates in a dry surface katabatic layer before it reaches and accumulates at the surface, a result derived from profiling radar measurements. While the bulk of the data analyses and scientific results are published in specialized journals, this paper provides a compact description of the dataset now archived in the PANGAEA data repository (https://www.pangaea.de, https://doi.org/10.1594/PANGAEA.883562) and made open to the scientific community to further its exploitation for Antarctic meteorology and climate research purposes.</t>
  </si>
  <si>
    <t>[Genthon, Christophe; Alarcon, Claudio Duran; Boudevillain, Brice] Univ Grenoble Alpes, CNRS, IRD, Grenoble INP,IGE, F-38000 Grenoble, France; [Berne, Alexis; Praz, Christophe] Ecole Polytech Fed Lausanne, Environm Engn Inst, Environm Remote Sensing Lab, Sch Architecture Civil &amp; Environm Engn, CH-1015 Lausanne, Switzerland; [Grazioli, Jacopo] MeteoSwiss, Fed Off Meteorol &amp; Climatol, Locarno, Switzerland</t>
  </si>
  <si>
    <t>Communaute Universite Grenoble Alpes; Institut National Polytechnique de Grenoble; Institut de Recherche pour le Developpement (IRD); Universite Grenoble Alpes (UGA); Centre National de la Recherche Scientifique (CNRS); Swiss Federal Institutes of Technology Domain; Ecole Polytechnique Federale de Lausanne; Federal Office of Meteorology &amp; Climatology (MeteoSwiss)</t>
  </si>
  <si>
    <t>Genthon, C (corresponding author), Univ Grenoble Alpes, CNRS, IRD, Grenoble INP,IGE, F-38000 Grenoble, France.</t>
  </si>
  <si>
    <t>christophe.genthon@cnrs.fr</t>
  </si>
  <si>
    <t>Durán-Alarcón, Claudio/AAU-3888-2020; Boudevillain, Brice/P-2457-2014</t>
  </si>
  <si>
    <t>Boudevillain, Brice/0000-0002-1771-4953; Berne, Alexis/0000-0003-4977-1204; Grazioli, Jacopo/0000-0002-7097-3946; Duran-Alarcon, Claudio/0000-0001-9559-8161; Genthon, Christophe/0000-0002-3678-4447</t>
  </si>
  <si>
    <t>French National Research Agency (ANR); Centre National d'Etudes Spatiales (CNES); Swiss National Science foundation (SNF) - [200021_163287]; Swiss National Science Foundation (SNF) [200021_163287] Funding Source: Swiss National Science Foundation (SNF)</t>
  </si>
  <si>
    <t>French National Research Agency (ANR)(Agence Nationale de la Recherche (ANR)Norwegian Agency for Development Cooperation - NORAD); Centre National d'Etudes Spatiales (CNES)(Centre National D'etudes Spatiales); Swiss National Science foundation (SNF) -(Swiss National Science Foundation (SNSF)); Swiss National Science Foundation (SNF)(Swiss National Science Foundation (SNSF))</t>
  </si>
  <si>
    <t>We thank the French Polar Institute, which logistically supports the APRES3 measurement campaigns. We particularly acknowledge the support of the French National Research Agency (ANR) to the APRES3 project. The Expecting Earth-Care, Learning from the ATrain (EECLAT) project funded by the Centre National d'Etudes Spatiales (CNES) also contributed support to this work. The Swiss National Science foundation (SNF) is acknowledged for grant 200021_163287, financing the Swiss participation in the project. PANGAEA is gratefully acknowledged for hosting and distributing the APRES3 data. Steve Colwell, of the British Antarctic Survey, and two anonymous reviewers provided thoughtful comments and suggestions that helped correct and clarify a number of issues in the preliminary manuscript.</t>
  </si>
  <si>
    <t>10.5194/essd-10-1605-2018</t>
  </si>
  <si>
    <t>GS7JC</t>
  </si>
  <si>
    <t>WOS:000443875800001</t>
  </si>
  <si>
    <t>Christiansen, H; Dettai, A; Heindler, FM; Collins, MA; Duhamel, G; Hautecoeur, M; Steinke, D; Volckaert, FAM; de Putte, APV</t>
  </si>
  <si>
    <t>Christiansen, Henrik; Dettai, Agnes; Heindler, Franz M.; Collins, Martin A.; Duhamel, Guy; Hautecoeur, Melyne; Steinke, Dirk; Volckaert, Filip A. M.; de Putte, Anton P. Van</t>
  </si>
  <si>
    <t>Diversity of Mesopelagic Fishes in the Southern Ocean - A Phylogeographic Perspective Using DNA Barcoding</t>
  </si>
  <si>
    <t>marine biodiversity; adaptation; Antarctic; COI; Myctophidae; phylogeny; rhodopsin</t>
  </si>
  <si>
    <t>POPULATION-STRUCTURE; SCOTIA SEA; MOLECULAR PHYLOGENETICS; MYCTOPHID FISH; ROSS SEA; TELEOSTEI; RHODOPSIN; EVOLUTION; ECOLOGY; GENUS</t>
  </si>
  <si>
    <t>Small mesopelagic fish are ubiquitous in the ocean, representing an important trophic link between zooplankton and tertiary consumers such as larger fish, marine mammals and birds. Lanternfishes (Myctophidae) are common worldwide as well as in the Southern Ocean. However, only 17 of the approximately 250 myctophid species occur exclusively in sub-Antarctic or Antarctic waters. It is unclear whether they colonized these latitudes once and diversified from there, or whether multiple colonization events took place in which multiple ancestral phenotypes entered the Southern Ocean at various times. Phylogeographic patterns have been investigated for individual myctophid species, but so far no study has compared species across the Southern Ocean. Here, we present a dataset with previously unpublished cytochrome c oxidase I (COI; n = 299) and rhodopsin (rh1; n = 87) gene sequences from specimens collected at various locations in the Southern Ocean. Our data extend the DNA barcode library of Antarctic mesopelagic fish substantially. Combined morphological and molecular taxonomy lead to confident species level identification in 271 out of 299 cases, providing a robust reference dataset for specimen identification, independently of incomplete morphological characters. This is highly topical in light of prospective ecological metabarcoding studies. Unambiguous sequences were subsequently combined with publicly available sequences of the global DNA barcode library yielding a dataset of over 1,000 individuals for phylogenetic and phylogeographic inference. Maximum likelihood trees were compared with results of recent studies and with the geographical origin of the samples. As expected for these markers, deep phylogenetic relationships remain partially unclear. However, COI offers unmatched sample and taxon coverage and our results at the subfamily to genus level concur to a large extent with other studies. Southern Ocean myctophids are from at least three distant subfamilies suggesting that colonization has occurred repeatedly. Overall, spatial divergence of myctophids is rare, potentially due to their enormous abundance and the homogenizing force of ocean currents. However, we highlight potential (pseudo-)cryptic or unrecognized species in Gymnoscopelus bolini, Lampanyctus achirus, and the non-myctophid genus Bathylagus.</t>
  </si>
  <si>
    <t>[Christiansen, Henrik; Heindler, Franz M.; Volckaert, Filip A. M.; de Putte, Anton P. Van] Katholieke Univ Leuven, Lab Biodivers &amp; Evolutionary Genom, Leuven, Belgium; [Dettai, Agnes] Sorbonne Univ, Museum Natl Hist Nat, Dept Systemat &amp; Evolut, ISYEB,MNHN,EPHE,CNRS,UMR 7205, Paris, France; [Collins, Martin A.] Ctr Environm Fisheries &amp; Aquaculture Sci, Lowestoft, Suffolk, England; [Duhamel, Guy; Hautecoeur, Melyne] Museum Natl Hist Nat, Dept Milieux &amp; Peuplements Aquat, BOREA, UMR 7208, Paris, France; [Steinke, Dirk] Univ Guelph, Ctr Biodivers Genom, Guelph, ON, Canada; [Steinke, Dirk] Univ Guelph, Dept Integrat Biol, Guelph, ON, Canada; [de Putte, Anton P. Van] Royal Belgian Inst Nat Sci, OD Nat, Brussels, Belgium</t>
  </si>
  <si>
    <t>KU Leuven; Centre National de la Recherche Scientifique (CNRS); CNRS - Institute of Ecology &amp; Environment (INEE); Universite PSL; Ecole Pratique des Hautes Etudes (EPHE); Museum National d'Histoire Naturelle (MNHN); Sorbonne Universite; Centre for Environment Fisheries &amp; Aquaculture Science; Centre National de la Recherche Scientifique (CNRS); CNRS - Institute of Ecology &amp; Environment (INEE); Institut de Recherche pour le Developpement (IRD); Museum National d'Histoire Naturelle (MNHN); Sorbonne Universite; University of Guelph; University of Guelph; Royal Belgian Institute of Natural Sciences</t>
  </si>
  <si>
    <t>Christiansen, H (corresponding author), Katholieke Univ Leuven, Lab Biodivers &amp; Evolutionary Genom, Leuven, Belgium.</t>
  </si>
  <si>
    <t>henrik.christiansen@kuleuven.be</t>
  </si>
  <si>
    <t>Van de Putte, Anton P/F-6877-2012; Collins, Martin A/J-8560-2017; Dettai, Agnes/Q-6743-2019; Volckaert, Filip/AAC-7691-2019; Christiansen, Henrik/GXG-6057-2022; , Martin/ABE-6728-2020; Heindler, Franz Maximilian/C-2365-2018</t>
  </si>
  <si>
    <t>Christiansen, Henrik/0000-0001-7114-5854; , Martin/0000-0001-7132-8650; Heindler, Franz Maximilian/0000-0003-4305-7296; Van de Putte, Anton/0000-0003-1336-5554</t>
  </si>
  <si>
    <t>government of France; government of Canada; network Bibliotheque du Vivant - CNRS [UMS2700]; MNHN; INRA; CEA (Centre Nacional de Sequencage); Belgian project vERSO; Belgian project RECTO; Belgian Science Policy Office (BELSPO) [BR/132/A1/vERSO]; Flanders Innovation and Entrepreneurship (VLAIO) [141328]; Alfred P. Sloan Foundation; Food From Thought research program - Canada First Research Excellence Fund</t>
  </si>
  <si>
    <t>government of France; government of Canada(CGIAR); network Bibliotheque du Vivant - CNRS; MNHN; INRA; CEA (Centre Nacional de Sequencage); Belgian project vERSO; Belgian project RECTO; Belgian Science Policy Office (BELSPO)(Belgian Federal Science Policy Office); Flanders Innovation and Entrepreneurship (VLAIO); Alfred P. Sloan Foundation(Alfred P. Sloan Foundation); Food From Thought research program - Canada First Research Excellence Fund</t>
  </si>
  <si>
    <t>Molecular work including sequencing was supported by the governments of France and Canada. The former through the Service de Systematique Moleculaire of the Museum National d'Histoire Naturelle (MNHN; UMS2700), supported by the network Bibliotheque du Vivant funded by the CNRS, the MNHN, the INRA, and the CEA (Centre Nacional de Sequencage). The latter through Genome Canada and the Ontario Genomics Institute for the International Barcode of Life Project. This work was further supported by the Belgian projects vERSO and RECTO (http://rectoversoprojects.be). This is contribution no. 25 to the vERSO project, funded by the Belgian Science Policy Office (BELSPO, Contract no. BR/132/A1/vERSO). The first author was funded by a grant from the former Flemish agency for Innovation by Science and Technology, now Flanders Innovation and Entrepreneurship (VLAIO, grant no. 141328). DS was supported by the Alfred P. Sloan Foundation and the Food From Thought research program funded by the Canada First Research Excellence Fund.</t>
  </si>
  <si>
    <t>SEP 5</t>
  </si>
  <si>
    <t>10.3389/fevo.2018.00120</t>
  </si>
  <si>
    <t>HC6IU</t>
  </si>
  <si>
    <t>WOS:000451906200001</t>
  </si>
  <si>
    <t>Solanki, H; Angulo-Preckler, C; Calabro, K; Kaur, N; Lasserre, P; Cautain, B; de la Cruz, M; Reyes, F; Avila, C; Thomas, OP</t>
  </si>
  <si>
    <t>Solanki, Hiren; Angulo-Preckler, Carlos; Calabro, Kevin; Kaur, Navdeep; Lasserre, Perrine; Cautain, Bastien; de la Cruz, Mercedes; Reyes, Fernando; Avila, Conxita; Thomas, Olivier P.</t>
  </si>
  <si>
    <t>Suberitane sesterterpenoids from the Antarctic sponge Phorbas areolatus (Thiele, 1905)</t>
  </si>
  <si>
    <t>TETRAHEDRON LETTERS</t>
  </si>
  <si>
    <t>Sesterterpene; Sponge; Polar regions; Cytotoxicity; Antarctica; Phorbas</t>
  </si>
  <si>
    <t>MARINE NATURAL-PRODUCTS; CHEMICAL DEFENSES; INVERTEBRATES; PALATABILITY</t>
  </si>
  <si>
    <t>Following ecological and chemical screenings, the Antarctic sponge Phorbas areolatus was chemically investigated for the first time. Three new suberitane derivatives named isosuberitenone B, 19-episuberitenone B, and isoxaspirosuberitenone were identified together with the known compounds suberitenones A and B, and oxaspirosuberitenone after a thorough inspection of their NMR data. These compounds were found to exhibit moderate cytotoxic activity and their presence in this sponge rules out their use as a chemotaxonomic marker for Suberites sponges. (C) 2018 Elsevier Ltd. All rights reserved.</t>
  </si>
  <si>
    <t>[Solanki, Hiren; Calabro, Kevin; Kaur, Navdeep; Lasserre, Perrine; Thomas, Olivier P.] Natl Univ Ireland Galway NUI Galway, Sch Chem, Marine Biodiscovery, Univ Rd, Galway H91 TK33, Ireland; [Solanki, Hiren; Calabro, Kevin; Kaur, Navdeep; Lasserre, Perrine; Thomas, Olivier P.] Natl Univ Ireland Galway NUI Galway, Ryan Inst, Univ Rd, Galway H91 TK33, Ireland; [Angulo-Preckler, Carlos; Avila, Conxita] Univ Barcelona, Biodivers Res Inst IrBIO, Fac Biol, Dept Evolutionary Biol Ecol &amp; Environm Sci, Av Diagonal 643, E-08028 Barcelona, Catalonia, Spain; [Cautain, Bastien; de la Cruz, Mercedes; Reyes, Fernando] Fdn MEDINA, Ctr Excelencia Invest Medicamentos Innovadores An, Avda Conocimiento 34,Parque Tecnol Ciencias Salud, E-18016 Granada, Spain</t>
  </si>
  <si>
    <t>University of Barcelona</t>
  </si>
  <si>
    <t>Thomas, OP (corresponding author), Natl Univ Ireland Galway NUI Galway, Sch Chem, Marine Biodiscovery, Univ Rd, Galway H91 TK33, Ireland.;Thomas, OP (corresponding author), Natl Univ Ireland Galway NUI Galway, Ryan Inst, Univ Rd, Galway H91 TK33, Ireland.;Avila, C (corresponding author), Univ Barcelona, Biodivers Res Inst IrBIO, Fac Biol, Dept Evolutionary Biol Ecol &amp; Environm Sci, Av Diagonal 643, E-08028 Barcelona, Catalonia, Spain.</t>
  </si>
  <si>
    <t>conxita.avila@ub.edu; olivier.thomas@nuigalway.ie</t>
  </si>
  <si>
    <t>Angulo_Preckler, Carlos/A-6456-2011; Calabro, Kevin/AAZ-6412-2021; Reyes, Fernando/G-4027-2013; Avila, Conxita/B-9466-2008; DE LA CRUZ MORENO, MERCEDES/M-1533-2014</t>
  </si>
  <si>
    <t>Angulo_Preckler, Carlos/0000-0001-9028-274X; Reyes, Fernando/0000-0003-1607-5106; Avila, Conxita/0000-0002-5489-8376; DE LA CRUZ MORENO, MERCEDES/0000-0002-2389-8576; THOMAS, Olivier/0000-0002-5708-1409; Lasserre, Perrine/0000-0001-8927-5649; Cautain, Bastien/0000-0002-1324-3576</t>
  </si>
  <si>
    <t>NUI Galway; Marine Institute [PBA/MB/16/01]; Marine Research Programme by the Irish Government; Spanish Government [CTM2010-17415/ANT, CTM2013-42667/ANT]; Spanish Government (grant ACTIQUIM-II); Spanish Government (grants DISTANTCOM)</t>
  </si>
  <si>
    <t>NUI Galway; Marine Institute; Marine Research Programme by the Irish Government; Spanish Government(Spanish Government); Spanish Government (grant ACTIQUIM-II); Spanish Government (grants DISTANTCOM)</t>
  </si>
  <si>
    <t>We acknowledge NUI Galway for supporting the scholarship of H.S and for providing a start-up grant to O.P.T. This project (Grant Aid Agreement No. PBA/MB/16/01) is also carried out with the support of the Marine Institute and is funded under the Marine Research Programme by the Irish Government. Funding was also provided by the Spanish Government to C.A. (grants ACTIQUIM-II and DISTANTCOM; CTM2010-17415/ANT and CTM2013-42667/ANT). We are grateful to R. Doohan (NUIG) for recording NMR spectra and A. Riesgo (Natural History Museum of London) for sponge identification.</t>
  </si>
  <si>
    <t>0040-4039</t>
  </si>
  <si>
    <t>TETRAHEDRON LETT</t>
  </si>
  <si>
    <t>Tetrahedron Lett.</t>
  </si>
  <si>
    <t>10.1016/j.tetlet.2018.07.055</t>
  </si>
  <si>
    <t>Chemistry, Organic</t>
  </si>
  <si>
    <t>Science Citation Index Expanded (SCI-EXPANDED); Index Chemicus (IC)</t>
  </si>
  <si>
    <t>GR8LZ</t>
  </si>
  <si>
    <t>WOS:000442976700003</t>
  </si>
  <si>
    <t>Hartman, JD; Sangiorgi, F; Salabarnada, A; Peterse, F; Houben, AJP; Schouten, S; Brinkhuis, H; Escutia, C; Bijl, PK</t>
  </si>
  <si>
    <t>Hartman, Julian D.; Sangiorgi, Francesca; Salabarnada, Ariadna; Peterse, Francien; Houben, Alexander J. P.; Schouten, Stefan; Brinkhuis, Henk; Escutia, Carlota; Bijl, Peter K.</t>
  </si>
  <si>
    <t>Paleoceanography and ice sheet variability offshore Wilkes Land, Antarctica - Part 3: Insights from Oligocene-Miocene TEX86-based sea surface temperature reconstructions</t>
  </si>
  <si>
    <t>CLIMATE OF THE PAST</t>
  </si>
  <si>
    <t>ISOPRENOID TETRAETHER LIPIDS; WALLED DINOFLAGELLATE CYSTS; OCEAN CIRCULATION CHANGES; STABLE-ISOTOPE RECORDS; CIRCUMPOLAR CURRENT; MEMBRANE-LIPIDS; CARBON-CYCLE; SINKING PARTICLES; DRILLING-PROJECT; ATMOSPHERIC CO2</t>
  </si>
  <si>
    <t>The volume of the Antarctic continental ice sheet(s) varied substantially during the Oligocene and Miocene (similar to 34-5 Ma) from smaller to substantially larger than today, both on million-year and on orbital timescales. However, reproduction through physical modeling of a dynamic response of the ice sheets to climate forcing remains problematic, suggesting the existence of complex feedback mechanisms between the cryosphere, ocean, and atmosphere systems. There is therefore an urgent need to improve the models for better predictions of these systems, including resulting potential future sea level change. To assess the interactions between the cryosphere, ocean, and atmosphere, knowledge of ancient sea surface conditions close to the Antarctic margin is essential. Here, we present a new TEX86-based sea surface water paleotemperature record measured on Oligocene sediments from Integrated Ocean Drilling Program (IODP) Site U1356, offshore Wilkes Land, East Antarctica. The new data are presented along with previously published Miocene temperatures from the same site. Together the data cover the interval between similar to 34 and similar to 11 Ma and encompasses two hiatuses. This record allows us to accurately reconstruct the magnitude of sea surface temperature (SST) variability and trends on both million-year and glacial-interglacial timescales. On average, TEX86 values indicate SSTs ranging between 10 and 21 degrees C during the Oligocene and Miocene, which is on the upper end of the few existing reconstructions from other high-latitude Southern Ocean sites. SST maxima occur around 30.5, 25, and 17 Ma. Our record suggests generally warm to temperate ocean offshore Wilkes Land. Based on lithological alternations detected in the sedimentary record, which are assigned to glacial-interglacial deposits, a SST variability of 1.5-3.1 degrees C at glacial-interglacial timescales can be established. This variability is slightly larger than that of deep-sea temperatures recorded in Mg/Ca data. Our reconstructed Oligocene temperature variability has implications for Oligocene ice volume estimates based on benthic delta O-18 records. If the long-term and orbital-scale SST variability at Site U1356 mirrors that of the nearby region of deep-water formation, we argue that a substantial portion of the variability and trends contained in long-term delta O-18 records can be explained by variability in Southern high-latitude temperature and that the Antarctic ice volume may have been less dynamic than previously thought. Importantly, our temperature record suggests that Oligocene-Miocene Antarctic ice sheets were generally of smaller size compared to today.</t>
  </si>
  <si>
    <t>[Hartman, Julian D.; Sangiorgi, Francesca; Peterse, Francien; Brinkhuis, Henk; Bijl, Peter K.] Univ Utrecht, Marine Palynol &amp; Paleoceanog, Lab Palaeobot &amp; Palynol, Dept Earth Sci, Princetonlaan 8a, NL-3584 CB Utrecht, Netherlands; [Salabarnada, Ariadna; Escutia, Carlota] Univ Granada, CSIC, Inst Andaluz Ciencias Tierra, Ave Palmeras 4, Granada 18100, Spain; [Houben, Alexander J. P.] Netherlands Org Appl Sci Res TNO, Appl Geosci Team, Princetonlaan 6, NL-3584 CB Utrecht, Netherlands; [Schouten, Stefan; Brinkhuis, Henk] NIOZ Royal Netherlands Inst Sea Res, Landsdiep 4, NL-1797 SZ T Horntje, Texel, Netherlands; [Schouten, Stefan; Brinkhuis, Henk] Univ Utrecht, Landsdiep 4, NL-1797 SZ T Horntje, Texel, Netherlands</t>
  </si>
  <si>
    <t>Utrecht University; Consejo Superior de Investigaciones Cientificas (CSIC); CSIC - Instituto Andaluz de Ciencias de la Tierra (IACT); University of Granada; Netherlands Organization Applied Science Research; Utrecht University; Royal Netherlands Institute for Sea Research (NIOZ); Utrecht University</t>
  </si>
  <si>
    <t>Hartman, JD (corresponding author), Univ Utrecht, Marine Palynol &amp; Paleoceanog, Lab Palaeobot &amp; Palynol, Dept Earth Sci, Princetonlaan 8a, NL-3584 CB Utrecht, Netherlands.</t>
  </si>
  <si>
    <t>juulhartman@gmail.com</t>
  </si>
  <si>
    <t>Brinkhuis, Henk/IUO-8165-2023; Peterse, Francien/AAY-1473-2021; Roset, Ariadna Salabarnada/L-8798-2014; Escutia, Carlota/B-8614-2015</t>
  </si>
  <si>
    <t>Brinkhuis, Henk/0000-0003-0253-6610; Peterse, Francien/0000-0001-8781-2826; Roset, Ariadna Salabarnada/0000-0003-2239-2538; Houben, Alexander/0000-0002-9497-1048; Salabarnada, Ariadna/0000-0003-0858-8083; Bijl, Peter/0000-0002-1710-4012; Escutia, Carlota/0000-0002-4932-8619; Hartman, Julian/0000-0001-6256-9989; Sangiorgi, Francesca/0000-0003-4233-6154</t>
  </si>
  <si>
    <t>NWO Netherlands Polar Program [866.10.110]; Netherlands Earth System Science Centre (NESSC) - Dutch Ministry of Education, Culture and Science (OCW); NWO-ALW VENI grant [863.13.002, 863.13.016]; Spanish Ministerio de Econimia y Competitividad [CTM2014-60451-C2-1-P]; US National Science Foundation</t>
  </si>
  <si>
    <t>NWO Netherlands Polar Program; Netherlands Earth System Science Centre (NESSC) - Dutch Ministry of Education, Culture and Science (OCW); NWO-ALW VENI grant; Spanish Ministerio de Econimia y Competitividad; US National Science Foundation(National Science Foundation (NSF))</t>
  </si>
  <si>
    <t>Julian D. Hartman, Francesca Sangiorgi, Henk Brinkhuis, and Peter K. Bijl acknowledge the NWO Netherlands Polar Program project number 866.10.110. Stefan Schouten was supported by the Netherlands Earth System Science Centre (NESSC), funded by the Dutch Ministry of Education, Culture and Science (OCW). Peter K. Bijl and Francien Peterse received funding through NWO-ALW VENI grant nos. 863.13.002 and 863.13.016, respectively. Carlota Escutia and Ariadna Salabarnada thank the Spanish Ministerio de Econimia y Competitividad for grant CTM2014-60451-C2-1-P. We thank Alexander Ebbing and Anja Bruls for GDGT sample preparation during their MSc research. This research used samples from the Integrated Ocean Drilling Program (IODP). IODP was sponsored by the US National Science Foundation and participating countries under management of Joined Oceanographic Institutions Inc. This research is a contribution to the SCAR PAIS program. We thank Stephen Gallagher and the two anonymous reviewers for their thorough review and constructive comments, which helped improve this paper.</t>
  </si>
  <si>
    <t>1814-9324</t>
  </si>
  <si>
    <t>1814-9332</t>
  </si>
  <si>
    <t>CLIM PAST</t>
  </si>
  <si>
    <t>Clim. Past.</t>
  </si>
  <si>
    <t>SEP 4</t>
  </si>
  <si>
    <t>10.5194/cp-14-1275-2018</t>
  </si>
  <si>
    <t>GS4SU</t>
  </si>
  <si>
    <t>WOS:000443641300001</t>
  </si>
  <si>
    <t>Gantz, JD; Spacht, DE; Lee, RE</t>
  </si>
  <si>
    <t>Gantz, J. D.; Spacht, Drew E.; Lee, Richard E.</t>
  </si>
  <si>
    <t>A preliminary survey of the terrestrial arthropods of the Rosenthal Islands, Antarctica</t>
  </si>
  <si>
    <t>Antarctic Peninsula; maritime Antarctic; Collembola; mites; Belgica antarctica</t>
  </si>
  <si>
    <t>MOSS-TURF HABITAT; ALASKOZETES-ANTARCTICUS; CRYPTOPYGUS-ANTARCTICUS; COLLEMBOLA; WATER; FAUNA; MITE; ENVIRONMENT; COMMUNITIES; SURVIVAL</t>
  </si>
  <si>
    <t>The Rosenthal Islands lie along the western edge of the Antarctic Peninsula. They are largely inaccessible and the few research projects in the area have focused on seabird colonies, so nothing has been known about the arthropod fauna on these islands. We conducted a preliminary survey of the arthropods associated with large penguin colonies. We identified two species of Collembola (Cryptopygus antarcticus and Friesea grisea), four species of mites (Alaskozetes antarcticus, Hydrogamasellus racovitzai, Tectopenthalodes villosus and Rhagidia sp.) and one insect (Belgica antarctica). The mite A. antarcticus and the collembolan C. antarcticus were common in large aggregations at our collecting sites and were occasionally observed on the surface of penguin guano without vegetative cover. The insect, a chironomid midge, was less common and found only in vegetated areas.</t>
  </si>
  <si>
    <t>[Gantz, J. D.; Lee, Richard E.] Miami Univ, Dept Biol, 700 E High St, Oxford, OH 45056 USA; [Spacht, Drew E.] Ohio State Univ, Dept Ecol Evolut &amp; Organismal Biol, Columbus, OH 43210 USA</t>
  </si>
  <si>
    <t>University System of Ohio; Miami University; University System of Ohio; Ohio State University</t>
  </si>
  <si>
    <t>Gantz, JD (corresponding author), Miami Univ, Dept Biol, 700 E High St, Oxford, OH 45056 USA.</t>
  </si>
  <si>
    <t>gantzjd@miamioh.edu</t>
  </si>
  <si>
    <t>Spacht, Drew/0000-0002-3651-114X</t>
  </si>
  <si>
    <t>US National Science Foundation [PLR 1341385]</t>
  </si>
  <si>
    <t>US National Science Foundation(National Science Foundation (NSF))</t>
  </si>
  <si>
    <t>This research was supported by US National Science Foundation grant no. PLR 1341385.</t>
  </si>
  <si>
    <t>10.1080/17518369.2018.1500266</t>
  </si>
  <si>
    <t>GS6RL</t>
  </si>
  <si>
    <t>WOS:000443826000001</t>
  </si>
  <si>
    <t>Holschuh, N; Christianson, K; Conway, H; Jacobel, RW; Welch, BC</t>
  </si>
  <si>
    <t>Holschuh, Nicholas; Christianson, Knut; Conway, Howard; Jacobel, Robert W.; Welch, Brian C.</t>
  </si>
  <si>
    <t>Persistent tracers of historic ice flow in glacial stratigraphy near Kamb Ice Stream, West Antarctica</t>
  </si>
  <si>
    <t>EAST ANTARCTICA; HOLOCENE DEGLACIATION; PENETRATING RADAR; MASS-BALANCE; ROSS SEA; SHEET; CLIMATE; GREENLAND; ELEVATION; VARIABILITY</t>
  </si>
  <si>
    <t>Variations in properties controlling ice flow (e. g., topography, accumulation rate, basal friction) are recorded by structures in glacial stratigraphy. When anomalies that disturb the stratigraphy are fixed in space, the structures they produce advect away from the source and can be used to trace flow pathways and reconstruct ice-flow patterns of the past. Here we provide an example of one of these persistent tracers: a prominent unconformity in the glacial layering that originates at Mt. Resnik, part of a subglacial volcanic complex near Kamb Ice Stream in central West Antarctica. The unconformity records a change in the regional thinning behavior seemingly coincident. (similar to 3440 +/- 117 a) with stabilization of grounding-line retreat in the Ross Sea Embayment. We argue that this feature records both the flow and thinning history far upstream of the Ross Sea grounding line, indicating a limited influence of observed ice-stream stagnation cycles on large-scale ice-sheet routing over the last similar to 5700 years.</t>
  </si>
  <si>
    <t>[Holschuh, Nicholas; Christianson, Knut; Conway, Howard] Univ Washington, Dept Earth &amp; Space Sci, Johnson Hall Rm 070,POB 351310,4000 15th Ave NE, Seattle, WA 98195 USA; [Jacobel, Robert W.; Welch, Brian C.] St Olaf Coll, Dept Phys, 1520 St Olaf Ave, Northfield, MN 55057 USA</t>
  </si>
  <si>
    <t>University of Washington; University of Washington Seattle; Saint Olaf College</t>
  </si>
  <si>
    <t>Holschuh, N (corresponding author), Univ Washington, Dept Earth &amp; Space Sci, Johnson Hall Rm 070,POB 351310,4000 15th Ave NE, Seattle, WA 98195 USA.</t>
  </si>
  <si>
    <t>holschuh@uw.edu</t>
  </si>
  <si>
    <t>Conway, Howard/0000-0003-4634-3474; Holschuh, Nicholas/0000-0003-1703-5085</t>
  </si>
  <si>
    <t>NASA [NNX16AM01G]; NSF [OPP-9814574, OPP-0087345]; NASA [NNX16AM01G, 900845] Funding Source: Federal RePORTER</t>
  </si>
  <si>
    <t>NASA(National Aeronautics &amp; Space Administration (NASA)); NSF(National Science Foundation (NSF)); NASA(National Aeronautics &amp; Space Administration (NASA))</t>
  </si>
  <si>
    <t>This work has been substantially improved through comments from our editor and reviewers, including several anonymous reviewers and Neil Ross. The Polar Geospatial Center at the University of Minnesota provided support through their DigitalGlobe-derived Antarctic DEMs. We thank the US Antarctic Program, Raytheon Polar Services, and 109th Airlift Wing of the NY Air National Guard for logistic support in collecting the radar data. This work was funded as a part of NASA grant NNX16AM01G and NSF grants OPP-9814574 and OPP-0087345.</t>
  </si>
  <si>
    <t>10.5194/tc-12-2821-2018</t>
  </si>
  <si>
    <t>GS5CE</t>
  </si>
  <si>
    <t>WOS:000443673400001</t>
  </si>
  <si>
    <t>Roberts, J; Childerhouse, S; Roe, W; Baker, GB; Hamilton, S</t>
  </si>
  <si>
    <t>Roberts, Jim; Childerhouse, Simon; Roe, Wendi; Baker, G. Barry; Hamilton, Sheryl</t>
  </si>
  <si>
    <t>No evidence of cryptic bycatch causing New Zealand sea lion population decline</t>
  </si>
  <si>
    <t>PROCEEDINGS OF THE NATIONAL ACADEMY OF SCIENCES OF THE UNITED STATES OF AMERICA</t>
  </si>
  <si>
    <t>Letter</t>
  </si>
  <si>
    <t>[Roberts, Jim] Natl Inst Water &amp; Atmospher Res, Wellington 6021, New Zealand; [Childerhouse, Simon] Blue Planet Marine New Zealand, Nelson 7050, New Zealand; [Roe, Wendi] Massey Univ, Inst Vet Anim &amp; Biomed Sci, Palmerston North 4442, New Zealand; [Baker, G. Barry; Hamilton, Sheryl] Univ Tasmania, Inst Marine &amp; Antarctic Studies, Hobart, Tas 7001, Australia; [Baker, G. Barry; Hamilton, Sheryl] Latitude 42 Environm Consultants Pty Ltd, Kettering, Tas 7155, Australia</t>
  </si>
  <si>
    <t>National Institute of Water &amp; Atmospheric Research (NIWA) - New Zealand; Massey University; University of Tasmania</t>
  </si>
  <si>
    <t>Hamilton, S (corresponding author), Univ Tasmania, Inst Marine &amp; Antarctic Studies, Hobart, Tas 7001, Australia.;Hamilton, S (corresponding author), Latitude 42 Environm Consultants Pty Ltd, Kettering, Tas 7155, Australia.</t>
  </si>
  <si>
    <t>sheryl.hamilton@utas.edu.au</t>
  </si>
  <si>
    <t>roe, wendi d/K-4110-2012</t>
  </si>
  <si>
    <t>Baker, G. Barry/0000-0003-4766-8182</t>
  </si>
  <si>
    <t>NATL ACAD SCIENCES</t>
  </si>
  <si>
    <t>2101 CONSTITUTION AVE NW, WASHINGTON, DC 20418 USA</t>
  </si>
  <si>
    <t>0027-8424</t>
  </si>
  <si>
    <t>P NATL ACAD SCI USA</t>
  </si>
  <si>
    <t>Proc. Natl. Acad. Sci. U. S. A.</t>
  </si>
  <si>
    <t>E8330</t>
  </si>
  <si>
    <t>E8331</t>
  </si>
  <si>
    <t>10.1073/pnas.1806136115</t>
  </si>
  <si>
    <t>GS3VY</t>
  </si>
  <si>
    <t>WOS:000443555000003</t>
  </si>
  <si>
    <t>Leihy, RI; Duffy, GA; Nortje, E; Chown, SL</t>
  </si>
  <si>
    <t>Leihy, Rachel I.; Duffy, Grant A.; Nortje, Erika; Chown, Steven L.</t>
  </si>
  <si>
    <t>High resolution temperature data for ecological research and management on the Southern Ocean Islands</t>
  </si>
  <si>
    <t>SCIENTIFIC DATA</t>
  </si>
  <si>
    <t>CLIMATE-CHANGE; ABUNDANCE STRUCTURE; STATISTICAL-MODELS; HUMAN IMPACTS; RANGE LIMITS; CONSERVATION; INVASION; ERADICATIONS; HISTORY; ACCOUNT</t>
  </si>
  <si>
    <t>Southern Ocean Islands are globally significant conservation areas. Predicting how their terrestrial ecosystems will respond to current and forecast climate change is essential for their management and requires high-quality temperature data at fine spatial resolutions. Existing datasets are inadequate for this purpose. Remote-sensed land surface temperature (LST) observations, such as those collected by satellite-mounted spectroradiometers, can provide high-resolution, spatially-continuous data for isolated locations. These methods require a clear sightline to measure surface conditions, however, which can leave large data-gaps in temperature time series. Using a spatio-temporal gap-filling method applied to high-resolution (similar to 1 km) LST observations for 20 Southern Ocean Islands, we compiled a complete monthly temperature dataset for a 15-year period (2001-2015). We validated results using in situ measurements of microclimate temperature. Gap-filled temperature observations described the thermal heterogeneity of the region better than existing climatology datasets, particularly for islands with steep elevational gradients and strong prevailing winds. This dataset will be especially useful for terrestrial ecologists, conservation biologists, and for developing island-specific management and mitigation strategies for environmental change.</t>
  </si>
  <si>
    <t>[Leihy, Rachel I.; Duffy, Grant A.; Chown, Steven L.] Monash Univ, Sch Biol Sci, Melbourne, Vic 3800, Australia; [Nortje, Erika] Stellenbosch Univ, Dept Bot &amp; Zool, Ctr Invas Biol, Private Bag X1, ZA-7602 Matieland, South Africa</t>
  </si>
  <si>
    <t>Monash University; Stellenbosch University</t>
  </si>
  <si>
    <t>Leihy, RI (corresponding author), Monash Univ, Sch Biol Sci, Melbourne, Vic 3800, Australia.</t>
  </si>
  <si>
    <t>rachel.leihy1@monash.edu</t>
  </si>
  <si>
    <t>Chown, Steven/ABD-7646-2021</t>
  </si>
  <si>
    <t>Leihy, Rachel/0000-0001-9672-625X</t>
  </si>
  <si>
    <t>Sir James McNeill Foundation Postgraduate Research Scholarship; Australian Antarctic Science Grant [4307]; South African National Research Foundation [SNA170405225858]; Antarctic Circumnavigation Expedition; National Research Foundation</t>
  </si>
  <si>
    <t>Sir James McNeill Foundation Postgraduate Research Scholarship; Australian Antarctic Science Grant; South African National Research Foundation(National Research Foundation - South Africa); Antarctic Circumnavigation Expedition; National Research Foundation</t>
  </si>
  <si>
    <t>Marion Island microclimate data were collected by S. Abrahams, M. Burger, J.A. Deere, M. Gasant, K. Hickley, R. Kgopong, G.T.W. McClelland, F. Mukhadi, A. Phiri, E.E. Phiri, A.M. Treasure, M. Mashau, A. Tshautshau and S. Slabber. R.I.L. is supported by the Sir James McNeill Foundation Postgraduate Research Scholarship. This work was supported by Australian Antarctic Science Grant 4307, South African National Research Foundation Grant SNA170405225858, the Antarctic Circumnavigation Expedition, and by a National Research Foundation core grant to the Centre for Invasion Biology.</t>
  </si>
  <si>
    <t>2052-4463</t>
  </si>
  <si>
    <t>SCI DATA</t>
  </si>
  <si>
    <t>Sci. Data</t>
  </si>
  <si>
    <t>10.1038/sdata.2018.177</t>
  </si>
  <si>
    <t>GS3RZ</t>
  </si>
  <si>
    <t>WOS:000443538900001</t>
  </si>
  <si>
    <t>Gouiric-Cavalli, S; Rasia, LL; Marquez, GJ; Rosato, V; Scasso, RA; Reguero, M</t>
  </si>
  <si>
    <t>Gouiric-Cavalli, Soledad; Rasia, Luciano L.; Marquez, Gonzalo J.; Rosato, Vilma; Scasso, Roberto A.; Reguero, Marcelo</t>
  </si>
  <si>
    <t>First pachycormiform (Actinopterygii, Pachycormiformes) remains from the Late Jurassic of the Antarctic Peninsula and remarks on bone alteration by recent bioeroders</t>
  </si>
  <si>
    <t>JOURNAL OF VERTEBRATE PALEONTOLOGY</t>
  </si>
  <si>
    <t>TELEOSTEI; PATAGONIA; ORIGIN; FISHES; FAUNAS</t>
  </si>
  <si>
    <t>We describe osteichthyan remains from the Upper Jurassic of the Ameghino (= Nordenskjold) Formation of the Antarctic Peninsula. The fossils are referred to a suspension-feeding pachycormid based on the shape, morphology, and presence of acus fanunculi (needle teeth) on their gill rakers. Due to the fragmentary condition of the Antarctic material, we refer it to aff. Asthenocormus. The remains described here represent the first record of a suspension-feeding pachycormid from the Upper Jurassic of the Antarctic Peninsula and the oldest pachycormid yet recovered from Antarctica. The new fossil fish supports a possible early dispersal route through the Mozambique Corridor (= Trans-Gondwana or South African Seaway). We also describe the weathering produced by modern lichens, which might be misinterpreted as original bone structure.</t>
  </si>
  <si>
    <t>[Gouiric-Cavalli, Soledad; Rasia, Luciano L.; Reguero, Marcelo] Univ Nacl La Plata, Div Paleontol Vertebrados, Museo La Plata, Fac Ciencias Nat &amp; Museo, Paseo Bosque S-N,B1900FWA, La Plata, Buenos Aires, Argentina; [Marquez, Gonzalo J.] Consejo Nacl Invest Cient &amp; Tecn, Fac Ciencias Nat &amp; Museo, Catedra Palinol, Paseo Bosque S-N,B1900FWA, La Plata, Buenos Aires, Argentina; [Rosato, Vilma] Consejo Nacl Invest Cient &amp; Tecn, Lab Entrenamiento Multidisciplinario Invest Tecno, Comis Invest Cient Prov Buenos Aires, 52 E-121 &amp; 122,B1900AYB, La Plata, Buenos Aires, Argentina; [Scasso, Roberto A.] Univ Buenos Aires, CONICET, Inst Geociencias Basicas Aplicadas &amp; Ambientales, Dept Ciencias Geol,FCEN, Pabellon 2 Ciudad Univ,C1428EGA, Buenos Aires, DF, Argentina; [Reguero, Marcelo] Inst Antartico Argentino, Campus Miguelete,25 Mayo 1151,3 Piso B1650HMK, San Martin, Buenos Aires, Argentina</t>
  </si>
  <si>
    <t>National University of La Plata; Museo La Plata; Consejo Nacional de Investigaciones Cientificas y Tecnicas (CONICET); National University of La Plata; Museo La Plata; Comision de Investigaciones Cientificas; Consejo Nacional de Investigaciones Cientificas y Tecnicas (CONICET); Consejo Nacional de Investigaciones Cientificas y Tecnicas (CONICET); University of Buenos Aires; Instituto Antartico Argentino</t>
  </si>
  <si>
    <t>Gouiric-Cavalli, S (corresponding author), Univ Nacl La Plata, Div Paleontol Vertebrados, Museo La Plata, Fac Ciencias Nat &amp; Museo, Paseo Bosque S-N,B1900FWA, La Plata, Buenos Aires, Argentina.</t>
  </si>
  <si>
    <t>sgouiric@fcnym.unlp.edu.ar; lucianorasia@fcnym.unlp.edu.ar; cosme@fcnym.unlp.edu.ar; vilmarosato@yahoo.com.ar; rscasso@gl.fcen.uba.ar; mreguero@dna.gov.ar</t>
  </si>
  <si>
    <t>Reguero, Marcelo A./JHS-4893-2023</t>
  </si>
  <si>
    <t>Marquez, Gonzalo/0000-0001-7378-836X; Gouiric Cavalli, Soledad/0000-0003-2026-5973</t>
  </si>
  <si>
    <t>Direccion Nacional del Antartico; Instituto Antartico Argentino [PICTO 2010-0093]; Consejo Nacional de Investigaciones Cientificas y Tecnologicas; Agencia Nacional de Promocion Cientifica y Tecnologica; Universidad Nacional de La Plata [PICT 2015-0253]</t>
  </si>
  <si>
    <t>Direccion Nacional del Antartico; Instituto Antartico Argentino; Consejo Nacional de Investigaciones Cientificas y Tecnologicas; Agencia Nacional de Promocion Cientifica y Tecnologica(ANPCyTSpanish Government); Universidad Nacional de La Plata(National University of La Plata)</t>
  </si>
  <si>
    <t>This contribution was mainly funded by the Direccion Nacional del Antartico and the Instituto Antartico Argentino, project: PICTO 2010-0093. Partial funding was provided by the Consejo Nacional de Investigaciones Cientificas y Tecnologicas, Agencia Nacional de Promocion Cientifica y Tecnologica, and the Universidad Nacional de La Plata through PICT 2015-0253 to S.G. The funders had no role in study design, data collection and analysis, decision to publish, or preparation of the manuscript. We especially thank J. P. O'Gorman (UniversidadNacional de La Plata) for valuable comments on a previous version of the manuscript. We thank J. P. O'Gorman, J. J. Moly, and L. Acosta Burllaile (Universidad Nacional de La Plata) for their valuable assistance in the field; F. Medina (Universidad Nacional de Buenos Aires) for providing valuable information of the study locality and valuable literature; L. Perez for discussion on the EDX profiles; the scanning electron microscopy and microanalysis service (SeMFi-LIMF), Facultad de Ingenieria, UNLP; the logistic support of the Fuerza Aerea Argentina (Dotacion 47 degrees); C. Amenabar (IAA), who is responsible for loaning and providing access to fossil specimens at the Repositorio Antartico de Colecciones Paleontologicas y Geologicas of the Instituto Antartico Argentino; P. Fontana, S. Santillana, and Rodolfo del Valle (DNA-IAA) for providing valuable literature; the reviewers, J. Kriwet and J. J. Liston, for suggestions and comments that greatly improved the quality of the manuscript; and the editor L. Sallan.</t>
  </si>
  <si>
    <t>TAYLOR &amp; FRANCIS INC</t>
  </si>
  <si>
    <t>PHILADELPHIA</t>
  </si>
  <si>
    <t>530 WALNUT STREET, STE 850, PHILADELPHIA, PA 19106 USA</t>
  </si>
  <si>
    <t>0272-4634</t>
  </si>
  <si>
    <t>1937-2809</t>
  </si>
  <si>
    <t>J VERTEBR PALEONTOL</t>
  </si>
  <si>
    <t>J. Vertebr. Paleontol.</t>
  </si>
  <si>
    <t>SEP 3</t>
  </si>
  <si>
    <t>e1524384</t>
  </si>
  <si>
    <t>10.1080/02724634.2018.1524384</t>
  </si>
  <si>
    <t>Paleontology</t>
  </si>
  <si>
    <t>IJ1JG</t>
  </si>
  <si>
    <t>WOS:000475654100017</t>
  </si>
  <si>
    <t>Kersalé, M; Lamont, T; Speich, S; Terre, T; Laxenaire, R; Roberts, MJ; van den Berg, MA; Ansorge, IJ</t>
  </si>
  <si>
    <t>Kersale, Marion; Lamont, Tarron; Speich, Sabrina; Terre, Thierry; Laxenaire, Remi; Roberts, Mike J.; van den Berg, Marcel A.; Ansorge, Isabelle J.</t>
  </si>
  <si>
    <t>Moored observations of mesoscale features in the Cape Basin: characteristics and local impacts on water mass distributions</t>
  </si>
  <si>
    <t>OCEAN SCIENCE</t>
  </si>
  <si>
    <t>MERIDIONAL OVERTURNING CIRCULATION; ANTARCTIC CIRCUMPOLAR CURRENT; INTER-OCEAN EXCHANGE; CURRENT TRANSPORT VARIABILITY; SOUTH-ATLANTIC; AGULHAS CURRENT; INTERMEDIATE WATER; LABRADOR SEA; TIME-SERIES; THERMOCLINE WATER</t>
  </si>
  <si>
    <t>The eastern side of the South Atlantic Meridional overturning circulation Basin-wide Array (SAMBA) along 34.5 degrees S is used to assess the nonlinear, mesoscale dynamics of the Cape Basin. This array presently consists of current meter moorings and bottom mounted Current and Pressure recording Inverted Echo Sounders (CPIES) deployed across the continental slope. These data, available from September 2014 to December 2015, combined with satellite altimetry allow us to investigate the characteristics and the impact of mesoscale dynamics on local water mass distribution and cross-validate the different data sets. We demonstrate that the moorings are affected by the complex dynamics of the Cape Basin involving Agulhas rings, cyclonic eddies and anticyclonic eddies from the Agulhas Bank and the South Benguela upwelling front and filaments. Our analyses show that exchange of water masses happens through the advection of water by mesoscale eddies but also via wide water mass intrusions engendered by the existence of intense dipoles. These complex dynamics induce strong intra-seasonal upper-ocean velocity variations and water mass exchanges between the shelf and the open ocean but also across the subantarctic and subtropical waters. This work presents the first independent observations comparison between full-depth moorings and CPIES data sets within the eastern South Atlantic region that gives some evidence of eastern boundary buoyancy anomalies associated with migrating eddies. It also high- lights the need to continuously sample the full water depth as inter-basin exchanges occur intermittently and affect the whole water column.</t>
  </si>
  <si>
    <t>[Kersale, Marion; Lamont, Tarron; Ansorge, Isabelle J.] Univ Cape Town, Dept Oceanog, Marine Res Inst, Rondebosch, South Africa; [Kersale, Marion] Univ Miami, Cooperat Inst Marine &amp; Atmospher Studies, Miami, FL 33146 USA; [Kersale, Marion] NOAA, Atlantic Oceanog &amp; Meteorol Lab, Miami, FL 33149 USA; [Lamont, Tarron; Roberts, Mike J.; van den Berg, Marcel A.] Oceans &amp; Coastal Res, Dept Environm Affairs, Cape Town, South Africa; [Speich, Sabrina; Laxenaire, Remi] CNRS, ENS, UMR Ecole Polytech 8539, Lab Meteorol Dynam, Paris, France; [Terre, Thierry] IFREMER, Univ Brest, CNRS, IRD,LOPS,IUEM, F-29280 Plouzane, France; [Roberts, Mike J.] Nelson Mandela Univ, Ocean Sci &amp; Marine Food Secur, Port Elizabeth, South Africa</t>
  </si>
  <si>
    <t>University of Cape Town; University of Miami; National Oceanic Atmospheric Admin (NOAA) - USA; Atlantic Oceanographic &amp; Meteorological Laboratory (AOML); Department of Environment, Forestry &amp; Fisheries; Centre National de la Recherche Scientifique (CNRS); Universite PSL; Ecole Normale Superieure (ENS); Sorbonne Universite; Ifremer; Universite de Bretagne Occidentale; Institut Universitaire Europeen de la Mer (IUEM); Centre National de la Recherche Scientifique (CNRS); Institut de Recherche pour le Developpement (IRD); Nelson Mandela University</t>
  </si>
  <si>
    <t>Kersalé, M (corresponding author), Univ Cape Town, Dept Oceanog, Marine Res Inst, Rondebosch, South Africa.;Kersalé, M (corresponding author), Univ Miami, Cooperat Inst Marine &amp; Atmospher Studies, Miami, FL 33146 USA.;Kersalé, M (corresponding author), NOAA, Atlantic Oceanog &amp; Meteorol Lab, Miami, FL 33149 USA.</t>
  </si>
  <si>
    <t>marion.kersale@noaa.gov</t>
  </si>
  <si>
    <t>Laxenaire, Rémi/HTM-5210-2023; Speich, Sabrina/L-3780-2014; ANSORGE, ISABELLE/AAY-7396-2020; KERSALE, Marion/L-2975-2015</t>
  </si>
  <si>
    <t>Speich, Sabrina/0000-0002-5452-8287; Ansorge, Isabelle/0000-0001-7071-8147; Laxenaire, Remi/0000-0001-5157-1821; Lamont, Tarron/0000-0001-8464-891X; KERSALE, Marion/0000-0001-8998-5536</t>
  </si>
  <si>
    <t>NRF/SANAP-SAMOC-SA programme; NRF grant via a South African post-doctoral fellowship; Cooperative Institute for Marine and Atmospheric Studies (CIMAS); Cooperative Institute of the University of Miami; National Oceanic and Atmospheric Administration (NOAA) [NA10OAR4320143]; NOAA Atlantic Oceanographic and Meteorological Laboratory; European Union's Horizon 2020 research and innovation programme [633211, 11-ANR-56-004]</t>
  </si>
  <si>
    <t>NRF/SANAP-SAMOC-SA programme; NRF grant via a South African post-doctoral fellowship; Cooperative Institute for Marine and Atmospheric Studies (CIMAS); Cooperative Institute of the University of Miami; National Oceanic and Atmospheric Administration (NOAA)(National Oceanic Atmospheric Admin (NOAA) - USA); NOAA Atlantic Oceanographic and Meteorological Laboratory(National Oceanic Atmospheric Admin (NOAA) - USA); European Union's Horizon 2020 research and innovation programme</t>
  </si>
  <si>
    <t>The authors would like to express their great appreciation to the captain, officers and crew of the research vessels which have supported this program to date, including the South African research vessels the RV Algoa and the RV SA Agulhas II. We are warmly grateful to the technical staff who worked on the preparation, deployment and the recovery of the instruments. And our thanks to those who have helped coordinate these challenging international cruise collaborations. The authors acknowledge the support of grants from the NRF/SANAP-SAMOC-SA programme. Marion Kersale acknowledges support from a NRF grant via a South African post-doctoral fellowship. Marion Kersale's work on this study was carried out in part under the auspices of the Cooperative Institute for Marine and Atmospheric Studies (CIMAS), a Cooperative Institute of the University of Miami and the National Oceanic and Atmospheric Administration (NOAA), cooperative agreement NA10OAR4320143. Marion Kersale also acknowledges support from the NOAA Atlantic Oceanographic and Meteorological Laboratory. This work was also supported by the European Union's Horizon 2020 research and innovation programme under grant agreement no. 633211 (AtlantOS) and the 11-ANR-56-004 grant for Sabrina Speich. The authors thank Renellys C. Perez, Chris S. Meinen and Jonathan Lilly for precious help, comments and useful discussions. Finally, we thank the editor and the three reviewers of this paper for their constructive comments.</t>
  </si>
  <si>
    <t>1812-0784</t>
  </si>
  <si>
    <t>OCEAN SCI</t>
  </si>
  <si>
    <t>Ocean Sci.</t>
  </si>
  <si>
    <t>10.5194/os-14-923-2018</t>
  </si>
  <si>
    <t>GS2YV</t>
  </si>
  <si>
    <t>WOS:000443433000001</t>
  </si>
  <si>
    <t>Xavier, JC; Azinhaga, PF; Seco, J; Fugmann, G</t>
  </si>
  <si>
    <t>Xavier, Jose C.; Azinhaga, Patricia Fialho; Seco, Jose; Fugmann, Gerlis</t>
  </si>
  <si>
    <t>International Polar Week as an educational activity to boost science-educational links: Portugal as a case study</t>
  </si>
  <si>
    <t>POLAR RECORD</t>
  </si>
  <si>
    <t>Association of Polar Early Career Scientists; International Polar Year; Outreach; Polar education</t>
  </si>
  <si>
    <t>International Polar Week is an educational activity that has been carried out since the International Polar Year 2007-2008 (known then as International Polar Days). This event, which brings together educators and polar scientists to promote polar science, is generally organised by the Association of Polar Early Career Scientists and Polar Educators International. Here we provide an overview of how International Polar Week started, and describe its implementation in Portugal, a non-polar country. We quantify the activities carried out during International Polar Weeks in Portugal between 2012 and 2017, which involved &gt;96,000 students, &gt;200 schools, &gt;1900 educators and 100 polar scientists, with talks and Skype calls by polar scientists being the most frequent activities. Portugal's International Polar Weeks have involved students, educators and polar scientists from 18 other countries, in particular from the United Kingdom and Brazil. We conclude by providing recommendations to other countries wanting to implement International Polar Weeks.</t>
  </si>
  <si>
    <t>[Xavier, Jose C.] Univ Coimbra, Marine &amp; Environm Res Ctr MARE, Dept Life Sci, P-3000456 Coimbra, Portugal; [Xavier, Jose C.] British Antarctic Survey, Nat Environm Res Council, Madingley Rd, Cambridge CB3 0ET, England; [Azinhaga, Patricia Fialho] Univ Lisbon, Inst Educ, Alameda Univ, P-1649013 Lisbon, Portugal; [Azinhaga, Patricia Fialho] ARCUS, PEI, 3535 Coll Rd,Suite 101, Fairbanks, AK 99709 USA; [Seco, Jose] Univ Aveiro, CESAM, P-3810193 Aveiro, Portugal; [Seco, Jose] Univ Aveiro, Dept Chem, P-3810193 Aveiro, Portugal; [Seco, Jose] Univ St Andrews, Scottish Oceans Inst, Pelag Ecol Res Grp, St Andrews KY16 8LB, Fife, Scotland; [Fugmann, Gerlis] Alfred Wegener Inst, APECS, Telegrafenberg A43, D-14473 Potsdam, Germany</t>
  </si>
  <si>
    <t>Universidade de Coimbra; UK Research &amp; Innovation (UKRI); Natural Environment Research Council (NERC); NERC British Antarctic Survey; Universidade de Lisboa; Universidade de Aveiro; Universidade de Aveiro; University of St Andrews; Helmholtz Association; Alfred Wegener Institute, Helmholtz Centre for Polar &amp; Marine Research</t>
  </si>
  <si>
    <t>Xavier, JC (corresponding author), Univ Coimbra, Marine &amp; Environm Res Ctr MARE, Dept Life Sci, P-3000456 Coimbra, Portugal.;Xavier, JC (corresponding author), British Antarctic Survey, Nat Environm Res Council, Madingley Rd, Cambridge CB3 0ET, England.</t>
  </si>
  <si>
    <t>jccx@cantab.net</t>
  </si>
  <si>
    <t>Seco, José/AAS-4612-2020; Xavier, José/KFB-6739-2024</t>
  </si>
  <si>
    <t>Seco, José/0000-0002-7957-6488; /0000-0002-9621-6660</t>
  </si>
  <si>
    <t>APECS; PEI; Investigator FCT programme [IF/00616/2013]; PhD FCT grant [SRFH/PD/BD/113487]; FCT [MARE- UID/MAR/04292/2013]</t>
  </si>
  <si>
    <t>APECS; PEI; Investigator FCT programme(Fundacao para a Ciencia e a Tecnologia (FCT)); PhD FCT grant; FCT(Fundacao para a Ciencia e a Tecnologia (FCT))</t>
  </si>
  <si>
    <t>We thank the editors Rebecca Priestley and Rhian Salmon for reviewing various drafts of the manuscript. We also acknowledge all schools, scientists and organisations (e.g. Universities, Agency Ciencia Viva) from around the world involved directly or indirectly in International Polar Weeks, particularly those from Portugal, with the support from APECS and PEI and endorsed by the Portuguese Polar Program PROPOLAR. We thank Clare Eayrs and Betty Trummel for reviewing an early draft of the manuscript. This work is an international effort from the Scientific Committee on Antarctic Research (SCAR) associated programmes, namely SCAR AnT-ERA and ICED. JX was supported by the Investigator FCT programme (IF/00616/2013), JS by the PhD FCT grant (SRFH/PD/BD/113487), and this study benefited from the strategic programme of MARE, financed by FCT (MARE- UID/MAR/04292/2013).</t>
  </si>
  <si>
    <t>0032-2474</t>
  </si>
  <si>
    <t>1475-3057</t>
  </si>
  <si>
    <t>POLAR REC</t>
  </si>
  <si>
    <t>POLAR REC.</t>
  </si>
  <si>
    <t>SEP</t>
  </si>
  <si>
    <t>5-6</t>
  </si>
  <si>
    <t>10.1017/S0032247418000621</t>
  </si>
  <si>
    <t>Ecology; Environmental Sciences</t>
  </si>
  <si>
    <t>HU4WX</t>
  </si>
  <si>
    <t>WOS:000465278400006</t>
  </si>
  <si>
    <t>Lomac-MacNair, K; Jakobsson, M; Mix, A; Freire, F; Hogan, K; Mayer, L; Smultea, MA</t>
  </si>
  <si>
    <t>Lomac-MacNair, Kate; Jakobsson, Martin; Mix, Alan; Freire, Francis; Hogan, Kelly; Mayer, Larry; Smultea, Mari A.</t>
  </si>
  <si>
    <t>Seal Occurrence and Habitat Use during Summer in Petermann Fjord, Northwestern Greenland</t>
  </si>
  <si>
    <t>ARCTIC</t>
  </si>
  <si>
    <t>Petermann Glacier; marine mammals; ice-tongue fjord; Arctic seals; sea ice; Pusa hispida; Erignathus barbatus; Crystophora cristata; Pagophilus groenlandicus</t>
  </si>
  <si>
    <t>RINGED SEALS; HOODED SEALS; DIVING BEHAVIOR; PHOCA-HISPIDA; CYSTOPHORA-CRISTATA; MARINE MAMMALS; CLIMATE-CHANGE; PUSA-HISPIDA; ST-LAWRENCE; HARP</t>
  </si>
  <si>
    <t>Ice-associated seals are considered especially susceptible and are potentially the first to modify distribution and habitat use in response to physical changes associated with the changing climate. Petermann Glacier, part of a unique ice-tongue fjord environment in a rarely studied region of northwestern Greenland, lost substantial sections of its ice tongue during major 2010 and 2012 calving events. As a result, changes in seal habitat may have occurred. Seal occurrence and distribution data were collected in Petermann Fjord and adjacent Nares Strait region over 27 days (2 to 28 August) during the multidisciplinary scientific Petermann 2015 Expedition on the icebreaker Oden. During 239.4 hours of dedicated observation effort, a total of 312 individuals were recorded, representing four species: bearded seal (Erignathus barbatus), hooded seal (Crystophora cristata), harp seal (Pagophilus groenlandicus), and ringed seal (Pusa hispida). Ringed seals were recorded significantly more than the other species (chi(2) = 347.4, df = 3, p &lt; 0.001, n = 307). We found significant differences between species in haul-out (resting on ice) behavior (chi(2) = 133.1, df = 3, p &lt; 0.001, n = 307). Bearded seals were more frequently hauled out (73.1% n = 49), whereas ringed seals were almost exclusively in water (93.9%, n = 200). Differences in average depth and ice coverage where species occurred were also significant: harp seals and bearded seals were found in deeper water and areas of greater ice coverage (harp seals: 663 +/- 366 m and 65 +/- 14% ice cover; bearded seals: 598 +/- 259 m and 50 +/- 21% ice cover), while hooded seals and ringed seals were found in shallower water with lower ice coverage (hooded seals: 490 +/- 163 m and 38 +/- 19% ice cover; ringed seals: 496 +/- 235 m, and 21 +/- 20% ice cover). Our study provides an initial look at how High Arctic seals use the rapidly changing Petermann Fjord and how physical variables influence their distribution in one of the few remaining ice-tongue fjord environments.</t>
  </si>
  <si>
    <t>[Lomac-MacNair, Kate] Univ Algarve, Ctr Marine Sci CCMAR, Gambelas Campus, P-8005139 Faro, Portugal; [Lomac-MacNair, Kate; Smultea, Mari A.] Smultea Sci, POB 256, Preston, WA 98050 USA; [Jakobsson, Martin; Freire, Francis] Stockholm Univ, Dept Geol Sci, SE-10691 Stockholm, Sweden; [Mix, Alan] Oregon State Univ, Coll Ocean &amp; Atmospher Sci, Corvallis, OR 97331 USA; [Hogan, Kelly] British Antarctic Survey, Nat Environm Res Council, Madingley Rd, Cambridge CB3 0ET, England; [Mayer, Larry] Univ New Hampshire, Ctr Coastal &amp; Ocean Mapping, Joint Hydrog Ctr, Durham, NH 03824 USA</t>
  </si>
  <si>
    <t>Universidade do Algarve; Stockholm University; Oregon State University; UK Research &amp; Innovation (UKRI); Natural Environment Research Council (NERC); NERC British Antarctic Survey; University System Of New Hampshire; University of New Hampshire</t>
  </si>
  <si>
    <t>Lomac-MacNair, K (corresponding author), Univ Algarve, Ctr Marine Sci CCMAR, Gambelas Campus, P-8005139 Faro, Portugal.;Lomac-MacNair, K (corresponding author), Smultea Sci, POB 256, Preston, WA 98050 USA.</t>
  </si>
  <si>
    <t>klomacmacnair@gmail.com</t>
  </si>
  <si>
    <t>Jakobsson, Martin/F-6214-2010; Jakobsson, Martin/JAN-6828-2023; Mix, Alan/B-2366-2009</t>
  </si>
  <si>
    <t>Lomac-MacNair, Kate/0000-0002-4941-4912; Freire, Francis Fletcher/0000-0001-9078-6403; Jakobsson, Martin/0000-0002-9033-3559; Mayer, Larry/0000-0003-1846-5140; Mix, Alan/0000-0001-7108-3534</t>
  </si>
  <si>
    <t>Smultea Environmental Sciences; Office of Polar Programs (OPP); Directorate For Geosciences [1417787] Funding Source: National Science Foundation</t>
  </si>
  <si>
    <t>Smultea Environmental Sciences; Office of Polar Programs (OPP); Directorate For Geosciences(National Science Foundation (NSF)NSF - Directorate for Geosciences (GEO))</t>
  </si>
  <si>
    <t>We thank the U.S. National Science Foundation Polar Programs, NASA, UNAVCO, CH2M Polar Field Services (Jessy Jenkins), the Polar Geospatial Center (George Roth), the British Antarctic Survey, GEUS, the Swedish Polar Research Secretariat (Ulf Hedman), and the Swedish Maritime Administration (Captain Mattias Petersson and crew of the icebreaker Oden). We thank Andreas Munchow (College of Earth, Ocean and Environment) for his collaboration. We thank Anne Jennings (INSTAAR and Department of Geological Sciences), Andrew Lomac-MacNair, and Arctic's anonymous reviewers, whose suggestions greatly improved the manuscript. We would like to thank Smultea Environmental Sciences for their support during the expedition and the development of this manuscript. Finally, we thank all those involved in the Petermann 2015 Expedition.</t>
  </si>
  <si>
    <t>ARCTIC INST N AMER</t>
  </si>
  <si>
    <t>CALGARY</t>
  </si>
  <si>
    <t>UNIV OF CALGARY 2500 UNIVERSITY DRIVE NW 11TH FLOOR LIBRARY TOWER, CALGARY, ALBERTA T2N 1N4, CANADA</t>
  </si>
  <si>
    <t>0004-0843</t>
  </si>
  <si>
    <t>1923-1245</t>
  </si>
  <si>
    <t>Arctic</t>
  </si>
  <si>
    <t>10.14430/arctic4735</t>
  </si>
  <si>
    <t>HR1UW</t>
  </si>
  <si>
    <t>WOS:000462922300008</t>
  </si>
  <si>
    <t>Adams, P; Brunger, A</t>
  </si>
  <si>
    <t>Adams, Peter; Brunger, Alan</t>
  </si>
  <si>
    <t>FOUR ANTARCTIC YEARS IN THE SOUTH ORKNEY ISLANDS: AN ANNOTATED TRANSLATION OF CUATRO ANOS EN LAS ORCADAS DEL SUR</t>
  </si>
  <si>
    <t>[Adams, Peter; Brunger, Alan] Trent Univ, Sch Environm, Peterborough, ON K9L 0G2, Canada</t>
  </si>
  <si>
    <t>Trent University</t>
  </si>
  <si>
    <t>Adams, P (corresponding author), Trent Univ, Sch Environm, Peterborough, ON K9L 0G2, Canada.</t>
  </si>
  <si>
    <t>peter.adams@cogeco.ca</t>
  </si>
  <si>
    <t>WOS:000462922300010</t>
  </si>
  <si>
    <t>Keller, DP; Lenton, A; Littleton, EW; Oschlies, A; Scott, V; Vaughan, NE</t>
  </si>
  <si>
    <t>Keller, David P.; Lenton, Andrew; Littleton, Emma W.; Oschlies, Andreas; Scott, Vivian; Vaughan, Naomi E.</t>
  </si>
  <si>
    <t>The Effects of Carbon Dioxide Removal on the Carbon Cycle</t>
  </si>
  <si>
    <t>CURRENT CLIMATE CHANGE REPORTS</t>
  </si>
  <si>
    <t>Climate change; Carbon dioxide removal (CDR); Mitigation; Carbon cycle; Negative emissions; Carbon cycle feedbacks; Climate feedbacks</t>
  </si>
  <si>
    <t>ARTIFICIAL OCEAN ALKALINIZATION; CLIMATE-CHANGE MITIGATION; SOIL ORGANIC-CARBON; LAND-USE; NEGATIVE CARBON; ATMOSPHERIC CO2; IRON FERTILIZATION; SEQUESTRATION; EMISSIONS; BIOCHAR</t>
  </si>
  <si>
    <t>Increasing atmospheric CO2 is having detrimental effects on the Earth system. Societies have recognized that anthropogenic CO2 release must be rapidly reduced to avoid potentially catastrophic impacts. Achieving this via emissions reductions alone will be very difficult. Carbon dioxide removal (CDR) has been suggested to complement and compensate for insufficient emissions reductions, through increasing natural carbon sinks, engineering new carbon sinks, or combining natural uptake with engineered storage. Here, we review the carbon cycle responses to different CDR approaches and highlight the often-overlooked interaction and feedbacks between carbon reservoirs that ultimately determines CDR efficacy. We also identify future research that will be needed if CDR is to play a role in climate change mitigation, these include coordinated studies to better understand (i) the underlying mechanisms of each method, (ii) how they could be explicitly simulated, (iii) how reversible changes in the climate and carbon cycle are, and (iv) how to evaluate and monitor CDR.</t>
  </si>
  <si>
    <t>[Keller, David P.; Oschlies, Andreas] GEOMAR Helmholtz Ctr Ocean Res Kiel, Dustembrooker Weg 20, D-24105 Kiel, Germany; [Lenton, Andrew] CSIRO Oceans &amp; Atmosphere, Hobart, Tas, Australia; [Lenton, Andrew] Antarctic Climate &amp; Ecosyst Cooperat Res Ctr, Hobart, Tas, Australia; [Littleton, Emma W.] Univ Exeter, Coll Life &amp; Environm Sci, Exeter, Devon, England; [Scott, Vivian] Univ Edinburgh, Sch GeoSci, Edinburgh, Midlothian, Scotland; [Vaughan, Naomi E.] Univ East Anglia, Tyndall Ctr Climate Change Res, Sch Environm Sci, Norwich, Norfolk, England</t>
  </si>
  <si>
    <t>Helmholtz Association; GEOMAR Helmholtz Center for Ocean Research Kiel; Commonwealth Scientific &amp; Industrial Research Organisation (CSIRO); Antarctic Climate &amp; Ecosystems Cooperative Research Centre (ACE CRC); University of Exeter; University of Edinburgh; University of East Anglia</t>
  </si>
  <si>
    <t>Keller, DP (corresponding author), GEOMAR Helmholtz Ctr Ocean Res Kiel, Dustembrooker Weg 20, D-24105 Kiel, Germany.</t>
  </si>
  <si>
    <t>dkeller@geomar.de</t>
  </si>
  <si>
    <t>Oschlies, Andreas/F-9749-2012; Keller, David P./F-4864-2013; Lenton, Andrew/D-2077-2012</t>
  </si>
  <si>
    <t>Vaughan, Naomi/0000-0002-4532-2084; Keller, David P./0000-0002-7546-4614; Lenton, Andrew/0000-0001-9437-8896</t>
  </si>
  <si>
    <t>German Research Foundation [SPP 1689, KE 2149/2-1]; UK Greenhouse Gas Removal Programme [MERLiN: NE/P019749/1, FAB-GGR: NE/P019951/1]; NERC [NE/P019951/1, NE/P019749/1] Funding Source: UKRI</t>
  </si>
  <si>
    <t>German Research Foundation(German Research Foundation (DFG)); UK Greenhouse Gas Removal Programme; NERC(UK Research &amp; Innovation (UKRI)Natural Environment Research Council (NERC))</t>
  </si>
  <si>
    <t>D. P. Keller and AndreasOschlies received funding from the German Research Foundation's Priority Program SPP 1689 Climate Engineering (projects ComparCE-2 and CDR-MIA; KE 2149/2-1). V. Scott, E.W. Littleton, and N.E. Vaughan received funding from the UK Greenhouse Gas Removal Programme (projects MERLiN: NE/P019749/1 and FAB-GGR: NE/P019951/1, respectively).</t>
  </si>
  <si>
    <t>2198-6061</t>
  </si>
  <si>
    <t>CURR CLIM CHANGE REP</t>
  </si>
  <si>
    <t>Curr. Clim. Chang. Rep.</t>
  </si>
  <si>
    <t>10.1007/s40641-018-0104-3</t>
  </si>
  <si>
    <t>HO7HF</t>
  </si>
  <si>
    <t>WOS:000461111300004</t>
  </si>
  <si>
    <t>Guilment, T; Socheleau, FX; Pastor, D; Vallez, S</t>
  </si>
  <si>
    <t>Guilment, Thomas; Socheleau, Francois-Xavier; Pastor, Dominique; Vallez, Simon</t>
  </si>
  <si>
    <t>Sparse representation-based classification of mysticete calls</t>
  </si>
  <si>
    <t>JOURNAL OF THE ACOUSTICAL SOCIETY OF AMERICA</t>
  </si>
  <si>
    <t>BLUE WHALE CALLS; GULF-OF-CALIFORNIA; AUTOMATED DETECTION; CONTACT CALLS; SOUNDS; RECOGNITION; FIN; LOCALIZATION; VERIFICATION; BEHAVIOR</t>
  </si>
  <si>
    <t>This paper presents an automatic classification method dedicated to mysticete calls. This method relies on sparse representations which assume that mysticete calls lie in a linear subspace described by a dictionary-based representation. The classifier accounts for noise by refusing to assign the observed signal to a given class if it is not included into the linear subspace spanned by the dictionaries of mysticete calls. Rejection of noise is achieved without feature learning. In addition, the proposed method is modular in that, call classes can be appended to or removed from the classifier without requiring retraining. The classifier is easy to design since it relies on a few parameters. Experiments on five types of mysticete calls are presented. It includes Antarctic blue whale Z-calls, two types of Madagascar pygmy blue whale calls, fin whale 20 Hz calls and North-Pacific blue whale D-calls. On this dataset, containing 2185 calls and 15 000 noise samples, an average recall of 96.4% is obtained and 93.3% of the noise data (persistent and transient) are correctly rejected by the classifier. (C) 2018 Acoustical Society of America.</t>
  </si>
  <si>
    <t>[Guilment, Thomas; Socheleau, Francois-Xavier; Pastor, Dominique] Bretagne Loire Univ, IMT Atlantique, Lab STICC, Technopole Brest Iroise CS83818, F-29238 Brest, France; [Vallez, Simon] Sercel, 12 Rue Villeneuve, F-29200 Brest, France</t>
  </si>
  <si>
    <t>IMT - Institut Mines-Telecom; IMT Atlantique; Universite de Bretagne Occidentale</t>
  </si>
  <si>
    <t>Guilment, T (corresponding author), Bretagne Loire Univ, IMT Atlantique, Lab STICC, Technopole Brest Iroise CS83818, F-29238 Brest, France.</t>
  </si>
  <si>
    <t>thomas.guilment@imt-atlantique.fr</t>
  </si>
  <si>
    <t>PASTOR, Dominique/0000-0001-5717-5918</t>
  </si>
  <si>
    <t>Sercel</t>
  </si>
  <si>
    <t>This work was funded by Sercel. The authors would like to thank Jean-Yves Royer of the University of Brest, CNRS Laboratoire Domaines Oceaniques for providing the DEFLOHYDRO and the OHASISBIO datasets, as well as Ana Sirovic nd Simone Baumann-Pickering of the Scripps Institution of Oceanography for providing the DCLDE 2015 dataset. The authors are also very thankful to the Associate Editor, Professor Aaron Thode, whose invaluable comments and remarks made it possible to significantly improve this paper.</t>
  </si>
  <si>
    <t>ACOUSTICAL SOC AMER AMER INST PHYSICS</t>
  </si>
  <si>
    <t>MELVILLE</t>
  </si>
  <si>
    <t>STE 1 NO 1, 2 HUNTINGTON QUADRANGLE, MELVILLE, NY 11747-4502 USA</t>
  </si>
  <si>
    <t>0001-4966</t>
  </si>
  <si>
    <t>1520-8524</t>
  </si>
  <si>
    <t>J ACOUST SOC AM</t>
  </si>
  <si>
    <t>J. Acoust. Soc. Am.</t>
  </si>
  <si>
    <t>10.1121/1.5055209</t>
  </si>
  <si>
    <t>Acoustics; Audiology &amp; Speech-Language Pathology</t>
  </si>
  <si>
    <t>HK3GU</t>
  </si>
  <si>
    <t>WOS:000457802200056</t>
  </si>
  <si>
    <t>Guo, SX; Zhou, SQ; Cen, XR; Lu, YZ</t>
  </si>
  <si>
    <t>Guo, Shuang-Xi; Zhou, Sheng-Qi; Cen, Xian-Rong; Lu, Yuan-Zheng</t>
  </si>
  <si>
    <t>Evolution of Staircase Structures in Diffusive Convection</t>
  </si>
  <si>
    <t>JOVE-JOURNAL OF VISUALIZED EXPERIMENTS</t>
  </si>
  <si>
    <t>Environmental Sciences; Issue 139; Stratified Fluid; Diffusive Convection; Staircase Structure; Shadowgraph Technique; Convecting Layer; Interface</t>
  </si>
  <si>
    <t>HEAT-TRANSPORT; FLUX LAWS; INTERFACE; OCEAN; LAKE</t>
  </si>
  <si>
    <t>Diffusive convection (DC) occurs when the vertical stratified density is controlled by two opposing scalar gradients that have distinctly different molecular diffusivities, and the larger- and smaller-diffusivity scalar gradients have negative and positive contributions for the density distribution, respectively. The DC occurs in many natural processes and engineering applications, for example, oceanography, astrophysics and metallurgy. In oceans, one of the most remarkable features of DC is that the vertical temperature and salinity profiles are staircase-like structure, composed of consecutive steps with thick homogeneous convecting layers and relatively thin and high-gradient interfaces. The DC staircases have been observed in many oceans, especially in the Arctic and Antarctic Oceans, and play an important role on the ocean circulation and climatic change. In the Arctic Ocean, there exist basin-wide and persistent DC staircases in the upper and deep oceans. The DC process has an important effect on diapycnal mixing in the upper ocean and may significantly influence the surface ice-melting. Compared to the limitations of field observations, laboratory experiment shows its unique advantage to effectively examine the dynamic and thermodynamic processes in DC, because the boundary conditions and the controlled parameters can be strictly adjusted. Here, a detailed protocol is described to simulate the evolution process of DC staircase structure, including its generation, development and disappearance, in a rectangular tank filled with stratified saline water. The experimental setup, evolution process, data analysis, and discussion of results are described in detail.</t>
  </si>
  <si>
    <t>[Guo, Shuang-Xi; Zhou, Sheng-Qi; Cen, Xian-Rong; Lu, Yuan-Zheng] Chinese Acad Sci, South China Sea Inst Oceanol, State Key Lab Trop Oceanog, Beijing, Peoples R China</t>
  </si>
  <si>
    <t>Chinese Academy of Sciences; South China Sea Institute of Oceanology, CAS</t>
  </si>
  <si>
    <t>Zhou, SQ (corresponding author), Chinese Acad Sci, South China Sea Inst Oceanol, State Key Lab Trop Oceanog, Beijing, Peoples R China.</t>
  </si>
  <si>
    <t>sqzhou@scsio.ac.cn</t>
  </si>
  <si>
    <t>Zhou, Shengqi/AAA-1187-2021; Cen, Xian-Rong/W-2339-2019; Guo, Shuang-Xi/JVN-9397-2024</t>
  </si>
  <si>
    <t>Cen, Xian-Rong/0000-0003-2995-2825;</t>
  </si>
  <si>
    <t>Chinese NSF [41706033, 91752108, 41476167]; Grangdong NSF [2017A030313242, 2016A030311042]; LTO [LTOZZ1801]</t>
  </si>
  <si>
    <t>Chinese NSF(National Natural Science Foundation of China (NSFC)); Grangdong NSF; LTO</t>
  </si>
  <si>
    <t>This work was supported by the Chinese NSF grants (41706033, 91752108 and 41476167), Grangdong NSF grants (2017A030313242 and 2016A030311042) and LTO grant (LTOZZ1801).</t>
  </si>
  <si>
    <t>JOURNAL OF VISUALIZED EXPERIMENTS</t>
  </si>
  <si>
    <t>1 ALEWIFE CENTER, STE 200, CAMBRIDGE, MA 02140 USA</t>
  </si>
  <si>
    <t>1940-087X</t>
  </si>
  <si>
    <t>JOVE-J VIS EXP</t>
  </si>
  <si>
    <t>J. Vis. Exp.</t>
  </si>
  <si>
    <t>e58316</t>
  </si>
  <si>
    <t>10.3791/58316</t>
  </si>
  <si>
    <t>HI1MZ</t>
  </si>
  <si>
    <t>WOS:000456210900065</t>
  </si>
  <si>
    <t>Sirevaag, H; Jacobs, J; Ksienzyk, AK; Dunkl, I; Marschall, HR</t>
  </si>
  <si>
    <t>Sirevaag, Hallgeir; Jacobs, Joachim; Ksienzyk, Anna K.; Dunkl, Istvan; Marschall, Horst R.</t>
  </si>
  <si>
    <t>Extent, thickness and erosion of the Jurassic continental flood basalts of Dronning Maud Land, East Antarctica: A low-T thermochronological approach</t>
  </si>
  <si>
    <t>GONDWANA RESEARCH</t>
  </si>
  <si>
    <t>Apatite fission track; (U-Th)/He; Thermal modelling; Passive margin; Gondwana rifting</t>
  </si>
  <si>
    <t>APATITE FISSION-TRACK; GRENVILLE-AGE METAMORPHISM; BEACON SUPERGROUP; HU SVERDRUPFJELLA; RADIATION-DAMAGE; HELIUM DIFFUSION; SOUTH-AFRICA; (U-TH)/HE THERMOCHRONOMETRY; PERMIAN PALYNOSTRATIGRAPHY; ANNANDAGSTOPPANE GRANITE</t>
  </si>
  <si>
    <t>The Dronning Maud Land Mountains form a c. 1500 km long, coast-parallel escarpment that possibly formed by flexural uplift (luring Jurassic rifting between East and West Gondwana. Contemporaneous to the rifting, considerable amounts of continental flood basalts, associated with the Karoo mantle plume, were emplaced at c. 183 Ma. The basalts are still widespread in South Africa, making up elevated topography, but are only preserved as smaller remnants in western Dronning Maud Land. By investigating the paleo-thermal effect of the basalts, we aim to constrain the extent and original thickness, as well as the subsequent erosion history of the Jurassic continental flood basalts. Thus, we have applied low-temperature thermochronological methods to 40 samples from western Dronning Maud Land. This has resulted in 34 new apatite fission track ages, ranging from c. 310 to 90 Ma, 31 apatite (U-Th)/He ages spanning from c. 400 to 50 Ma and, and 9 zircon (U-Th)/He ages between c. 650 and 200 Ma. Thermal modelling of 26 samples indicates variable thickness of the Jurassic basaltic cover. The greatest basaltic thicknesses are recorded in Heimefrontfjella and H.U. Sverdrupfjella, where up to c. 2 km are estimated. Thicknesses at Kirwanveggen, Hochlinfjellet, Midbresrabben and Ahlmannryggen range from c. 100 m to 600 m. Thickness variations are attributed to the proximity to the emplacement zone, possible pre-existing topography and syn-volcanic rift flank uplift. Since the continental flood basalt emplacement, two phases of enhanced cooling have been documented: 1) A Jurassic-Cretaceous cooling phase is attributed to reactivation of the Jutulstraumen-Penckgraben rift, the initial rifting and opening of the South Atlantic and enhanced chemical weathering and deep erosion due to a Jurassic temperate-subtropical climate. 2) Late Paleogene cooling is attributed to the transition from green house to ice-house conditions and ice-sheet initiation at the Eocene-Oligocene boundary. Post-Jurassic denudation of at least 2 km in some places is suggested. (C) 2018 International Association for Gondwana Research. Published by Elsevier B.V. All rights reserved.</t>
  </si>
  <si>
    <t>[Sirevaag, Hallgeir; Jacobs, Joachim; Ksienzyk, Anna K.] Univ Bergen, Dept Earth Sci, PB 7803, N-5020 Bergen, Norway; [Jacobs, Joachim] Norwegian Polar Res Inst, Fram Ctr, PB 6606 Langnes, N-9296 Tromso, Norway; [Dunkl, Istvan] Univ Gottingen, Geosci Ctr, Goldschmidtstr 3, D-037077 Gottingen, Germany; [Marschall, Horst R.] Goethe Univ Frankfurt, Inst Geowissensch, Altenhoferallee 1, D-60438 Frankfurt, Germany</t>
  </si>
  <si>
    <t>University of Bergen; Norwegian Polar Institute; University of Gottingen; Goethe University Frankfurt</t>
  </si>
  <si>
    <t>Sirevaag, H (corresponding author), Univ Bergen, Dept Earth Sci, PB 7803, N-5020 Bergen, Norway.</t>
  </si>
  <si>
    <t>Hallgeir.Sirevaag@gmail.com</t>
  </si>
  <si>
    <t>Marschall, Horst/E-1661-2011</t>
  </si>
  <si>
    <t>Marschall, Horst/0000-0002-0609-682X; Dunkl, Istvan/0000-0001-8438-2867</t>
  </si>
  <si>
    <t>University of Bergen; University of Bergen Meltzer fund; NERC Antarctic Funding [NE/D008689/1]</t>
  </si>
  <si>
    <t>University of Bergen; University of Bergen Meltzer fund; NERC Antarctic Funding</t>
  </si>
  <si>
    <t>This project was funded through the PhD program at the University of Bergen and the University of Bergen Meltzer fund. H.R.M thanks the British Antarctic Survey and the Norwegian Polar Institute for logistic support during the 2007/2008 field season, and the NERC Antarctic Funding (grant NE/D008689/1, Chris Hawkesworth). We thank Geoffrey H. Grantham and Chris Harris for providing some of the samples. Judit Dunklne-Nagy and Irina Maria Dumitru are thanked for help with sample preparation and Karen Tellefsen for help with editing text and figures. We appreciate the critical reviews from Paul Green, Wilfried Bauer and an anonymous reviewer, and thank editor Toshiaki Tsunogae for handling this paper.</t>
  </si>
  <si>
    <t>1342-937X</t>
  </si>
  <si>
    <t>1878-0571</t>
  </si>
  <si>
    <t>GONDWANA RES</t>
  </si>
  <si>
    <t>Gondwana Res.</t>
  </si>
  <si>
    <t>10.1016/j.gr.2018.04.017</t>
  </si>
  <si>
    <t>HF4ED</t>
  </si>
  <si>
    <t>WOS:000454185100014</t>
  </si>
  <si>
    <t>Hervé, F; Calderón, M; Fanning, CM; Pankhurst, RJ; Rapela, CW; Quezada, P</t>
  </si>
  <si>
    <t>Herve, Francisco; Calderon, Mauricio; Fanning, C. Mark; Pankhurst, Robert J.; Rapela, Carlos W.; Quezada, Paulo</t>
  </si>
  <si>
    <t>The country rocks of Devonian magmatism in the North Patagonian Massif and Chaitenia</t>
  </si>
  <si>
    <t>ANDEAN GEOLOGY</t>
  </si>
  <si>
    <t>Devonian; Metamorphic complexes; U-Pb zircon ages; North Patagonian Massif; Chaitenia</t>
  </si>
  <si>
    <t>SOUTH-CENTRAL CHILE; U-PB GEOCHRONOLOGY; DETRITAL ZIRCONS; GONDWANA; MARGIN; ANDES; PROVENANCE; EVOLUTION; TERRANE; COMPLEX</t>
  </si>
  <si>
    <t>Previous work has shown that Devonian magmatism in the southern Andes occurred in two contemporaneous belts: one emplaced in the continental crust of the North Patagonian Massif and the other in an oceanic island arc terrane to the west, Chaitenia, which was later accreted to Patagonia. The country rocks of the plutonic rocks consist of metasedimentary complexes which crop out sporadically in the Andes on both sides of the Argentina-Chile border, and additionally of pillow metabasalts for Chaitenia. Detrital zircon SHRIMP U-Pb age determinations in 13 samples of these rocks indicate maximum possible depositional ages from ca. 370 to 900 Ma, and the case is argued for mostly Devonian sedimentation as for the fossiliferous Buill slates. Ordovician, Cambrian-late Neoproterozoic and Grenvilleage provenance is seen throughout, except for the most westerly outcrops where Devonian detrital zircons predominate. Besides a difference in the Precambrian zircon grains, 76% versus 25% respectively, there is no systematic variation in provenance from the Patagonian foreland to Chaitenia, so that the island arc terrane must have been proximal to the continent: its deeper crust is not exposed but several outcrops of ultramafic rocks are known. Zircons with devonian metamorphic rims in rocks from the North Patagonian Massif have no counterpart in the low metamorphic grade Chilean rocks. These Paleozoic metasedimentary rocks were also intruded by Pennsylvanian and Jurassic granitoids.</t>
  </si>
  <si>
    <t>[Herve, Francisco; Calderon, Mauricio] Univ Andres Bello, Fac Ingn, Carrera Geol, Sazie 2119, Santiago, Chile; [Herve, Francisco] Univ Chile, Dept Geol, Plaza Ercilla 803, Santiago, Chile; [Fanning, C. Mark] Australian Natl Univ, Res Sch Earth Sci, Canberra, ACT 0200, Australia; [Pankhurst, Robert J.] British Geol Survey, Nottingham NG12 5GG, England; [Rapela, Carlos W.] Univ Nacl la Plata, Ctr Invest Geol, Diagonal 113,275, RA-1900 La Plata, Buenos Aires, Argentina; [Quezada, Paulo] Minist Mineria, Seremi Mineria Reg Aysen, Avda Baquedano,336, Coyhaique, Chile</t>
  </si>
  <si>
    <t>Universidad Andres Bello; Universidad de Chile; Australian National University; UK Research &amp; Innovation (UKRI); Natural Environment Research Council (NERC); NERC British Geological Survey; National University of La Plata</t>
  </si>
  <si>
    <t>Hervé, F (corresponding author), Univ Andres Bello, Fac Ingn, Carrera Geol, Sazie 2119, Santiago, Chile.;Hervé, F (corresponding author), Univ Chile, Dept Geol, Plaza Ercilla 803, Santiago, Chile.</t>
  </si>
  <si>
    <t>fherve@unab.cl; mauricio.calderon@unab.cl; mark.fanning@anu.edu.au; rjpankhurst@gmail.com; crapela@cig.museo.unlp.edu.ar; p.quezada.pozo@gmail.com</t>
  </si>
  <si>
    <t>Fanning, C. Mark/I-6449-2016; Herve, Francisco/HDO-6628-2022; Calderon, Mauricio/AAY-6863-2020</t>
  </si>
  <si>
    <t>Chilean Fondecyt [1130227, 1180457]; British Antarctic Survey; CONICET (Argentina); NERC [bgs05017] Funding Source: UKRI</t>
  </si>
  <si>
    <t>Chilean Fondecyt(Comision Nacional de Investigacion Cientifica y Tecnologica (CONICYT)CONICYT FONDECYT); British Antarctic Survey; CONICET (Argentina)(Consejo Nacional de Investigaciones Cientificas y Tecnicas (CONICET)); NERC(UK Research &amp; Innovation (UKRI)Natural Environment Research Council (NERC))</t>
  </si>
  <si>
    <t>Chilean Fondecyt projects 1130227 and 1180457 financed this research. Some of the sampling and analysis in the North Patagonian Massif was carried out earlier with support from CONICET (Argentina) and British Antarctic Survey. Dr. F. Fuentes (Universidad Andres Bello) and students C. Palape, C. Marambio (Universidad de Chile) and F. Vildoso (Universidad Andres Bello) participated in part of the field work. C. Mpodozis and V. Ramos gave useful reviews.</t>
  </si>
  <si>
    <t>SERVICIO NACIONAL GEOLOGIA MINERVA</t>
  </si>
  <si>
    <t>SANTIAGO</t>
  </si>
  <si>
    <t>AVDA SANTA MARIO 0104, CASILLA 10465, SANTIAGO, CHILE</t>
  </si>
  <si>
    <t>0718-7106</t>
  </si>
  <si>
    <t>ANDEAN GEOL</t>
  </si>
  <si>
    <t>Andean Geol.</t>
  </si>
  <si>
    <t>10.5027/andgeoV45n3-3117</t>
  </si>
  <si>
    <t>GZ5LY</t>
  </si>
  <si>
    <t>WOS:000449464900001</t>
  </si>
  <si>
    <t>Rodrigo, C; Blamey, JM; Huhn, O; Provost, C</t>
  </si>
  <si>
    <t>Rodrigo, Cristian; Blamey, Jenny M.; Huhn, Oliver; Provost, Christine</t>
  </si>
  <si>
    <t>Is there an active hydrothermal flux from the Orca seamount in the Bransfield Strait, Antarctica?</t>
  </si>
  <si>
    <t>Hydrothermal; Helium isotope; Thermophiles; Seamount; Volcanism; Rift system; Antarctica</t>
  </si>
  <si>
    <t>DECEPTION ISLAND; SPREADING CENTER; DRAKE PASSAGE; SCOTIA RIDGE; SEA-FLOOR; BASIN; PENINSULA; SYSTEM; WATERS; ARC</t>
  </si>
  <si>
    <t>The rifting zone of Bransfield Strait, Antarctica, is tectonically and geologically unique. It is a back-arc basin that was opened by extensional forces associated to roll-back subduction after cessation of spreading activity of the Phoenix Ridge, and the transtension of the westward ending of Scotia-Antarctica Plate boundary. The Bransfield Rift/Ridge is still active generating volcanism or magma rise to force hydrothermal activity. During the ANT-XXV/4 cruise onboard R/V Polarstem, standard CTD and beam transmission measurements were done to determine temperature anomaly and turbidity. Water sampling was performed to determine delta He-3 and to find thermophilic microorganisms to examine the Orca seamount hydrothermal activity. A temperature anomaly of similar to 0.08 degrees C, a pick of turbidity, and high value of delta He-3 (&gt;10%) were found inside Orca seamount. Results are consistent with a hydrothermal flux coming from the seamount. The report of the first observation of thermophilic and hyperthermophilic microorganisms in cold deep Antarctic waters is part of this study. Inside Orca seamount these microorganisms were found at three different depth levels close to the bottom. We suggest that the fluid migration from the volcano resulted from recent magmatic activity and provided the required elemental nutrients for microbial growth. Besides some thermophiles were found outside the seamount in a small quantity close to the seafloor. These would probably be related to subsidiary structures of the Orca seamount, or were transported by currents from other active volcanic sites as Deception Island. The finding of these thermophilic and hyperthermophilic microorganisms raise questions about the dispersal and their resistance in these extreme environments.</t>
  </si>
  <si>
    <t>[Rodrigo, Cristian] Univ Andres Bello, Geol, Fac Ingn, Quillota 980, Vina Del Mar, Chile; [Rodrigo, Cristian] Univ Andres Bello, Ctr Invest Marina Quintay, Camino Ballenera S-N, Quintay, Chile; [Blamey, Jenny M.] Biosci Fdn, Jose Domingo Canas 2280, Santiago, Chile; [Huhn, Oliver] Univ Bremen, Inst Umweltphys, Otto Hahn Allee, D-28359 Bremen, Germany; [Provost, Christine] Univ Paris 06, LOCEAN, Inst Pierre Simon Lapl, Boite 100-4,Pl Jussieu, F-75252 Paris 05, France</t>
  </si>
  <si>
    <t>Universidad Andres Bello; Universidad Andres Bello; University of Bremen; Sorbonne Universite; Museum National d'Histoire Naturelle (MNHN)</t>
  </si>
  <si>
    <t>Rodrigo, C (corresponding author), Univ Andres Bello, Geol, Fac Ingn, Quillota 980, Vina Del Mar, Chile.;Rodrigo, C (corresponding author), Univ Andres Bello, Ctr Invest Marina Quintay, Camino Ballenera S-N, Quintay, Chile.</t>
  </si>
  <si>
    <t>cristian.rodrigo@unab.cl; jblamey@bioscience.cl; ohuhn@uni-bremen.de; christine.provost@locean.upmc.fr</t>
  </si>
  <si>
    <t>Blamey, Jenny M/M-2637-2014</t>
  </si>
  <si>
    <t>Blamey, Jenny M/0000-0002-7640-316X; Rodrigo, Cristian/0000-0003-3523-9698</t>
  </si>
  <si>
    <t>German Science Foundation [DFG/SPP1159, RH25/32, HU 1544/4]</t>
  </si>
  <si>
    <t>German Science Foundation(German Research Foundation (DFG))</t>
  </si>
  <si>
    <t>We greatly appreciate the support of the captain and crew of the R/V Polarsten, technical and scientific party of the ANT XXV-4/Drake Cruise. Special thanks to the Argentine and French scientific group on board. Many thanks to C. Balestrini for the pH data, and to E. Baker for his commentaries. Helium measurements and analysis were granted by the German Science Foundation DFG/SPP1159 (Grant RH25/32 and and HU 1544/4). Also we thank DIFROL, SHOA and AWI for managing the embarking to the ship, and to the Instituto Antartico Chileno (INACH). We would also like to thank the Editor W. Vivallo and the reviewer L. Somoza for their constructive comments; and S. Stipetic, UNAB geology student, for helping in the review of the manuscript.</t>
  </si>
  <si>
    <t>10.5027/andgeoV45n3-3086</t>
  </si>
  <si>
    <t>WOS:000449464900003</t>
  </si>
  <si>
    <t>Araos, JM; Le Roux, JP; Kaplan, MR; Spagnolo, M</t>
  </si>
  <si>
    <t>Araos, Jose M.; Le Roux, Jacobus P.; Kaplan, Michael R.; Spagnolo, Matteo</t>
  </si>
  <si>
    <t>Factors controlling alpine glaciations in the Sierra Baguales Mountain Range of southern Patagonia (50° S), inferred from the morphometric analysis of glacial cirques</t>
  </si>
  <si>
    <t>Cirque; Sierra Baguales Mountain Range; Glacial geomorphology; Alpine glaciation; Southern Patagonia</t>
  </si>
  <si>
    <t>PUERTO-BANDERA MORAINES; ANTARCTIC COLD REVERSAL; PAINE NATIONAL-PARK; CHILEAN PATAGONIA; MAGALLANES BASIN; LAGO-ARGENTINO; SANTA-CRUZ; AMERICA; HOLOCENE; HISTORY</t>
  </si>
  <si>
    <t>The Sierra Baguales Mountain Range, forming the eastern foothills of the Southern Patagonian Andes, has well-developed alpine-glaciated landforms which present an ideal opportunity to study climatic and non-climatic factors that control cirque development and morphology. One hundred and forty-three glacial cirques were studied with reference to 14 morphometric attributes which were analyzed using statistical analysis and GIS methodologies. The cirques were classified into two types using cluster analysis complimented with a composite map based on the attributes, the latter technique that is applied to glacial cirque analysis for the first time. Type 1 cirques are associated with glacial processes isolated from the Southern Patagonian Ice Field (SPIF), developed under locally cold and dry climatic conditions. Type 2 glacial cirques are associated with older, more extensive glacial processes controlled by regional-scale climate variables and the presence of the Pleistocene Ice Sheet. The results show that the development of most of the glacial cirques has been controlled mainly by their aspect, exposure to solar radiation, Southern Hemisphere Westerly winds, and cirque floor slope. Finally, we concluded that our analyses show the evolution of cirques in the Sierra Baguales Mountain Range was not uniform. Cirque glaciers that developed to the west, close to the Southern Patagonian Ice field, have been more dynamic, and therefore their cirques experienced more erosion than those located to the east.</t>
  </si>
  <si>
    <t>[Araos, Jose M.; Le Roux, Jacobus P.] Univ Chile, Programa Doctorado Ciencias, Menc Geol, Dept Geol,Fac Ciencias Fis &amp; Matemat, Plaza Ercilla 803, Santiago, Chile; [Araos, Jose M.] Univ Alberto Hurtado, Dept Geog, Cienfuegos 41, Santiago, Chile; [Le Roux, Jacobus P.] Univ Chile, Andean Geothermal Ctr Excellence, Plaza Ercilla 803, Santiago, Chile; [Kaplan, Michael R.] Columbia Univ, Lamont Doherty Earth Observ, 61 Route 9W, Palisades, NY 10964 USA; [Spagnolo, Matteo] Univ Aberdeen, Sch Geosci, Aberdeen AB24 3UF, Scotland</t>
  </si>
  <si>
    <t>Universidad de Chile; Universidad Alberto Hurtado; Universidad de Chile; Columbia University; University of Aberdeen</t>
  </si>
  <si>
    <t>Araos, JM (corresponding author), Univ Chile, Programa Doctorado Ciencias, Menc Geol, Dept Geol,Fac Ciencias Fis &amp; Matemat, Plaza Ercilla 803, Santiago, Chile.;Araos, JM (corresponding author), Univ Alberto Hurtado, Dept Geog, Cienfuegos 41, Santiago, Chile.</t>
  </si>
  <si>
    <t>josearaos@ug.uchile.cl; jroux@ing.uchile.cl; mkaplan@ldeo.columbia.edu; m.spagnolo@abdn.ac.uk</t>
  </si>
  <si>
    <t>Kaplan, Michael R/D-4720-2011; Spagnolo, Matteo/G-2415-2011; Le Roux, Jacobus Philippus/U-7085-2019</t>
  </si>
  <si>
    <t>Spagnolo, Matteo/0000-0002-2753-338X; Le Roux, Jacobus Philippus/0000-0003-0173-4471; Araos Espinoza, Jose/0000-0002-5443-9911</t>
  </si>
  <si>
    <t>Becas de Doctorado en Chile Scholarships Program; Gastos Operacionales para Proyecto de Tesis Doctoral of CONICYT; NSF [BCS 1263474]; Climate Center of LSEO; NASA GISS; [CONICYT/FONDAP/15090013]</t>
  </si>
  <si>
    <t>Becas de Doctorado en Chile Scholarships Program; Gastos Operacionales para Proyecto de Tesis Doctoral of CONICYT; NSF(National Science Foundation (NSF)); Climate Center of LSEO; NASA GISS(National Aeronautics &amp; Space Administration (NASA));</t>
  </si>
  <si>
    <t>We are grateful for grants from the Becas de Doctorado en Chile Scholarships Program and Gastos Operacionales para Proyecto de Tesis Doctoral of CONICYT. J. MacLean and his family kindly allowed access to the farms Las Cumbres and Baguales and J.P. Riquez allowed access to the farm Verdadera Argentina. J.C. Aravena and R. Villa-Martinez of the Universidad de Magallanes, J.L. Oyarzun, and J.J. San Martin provided much-appreciated logistical support. R. Arce, M. Gonzalez, and C. Peltier lent invaluable assistance in field activities. Kaplan issupported by NSF BCS 1263474, and in part by the Climate Center of LSEO and NASA GISS, and Le Roux by Project CONICYT/FONDAP/15090013. This is LDEO contribution 8252.</t>
  </si>
  <si>
    <t>10.5027/andgeoV45n3-2974</t>
  </si>
  <si>
    <t>WOS:000449464900004</t>
  </si>
  <si>
    <t>Alvarado, P; Huang, Y; Wang, J; Garrido, I; Leiva, S</t>
  </si>
  <si>
    <t>Alvarado, Pamela; Huang, Ying; Wang, Jian; Garrido, Ignacio; Leiva, Sergio</t>
  </si>
  <si>
    <t>Phylogeny and bioactivity of epiphytic Gram-positive bacteria isolated from three co-occurring antarctic macroalgae</t>
  </si>
  <si>
    <t>ANTONIE VAN LEEUWENHOEK INTERNATIONAL JOURNAL OF GENERAL AND MOLECULAR MICROBIOLOGY</t>
  </si>
  <si>
    <t>Microbiome; Culturable; Culturomics; Streptomycetaceae; Pseudonocardiaceae; Nocardiaceae</t>
  </si>
  <si>
    <t>ANTIMICROBIAL ACTIVITY; MARINE ACTINOBACTERIA; SP NOV.; COMMUNITY COMPOSITION; LAMINARIA-SACCHARINA; BROWN-ALGAE; BALTIC SEA; DIVERSITY; RED; SURFACE</t>
  </si>
  <si>
    <t>Marine macroalgae are emerging as an untapped source of novel microbial diversity and, therefore, of new bioactive secondary metabolites. This study was aimed at assessing the diversity and antimicrobial activity of the culturable Gram-positive bacteria associated with the surface of three co-occurring Antarctic macroalgae. Specimens of Adenocystis utricularis (brown alga), Iridaea cordata (red alga) and Monostroma hariotii (green alga) were collected from the intertidal zone of King George Island, Antarctica. Gram-positive bacteria were investigated by cultivation-based methods and 16S rRNA gene sequencing, and screened for antimicrobial activity against a panel of pathogenic microorganisms. Isolates were found to belong to 12 families, with a dominance of Microbacteriaceae and Micrococcaceae. Seventeen genera of Actinobacteria and 2 of Firmicutes were cultured from the three macroalgae, containing 29 phylotypes. Three phylotypes within Actinobacteria were regarded as potentially novel species. Sixteen isolates belonging to the genera Agrococcus, Arthrobacter, Micrococcus, Pseudarthrobacter, Pseudonocardia, Sanguibacter, Staphylococcus, Streptomyces and Tessaracoccus exhibited antibiotic activity against at least one of the indicator strains. The bacterial phylotype composition was distinct among the three macroalgae species, suggesting that these macroalgae host species-specific Gram-positive associates. The results highlight the importance of Antarctic macroalgae as a rich source of Gram-positive bacterial diversity and potentially novel species, and a reservoir of bacteria producing biologically active compounds with pharmacological potential.</t>
  </si>
  <si>
    <t>[Alvarado, Pamela] Univ Tecnol Chile INACAP, Ave Rene Soriano 2382, Osorno, Chile; [Huang, Ying; Wang, Jian] Chinese Acad Sci, Inst Microbiol, State Key Lab Microbial Resources, Beijing 100101, Peoples R China; [Garrido, Ignacio] Univ Laval, Dept Biol &amp; Quebec Ocean, Pavillon Alexandre Vachon 1045,Ave Med, Quebec City, PQ G1V 0A6, Canada; [Leiva, Sergio] Univ Austral Chile, Fac Ciencias, Inst Bioquim &amp; Microbiol, Casilla 567, Valdivia, Chile</t>
  </si>
  <si>
    <t>Chinese Academy of Sciences; Institute of Microbiology, CAS; Laval University; Universidad Austral de Chile</t>
  </si>
  <si>
    <t>Leiva, S (corresponding author), Univ Austral Chile, Fac Ciencias, Inst Bioquim &amp; Microbiol, Casilla 567, Valdivia, Chile.</t>
  </si>
  <si>
    <t>sleiva@uach.cl</t>
  </si>
  <si>
    <t>Alvarado, Pamela/JOJ-8930-2023</t>
  </si>
  <si>
    <t>Instituto Antartico Chileno (INACH) [RT_06-13]; National Natural Science Foundation of China (NSFC) [31470142]; [Anillo ART1101]</t>
  </si>
  <si>
    <t>Instituto Antartico Chileno (INACH); National Natural Science Foundation of China (NSFC)(National Natural Science Foundation of China (NSFC));</t>
  </si>
  <si>
    <t>This work was supported by a grant of Instituto Antartico Chileno (INACH, Grant RT_06-13) and Grant 31470142 from the National Natural Science Foundation of China (NSFC). We also thank the INACH staff at Station Prof. Julio Escudero for logistic support. We are also grateful to Dr Ivan Gomez and his group (Project Anillo ART1101) for its valuable support during the fieldwork.</t>
  </si>
  <si>
    <t>0003-6072</t>
  </si>
  <si>
    <t>1572-9699</t>
  </si>
  <si>
    <t>ANTON LEEUW INT J G</t>
  </si>
  <si>
    <t>Antonie Van Leeuwenhoek</t>
  </si>
  <si>
    <t>10.1007/s10482-018-1044-6</t>
  </si>
  <si>
    <t>GQ5MR</t>
  </si>
  <si>
    <t>WOS:000441729300005</t>
  </si>
  <si>
    <t>Ma, JC; Stevens, GW; Mumford, KA</t>
  </si>
  <si>
    <t>Ma, Junchao; Stevens, Geoffrey W.; Mumford, Kathryn A.</t>
  </si>
  <si>
    <t>The performance of diphenyldichlorosilane coated ammonium exchange zeolite and its application in the combination of adsorption and biodegradation of hydrocarbon contaminated ground water</t>
  </si>
  <si>
    <t>CHEMICAL ENGINEERING JOURNAL</t>
  </si>
  <si>
    <t>DPDSCI coated ammonium zeolite; Toluene adsorption; Nutrient release; Adsorption isotherms; Regeneration; Biodegradation</t>
  </si>
  <si>
    <t>PERMEABLE REACTIVE BARRIERS; PETROLEUM-HYDROCARBONS; SITE REMEDIATION; NATURAL ZEOLITE; COLD REGIONS; POLLUTANTS; SORPTION; BIOREMEDIATION; TEMPERATURE; ANTARCTICA</t>
  </si>
  <si>
    <t>To enhance biodegradation in Permeable Reactive Barriers, Diphenyldichlorosilane (DPDSCI) coated ammonium zeolite was selected as a reactive material for development as it undergoes reversible hydrocarbon adsorption and may release nutrients in a controlled manner. To investigate its hydrocarbon adsorption and nutrient release behaviour under varying conditions, batch tests were conducted by immersing the material into different concentrations of toluene and potassium chloride solutions. Results showed that the ammonium release ability was not significantly influenced by a change in toluene concentration, while the toluene adsorption performance was affected by fluctuations in potassium concentration. The overall ammonium release capacity of the modified zeolite was 0.8 mmol/g, and the toluene adsorption capacity was 9.355 mu mol/g without KCl in solution. The Langmuir isotherm fitted the adsorption isotherms well, indicating that the adsorption mechanism of DPDSCI coated ammonium zeolite is the same as that of DPDSCI coated natural zeolite: a monolayer and homogenous surface adsorption process. Regeneration tests showed that this material may be used, cleaned and reused at least three times without a significant reduction in performance.</t>
  </si>
  <si>
    <t>[Ma, Junchao; Stevens, Geoffrey W.; Mumford, Kathryn A.] Univ Melbourne, Dept Chem &amp; Biomol Engn, Particulate Fluids Proc Ctr, Melbourne, Vic 3010, Australia</t>
  </si>
  <si>
    <t>University of Melbourne; Melbourne Bioinformatics</t>
  </si>
  <si>
    <t>Mumford, KA (corresponding author), Univ Melbourne, Dept Chem &amp; Biomol Engn, Particulate Fluids Proc Ctr, Melbourne, Vic 3010, Australia.</t>
  </si>
  <si>
    <t>junchaom@student.unimelb.edu.au; gstevens@unimelb.edu.au; mumfordk@unimelb.edu.au</t>
  </si>
  <si>
    <t>Mumford, Kathryn A/M-6566-2015</t>
  </si>
  <si>
    <t>Stevens, Geoffrey/0000-0002-5788-4682</t>
  </si>
  <si>
    <t>Particulate Fluids Processing Centre, a Special Research Centre of the Australian Research Council; University of Melbourne; Chinese Scholarship Council</t>
  </si>
  <si>
    <t>Particulate Fluids Processing Centre, a Special Research Centre of the Australian Research Council(Australian Research Council); University of Melbourne(University of Melbourne); Chinese Scholarship Council(China Scholarship Council)</t>
  </si>
  <si>
    <t>This study was supported by the Particulate Fluids Processing Centre, a Special Research Centre of the Australian Research Council. The Australian zeolite was supplied by the Australian Antarctic Division. Thanks to University of Melbourne and Chinese Scholarship Council for scholarship support.</t>
  </si>
  <si>
    <t>ELSEVIER SCIENCE SA</t>
  </si>
  <si>
    <t>PO BOX 564, 1001 LAUSANNE, SWITZERLAND</t>
  </si>
  <si>
    <t>1385-8947</t>
  </si>
  <si>
    <t>1873-3212</t>
  </si>
  <si>
    <t>CHEM ENG J</t>
  </si>
  <si>
    <t>Chem. Eng. J.</t>
  </si>
  <si>
    <t>SEP 1</t>
  </si>
  <si>
    <t>10.1016/j.cej.2018.04.115</t>
  </si>
  <si>
    <t>Engineering, Environmental; Engineering, Chemical</t>
  </si>
  <si>
    <t>Engineering</t>
  </si>
  <si>
    <t>GG7NL</t>
  </si>
  <si>
    <t>WOS:000432884900040</t>
  </si>
  <si>
    <t>Dätwyler, C; Neukom, R; Abram, NJ; Gallant, AJE; Grosjean, M; Jacques-Coper, M; Karoly, DJ; Villalba, R</t>
  </si>
  <si>
    <t>Datwyler, Christoph; Neukom, Raphael; Abram, Nerilie J.; Gallant, Ailie J. E.; Grosjean, Martin; Jacques-Coper, Martin; Karoly, David J.; Villalba, Ricardo</t>
  </si>
  <si>
    <t>Teleconnection stationarity, variability and trends of the Southern Annular Mode (SAM) during the last millennium</t>
  </si>
  <si>
    <t>Climate change; Climate reconstruction; Paleoclimate; Southern Hemisphere; Holocene</t>
  </si>
  <si>
    <t>SEA-LEVEL PRESSURE; VOLCANIC-ERUPTIONS; TEMPERATURE RECONSTRUCTIONS; HEMISPHERE CIRCULATION; ANTARCTIC OSCILLATION; SURFACE-TEMPERATURE; CLIMATE-CHANGE; PART I; DECADAL VARIATIONS; PAST MILLENNIUM</t>
  </si>
  <si>
    <t>The Southern Annular Mode (SAM) is the leading mode of atmospheric interannual variability in the Southern Hemisphere (SH) extra-tropics. Here, we assess the stationarity of SAM spatial correlations with instrumental and paleoclimate proxy data for the past millennium. The instrumental period shows that temporal non-stationarities in SAM teleconnections are not consistent across the SH land areas. This suggests that the influence of the SAM index is modulated by regional effects. However, within key-regions with good proxy data coverage (South America, Tasmania, New Zealand), teleconnections are mostly stationary over the instrumental period. Using different stationarity criteria for proxy record selection, we provide new austral summer and annual mean SAM index reconstructions over the last millennium. Our summer SAM reconstructions are very robust to changes in proxy record selection and the selection of the calibration period, particularly on the multi-decadal timescale. In contrast, the weaker performance and lower agreement in the annual mean SAM reconstructions point towards changing teleconnection patterns that may be particularly important outside the summer months. Our results clearly portend that the temporal stationarity of the proxy-climate relationships should be taken into account in the design of comprehensive regional and hemispherical climate reconstructions. The summer SAM reconstructions show no significant relationship to solar, greenhouse gas and volcanic forcing, with the exception of an extremely strong negative anomaly following the AD 1257 Samalas eruption. Furthermore, reconstructed pre-industrial summer SAM trends are very similar to trends obtained by model control simulations. We find that recent trends in the summer SAM lie outside the 5-95% range of pre-industrial natural variability.</t>
  </si>
  <si>
    <t>[Datwyler, Christoph; Neukom, Raphael; Grosjean, Martin] Univ Bern, Inst Geog, CH-3012 Bern, Switzerland; [Datwyler, Christoph; Neukom, Raphael; Grosjean, Martin] Univ Bern, Oeschger Ctr Climate Change Res, CH-3012 Bern, Switzerland; [Abram, Nerilie J.] Australian Natl Univ, Res Sch Earth Sci, Canberra, ACT, Australia; [Abram, Nerilie J.] Australian Natl Univ, ARC Ctr Excellence Climate Syst Sci, Canberra, ACT, Australia; [Gallant, Ailie J. E.] Monash Univ, Sch Earth Atmosphere &amp; Environm, Clayton, Vic 3800, Australia; [Jacques-Coper, Martin] Univ Concepcion, Dept Geofis, Concepcion, Chile; [Jacques-Coper, Martin] Univ Concepcion, Ctr Climate &amp; Resilience Res, Concepcion, Chile; [Karoly, David J.] Univ Melbourne, Sch Earth Sci, Melbourne, Vic 3010, Australia; [Karoly, David J.] Univ Melbourne, ARC Ctr Excellence Climate Syst Sci, Melbourne, Vic 3010, Australia; [Villalba, Ricardo] CCT CONICET, Inst Argentino Nivol Glaciol &amp; Ciencias Ambiental, RA-5500 Mendoza, Argentina</t>
  </si>
  <si>
    <t>University of Bern; University of Bern; Australian National University; Australian National University; ARC Centre of Excellence for Climate System Science; Monash University; Universidad de Concepcion; Universidad de Concepcion; University of Melbourne; Melbourne Bioinformatics; Melbourne Genomics Health Alliance; ARC Centre of Excellence for Climate System Science; University of Melbourne; Consejo Nacional de Investigaciones Cientificas y Tecnicas (CONICET)</t>
  </si>
  <si>
    <t>Dätwyler, C (corresponding author), Univ Bern, Inst Geog, CH-3012 Bern, Switzerland.;Dätwyler, C (corresponding author), Univ Bern, Oeschger Ctr Climate Change Res, CH-3012 Bern, Switzerland.</t>
  </si>
  <si>
    <t>christoph.daetwyler@giub.unibe.ch</t>
  </si>
  <si>
    <t>Abram, Nerilie/AAT-5171-2021; Gallant, Ailie/N-3938-2013; Neukom, Raphael/J-7842-2017; IPO, PAGES/JXY-7546-2024; Karoly, David/C-8262-2011</t>
  </si>
  <si>
    <t>Karoly, David/0000-0002-8671-2994; Datwyler, Christoph/0000-0002-9923-4311; Abram, Nerilie/0000-0003-1246-2344; Neukom, Raphael/0000-0001-9392-0997; Villalba, Ricardo/0000-0001-8183-0310; Gallant, Ailie/0000-0002-7917-1069</t>
  </si>
  <si>
    <t>Swiss National Science Foundation (SNF) Ambizione grant [PZ00P2_154802]; Australian Research Council Centre of Excellence for Climate System Science [CE110001028]; CONICYT-Chile [PAI79160105, FONDAP15110009]; Division Of Earth Sciences; Directorate For Geosciences [1440015] Funding Source: National Science Foundation; Swiss National Science Foundation (SNF) [PZ00P2_154802] Funding Source: Swiss National Science Foundation (SNF)</t>
  </si>
  <si>
    <t>Swiss National Science Foundation (SNF) Ambizione grant(Swiss National Science Foundation (SNSF)); Australian Research Council Centre of Excellence for Climate System Science(Australian Research Council); CONICYT-Chile(Comision Nacional de Investigacion Cientifica y Tecnologica (CONICYT)); Division Of Earth Sciences; Directorate For Geosciences(National Science Foundation (NSF)NSF - Directorate for Geosciences (GEO)); Swiss National Science Foundation (SNF)(Swiss National Science Foundation (SNSF))</t>
  </si>
  <si>
    <t>This is a contribution to the Past Global Changes (PAGES) 2k Network. Researchers from the PAGES2k consortium are acknowledged for providing access to data and metadata information. We thank Michael N. Evans for discussions. This study was supported by the Swiss National Science Foundation (SNF) Ambizione grant PZ00P2_154802. DJK receives funding through the Australian Research Council Centre of Excellence for Climate System Science (CE110001028). MJC acknowledges CONICYT-Chile through grants PAI79160105 and FONDAP15110009. RN, MG, and CD designed the study; CD and RN led the writing and conducted the data analysis. All authors jointly discussed and contributed to the writing.</t>
  </si>
  <si>
    <t>10.1007/s00382-017-4015-0</t>
  </si>
  <si>
    <t>GR2SQ</t>
  </si>
  <si>
    <t>WOS:000442433200041</t>
  </si>
  <si>
    <t>Baccolo, G; Cibin, G; Delmonte, B; Hampai, D; Marcelli, A; Di Stefano, E; Macis, S; Maggi, V</t>
  </si>
  <si>
    <t>Baccolo, Giovanni; Cibin, Giannantonio; Delmonte, Barbara; Hampai, Dariush; Marcelli, Augusto; Di Stefano, Elena; Macis, Salvatore; Maggi, Valter</t>
  </si>
  <si>
    <t>The Contribution of Synchrotron Light for the Characterization of Atmospheric Mineral Dust in Deep Ice Cores: Preliminary Results from the Talos Dome Ice Core (East Antarctica)</t>
  </si>
  <si>
    <t>CONDENSED MATTER</t>
  </si>
  <si>
    <t>atmospheric mineral dust; ice core; Antarctica; paleoclimate; synchrotron radiation; X-ray absorption near edge spectroscopy; X-ray fluorescence; iron geochemistry</t>
  </si>
  <si>
    <t>PAST 800,000 YEARS; OXIDATION-STATE; AEOLIAN DUST; CHRONOLOGY AICC2012; CLIMATE; IRON; OCEAN; SPECTROSCOPY; TRANSPORT; JAROSITE</t>
  </si>
  <si>
    <t>The possibility of finding a stratigraphically intact ice sequence with a potential basal age exceeding one million years in Antarctica is giving renewed interest to deep ice coring operations. But the older and deeper the ice, the more impactful are the post-depositional processes that alter and modify the information entrapped within ice layers. Understanding in situ post-depositional processes occurring in the deeper part of ice cores is essential to comprehend how the climatic signals are preserved in deep ice, and consequently how to construct the paleoclimatic records. New techniques and new interpretative tools are required for these purposes. In this respect, the application of synchrotron light to microgram-sized atmospheric dust samples extracted from deep ice cores is extremely promising. We present here preliminary results on two sets of samples retrieved from the Talos Dome Antarctic ice core. A first set is composed by samples from the stratigraphically intact upper part of the core, the second by samples retrieved from the deeper part of the core that is still undated. Two techniques based on synchrotron light allowed us to characterize the dust samples, showing that mineral particles entrapped in the deepest ice layers display altered elemental composition and anomalies concerning iron geochemistry, besides being affected by inter-particle aggregation.</t>
  </si>
  <si>
    <t>[Baccolo, Giovanni; Delmonte, Barbara; Di Stefano, Elena; Maggi, Valter] Univ Milano Bicocca, Environm &amp; Earth Sci Dept, I-20126 Milan, Italy; [Baccolo, Giovanni; Di Stefano, Elena; Maggi, Valter] Ist Nazl Fis Nucl, Milano Bicocca Sect, I-20126 Milan, Italy; [Cibin, Giannantonio] Diamond Light Source, Harwell Sci &amp; Innovat Campus, Didcot OX11 0DE, Oxon, England; [Hampai, Dariush; Marcelli, Augusto; Macis, Salvatore] Ist Nazl Fis Nucl, Lab Nazl Frascati, I-00044 Frascati, Italy; [Marcelli, Augusto] Rome Int Ctr Mat Sci Superstripes, RICMASS, I-00185 Rome, Italy; [Di Stefano, Elena] Univ Siena, Dept Phys Earth &amp; Environm Sci, I-53100 Siena, Italy; [Macis, Salvatore] Univ Roma Tor Vergata, Dept Math &amp; Phys, I-00133 Rome, Italy</t>
  </si>
  <si>
    <t>University of Milano-Bicocca; Istituto Nazionale di Fisica Nucleare (INFN); Diamond Light Source; Istituto Nazionale di Fisica Nucleare (INFN); University of Siena; University of Rome Tor Vergata</t>
  </si>
  <si>
    <t>Baccolo, G (corresponding author), Univ Milano Bicocca, Environm &amp; Earth Sci Dept, I-20126 Milan, Italy.;Baccolo, G (corresponding author), Ist Nazl Fis Nucl, Milano Bicocca Sect, I-20126 Milan, Italy.</t>
  </si>
  <si>
    <t>giovanni.baccolo@mib.infn.it; giannantonio.cibin@diamond.ac.uk; barbara.delmonte@unimib.it; dariush.hampai@lnf.infn.it; augusto.marcelli@lnf.infn.it; elena.distefano@mib.infn.it; salvatore.macis91@gmail.com; valter.maggi@unimib.it</t>
  </si>
  <si>
    <t>Baccolo, Giovanni/J-9543-2019; Marcelli, Augusto/H-3868-2019; Maggi, Valter/AAX-5728-2020; Macis, Salvatore/AAJ-4411-2021; Cibin, Giannantonio/G-2809-2015; Delmonte, Barbara/L-2555-2015; Hampai, Dariush/AAW-2056-2021</t>
  </si>
  <si>
    <t>Baccolo, Giovanni/0000-0002-1246-8968; Marcelli, Augusto/0000-0002-8138-7547; Maggi, Valter/0000-0001-6287-1213; Delmonte, Barbara/0000-0002-9074-2061; Hampai, Dariush/0000-0002-8881-0520</t>
  </si>
  <si>
    <t>DARA (Dipartimento per gli Affari Regionali e Autonomie of Italian Presidenza del Consiglio dei Ministri)</t>
  </si>
  <si>
    <t>The Talos Dome Ice core Project (TALDICE), a joint European programme, is funded by national contributions from Italy, France, Germany, Switzerland and the United Kingdom. Primary logistical support was provided by PNRA at Talos Dome. This is TALDICE publication no 50. This study has been partially supported by DARA (Dipartimento per gli Affari Regionali e Autonomie of Italian Presidenza del Consiglio dei Ministri) in the framework of the MIAMI (Monitoraggio dell'Inquinamento Atmosferico della Montagna Italiana) project. Synchrotron radiation measurements were carried out in the framework of Proposals NT1984 at the Diamond Light Source.</t>
  </si>
  <si>
    <t>2410-3896</t>
  </si>
  <si>
    <t>CONDENS MATTER</t>
  </si>
  <si>
    <t>Condens. Matter</t>
  </si>
  <si>
    <t>10.3390/condmat3030025</t>
  </si>
  <si>
    <t>Physics, Condensed Matter</t>
  </si>
  <si>
    <t>Physics</t>
  </si>
  <si>
    <t>GU5DB</t>
  </si>
  <si>
    <t>WOS:000445304300005</t>
  </si>
  <si>
    <t>Fu, WW; Bardin, A; Primeau, F</t>
  </si>
  <si>
    <t>Fu, Weiwei; Bardin, Ann; Primeau, Francois</t>
  </si>
  <si>
    <t>Tracing ventilation source of tropical pacific oxygen minimum zones with an adjoint global ocean transport model</t>
  </si>
  <si>
    <t>Adjoint transport model; Ventilation; Oxygen minimum zone; Eastern Tropical Pacific; Transit time</t>
  </si>
  <si>
    <t>ANTARCTIC INTERMEDIATE WATER; SOUTH-PACIFIC; OVERTURNING CIRCULATIONS; SURFACE; FLOW; RADIOCARBON; THERMOCLINE; INTERIOR; SHALLOW; MASSES</t>
  </si>
  <si>
    <t>To better understand the changes in the ventilation of Oxygen Minimum Zones (OMZs) in the Eastern Tropical North Pacific (ETNP) and South Pacific (ETSP), we use an adjoint global transport model to trace the surface locations of their source waters. The transit times for surface waters to reach the OMZs are obtained for steady-state transport. For the ETNP OMZ, 26% of the water volume makes last contact with the atmosphere in the Equatorial North Pacific with mean transit time of 109 years. Mid-latitude North and South Pacific make comparable volumetric contributions (17% and 18% respectively), but have mean transit times that differ by a factor of 2 (186 and 382 years, respectively). The combined contribution of the Southern Ocean and North Atlantic accounts for 16% of the ETNP OMZ volume. The mean transit time from these remote regions is in excess of 2500 years. For the ETSP OMZ, 29% of water volume originates from the surface of the equatorial South Pacific with a mean transit time of 65 years while 36% originates from the mid-latitude South Pacific with a mean transit-time of 157 years. The relative contribution of the two regions indicates that the meridional ventilation pathway from the mid- latitudes is of equal importance as the ventilation via eastward equatorial current system. The mean transit-times computed here help clarify the timescales with which advective-diffusive processes link changes in surface ocean processes to the OMZs of the Eastern Tropical Pacific.</t>
  </si>
  <si>
    <t>[Fu, Weiwei; Bardin, Ann; Primeau, Francois] Univ Calif Irvine, Dept Earth Syst Sci, Irvine, CA 92697 USA</t>
  </si>
  <si>
    <t>University of California System; University of California Irvine</t>
  </si>
  <si>
    <t>Fu, WW (corresponding author), Univ Calif Irvine, Dept Earth Syst Sci, Irvine, CA 92697 USA.</t>
  </si>
  <si>
    <t>weiweif@uci.edu</t>
  </si>
  <si>
    <t>Primeau, Francois/A-7310-2011</t>
  </si>
  <si>
    <t>Primeau, Francois/0000-0001-7452-9415</t>
  </si>
  <si>
    <t>Reducing Uncertainties in Biogeochemical Interactions through Synthesis and Computation Scientific Focus Area (RUBISCO SFA) - Regional and Global Climate Modeling (RGCM) Program in the Climate and Environmental Sciences Division (CESD) of the Office of Bio; DOE SciDAC [DE-SC0012550]; National Science Foundation; U.S. Department of Energy (DOE) [DE-SC0012550] Funding Source: U.S. Department of Energy (DOE)</t>
  </si>
  <si>
    <t>Reducing Uncertainties in Biogeochemical Interactions through Synthesis and Computation Scientific Focus Area (RUBISCO SFA) - Regional and Global Climate Modeling (RGCM) Program in the Climate and Environmental Sciences Division (CESD) of the Office of Bio; DOE SciDAC(United States Department of Energy (DOE)); National Science Foundation(National Science Foundation (NSF)); U.S. Department of Energy (DOE)(United States Department of Energy (DOE))</t>
  </si>
  <si>
    <t>This research was supported through the Reducing Uncertainties in Biogeochemical Interactions through Synthesis and Computation Scientific Focus Area (RUBISCO SFA), which is sponsored by the Regional and Global Climate Modeling (RGCM) Program in the Climate and Environmental Sciences Division (CESD) of the Office of Biological and Environmental Research (BER) in the U.S. Department of Energy Office of Science. F.W.P. acknowledges support from DOE SciDAC award DE-SC0012550. We would like to acknowledge high-performance computing support from Yellowstone (ark:/85065/d7wd3xhc) provided by NCAR's Computational and Information Systems Laboratory, sponsored by the National Science Foundation. We thank the five anonymous reviewers for their helpful comments to improve the manuscript.</t>
  </si>
  <si>
    <t>10.1016/j.dsr.2018.07.017</t>
  </si>
  <si>
    <t>GV7EH</t>
  </si>
  <si>
    <t>WOS:000446284300009</t>
  </si>
  <si>
    <t>de Freitas, KEJ; Metz, GF; Cañon, ERP; Roesch, LFW; Pereira, AB; Victoria, FC</t>
  </si>
  <si>
    <t>Janner de Freitas, Karine Elise; Metz, Geferson Fernando; Pena Canon, Ehidy Rocio; Wurdig Roesch, Luiz Fernando; Pereira, Antonio Batista; Victoria, Filipe Carvalho</t>
  </si>
  <si>
    <t>Characterization and Phylogenetic Analysis of Chloroplast and Mitochondria Genomes from the Antarctic Polytrichaceae Species Polytrichum juniperinum and Polytrichum strictum</t>
  </si>
  <si>
    <t>DIVERSITY-BASEL</t>
  </si>
  <si>
    <t>COMPLETE NUCLEOTIDE-SEQUENCE; MOSS PHYSCOMITRELLA-PATENS; MARCHANTIA-POLYMORPHA; GENE ORGANIZATION; LAND PLANTS; ARTHRODONTOUS MOSSES; DNA-SEQUENCE; LIVERWORT; NUCLEAR; SIZE</t>
  </si>
  <si>
    <t>In this study, the organelle genomes of Polytrichum juniperinum Hedw. and Polytrichum strictum Menzies ex Brid. (Polytrichaceae, Bryophyta) from Antarctica were sequenced and compared with the plastomes of the model moss species Physcomitrella patens Brid. The sizes of the cpDNA in P. juniperinum and P. strictum were estimated to be 55,168 and 20,183 bp, respectively; the sizes of the mtDNA were 88,021 and 58,896 bp, respectively. The genomes are very similar to each other, with the possible loss of petN in the cpDNA, which also showed some gene inversions when compared with the cpDNAs of P. patens Brid. In the mtDNA, it is possible that rps10 was lost. In contrast, Antarctic Polytrichaceae species have nad7 and orf187, without the occurrence of rearrangement events. Phylogenomic analyses of the plastid and mitochondria revealed that the majority-rule tree suggests some differences in the plastids ancestry, however, P. juniperinum and P. strictum were grouped in the same clade in chloroplast, but in mitochondria P. strictum was grouped with Atrichum angustatum (Brid.) Bruch &amp; Schimp. This study helped us understand the evolution of plastomes and chondriosomes in the family Polytrichaceae, and suggest a hybridization event with relation to the mitochondrial data.</t>
  </si>
  <si>
    <t>[Janner de Freitas, Karine Elise; Metz, Geferson Fernando; Pena Canon, Ehidy Rocio; Pereira, Antonio Batista; Victoria, Filipe Carvalho] Univ Fed Pampa, Nucleo Estudos Vegetacao Antartica, BR-97307020 Sao Gabriel, Brazil; [Wurdig Roesch, Luiz Fernando] Univ Fed Pampa, Ctr Interdisciplinar Pesquisas Biotecnol, BR-97307020 Sao Gabriel, Brazil; [Pereira, Antonio Batista; Victoria, Filipe Carvalho] Univ Fed Rio de Janeiro, Natl Inst Antarctic Sci &amp; Technol Environm Res, BR-21941901 Rio De Janeiro, Brazil</t>
  </si>
  <si>
    <t>Universidade Federal do Pampa; Universidade Federal do Pampa; Universidade Federal do Rio de Janeiro</t>
  </si>
  <si>
    <t>Victoria, FC (corresponding author), Univ Fed Pampa, Nucleo Estudos Vegetacao Antartica, BR-97307020 Sao Gabriel, Brazil.;Victoria, FC (corresponding author), Univ Fed Rio de Janeiro, Natl Inst Antarctic Sci &amp; Technol Environm Res, BR-21941901 Rio De Janeiro, Brazil.</t>
  </si>
  <si>
    <t>karinejanner@gmail.com; geff_metz@hotmail.com; erociopc@hotmail.com; luizroesch@unipampa.edu.br; antoniopereira@unipampa.edu.br; filipevictoria@unipampa.edu.br</t>
  </si>
  <si>
    <t>Roesch, Luiz/GRS-4638-2022; Victoria, Filipe C/E-1890-2012; Victoria, Filipe/F-6066-2013; Pereira, Antonio B/I-8201-2014; Pereira, Antonio/AAD-5703-2019</t>
  </si>
  <si>
    <t>Roesch, Luiz/0000-0003-1450-8828; Victoria, Filipe/0000-0002-8580-1813; Pereira, Antonio B/0000-0003-0368-4594; Metz, Geferson Fernando/0000-0002-1109-8600</t>
  </si>
  <si>
    <t>National Council for Research and Development-CNPq [574018/2008]; Research Foundation of the State of Rio de Janeiro-FAPERJ [E-26/170.023/2008]; Ministry of Environment-MMA; Interministerial Commission for Sea Resources-CIRM; Ministry of Science and Technology-MCT</t>
  </si>
  <si>
    <t>National Council for Research and Development-CNPq(Conselho Nacional de Desenvolvimento Cientifico e Tecnologico (CNPQ)); Research Foundation of the State of Rio de Janeiro-FAPERJ(Fundacao Carlos Chagas Filho de Amparo a Pesquisa do Estado do Rio De Janeiro (FAPERJ)); Ministry of Environment-MMA(Ministry of Health-Singapore); Interministerial Commission for Sea Resources-CIRM; Ministry of Science and Technology-MCT</t>
  </si>
  <si>
    <t>This study was supported by the Brazilian Antarctic Program through the National Council for Research and Development-CNPq (process no. 574018/2008); Research Foundation of the State of Rio de Janeiro-FAPERJ (process E-26/170.023/2008); Ministry of Environment-MMA, Ministry of Science and Technology-MCT; and Interministerial Commission for Sea Resources-CIRM, whom the authors thank for the licenses to collect in Antarctica, as well as the financial and logistic support required to perform this study.</t>
  </si>
  <si>
    <t>1424-2818</t>
  </si>
  <si>
    <t>Diversity-Basel</t>
  </si>
  <si>
    <t>10.3390/d10030089</t>
  </si>
  <si>
    <t>GY2VR</t>
  </si>
  <si>
    <t>WOS:000448402500041</t>
  </si>
  <si>
    <t>Lo Giudice, A; Rizzo, C</t>
  </si>
  <si>
    <t>Lo Giudice, Angelina; Rizzo, Carmen</t>
  </si>
  <si>
    <t>Bacteria Associated with Marine Benthic Invertebrates from Polar Environments: Unexplored Frontiers for Biodiscovery?</t>
  </si>
  <si>
    <t>The ecological function of bacteria-invertebrate interactions in Polar areas remains poorly understood, despite increasing evidence that microbial metabolites may play pivotal roles in host-associated chemical defense and in shaping the symbiotic community structure. The metabolic and physiological changes that these organisms undergo in response to adapting to extreme conditions result in the production of structurally and functionally novel biologically active molecules. Deepening our knowledge on the interactions between bacteria and their invertebrate host would be highly helpful in providing the rationale for why (e.g., competition or cooperative purpose) and which (whether secondary metabolites, enzymes, or proteins) bioactive compounds are produced. To date, cold-adapted bacteria associated with marine invertebrates from the Arctic and Antarctica have not been given the attention they deserve and the versatility of their natural products remains virtually unexplored, even if they could represent a new attractive frontier in the search for novel natural compounds. This review is aimed at showcasing the diversity of cold-adapted bacteria associated with benthic invertebrates from Polar marine areas, highlighting the yet unexplored treasure they represent for biodiscovery.</t>
  </si>
  <si>
    <t>[Lo Giudice, Angelina] Natl Res Council IAMC CNR, Inst Coastal Marine Environm, Spianata San Raineri 86, I-98122 Messina, Italy; [Lo Giudice, Angelina; Rizzo, Carmen] Univ Messina, Dept Chem Biol Pharmaceut &amp; Environm Sci ChiBioFa, I-98122 Messina, Italy</t>
  </si>
  <si>
    <t>Consiglio Nazionale delle Ricerche (CNR); L'Istituto per l'Ambiente Marino Costiero (IAMC-CNR); University of Messina</t>
  </si>
  <si>
    <t>Lo Giudice, A (corresponding author), Natl Res Council IAMC CNR, Inst Coastal Marine Environm, Spianata San Raineri 86, I-98122 Messina, Italy.;Lo Giudice, A (corresponding author), Univ Messina, Dept Chem Biol Pharmaceut &amp; Environm Sci ChiBioFa, I-98122 Messina, Italy.</t>
  </si>
  <si>
    <t>angelina.logiudice@iamc.cnr.it; carizzo@unime.it</t>
  </si>
  <si>
    <t>Rizzo, Carmen/S-6285-2019; Rizzo, Carmen/AAA-3075-2022</t>
  </si>
  <si>
    <t>Italian Programma Nazionale di Ricerche in Antartide [PNRA16_00020]</t>
  </si>
  <si>
    <t>Italian Programma Nazionale di Ricerche in Antartide(Ministry of Education, Universities and Research (MIUR))</t>
  </si>
  <si>
    <t>This review was supported by grants from the Italian Programma Nazionale di Ricerche in Antartide, Project PNRA16_00020 Antarctic Porifera: Hot-spots for prokaryotic diversity and biotechnological potentialities.</t>
  </si>
  <si>
    <t>10.3390/d10030080</t>
  </si>
  <si>
    <t>WOS:000448402500032</t>
  </si>
  <si>
    <t>Rizzo, C; Lo Giudice, A</t>
  </si>
  <si>
    <t>Rizzo, Carmen; Lo Giudice, Angelina</t>
  </si>
  <si>
    <t>Marine Invertebrates: Underexplored Sources of Bacteria Producing Biologically Active Molecules</t>
  </si>
  <si>
    <t>BRANCHIOMMA-LUCTUOSUM ANNELIDA; CORAL-ASSOCIATED BACTERIA; SEA-ICE; PHYLOGENETIC CHARACTERIZATION; CYANOBACTERIAL SYMBIONTS; ECOLOGICAL IMPLICATIONS; ANTIMICROBIAL ACTIVITY; SABELLA-SPALLANZANII; ANTARCTIC BACTERIUM; MICROBIAL COMMUNITY</t>
  </si>
  <si>
    <t>The marine bioprospecting could be considered as a new phenomenon, and already potentially more promising than terrestrial one in terms of possible discovery of new compounds. The secondary metabolites produced by associated-bacteria are actually studied for their remarkable role in several fields, including agricultural, industrial, medical, and bioremediation strategies against different contaminants. The use of such renewable sources could be helpful in the streamlining of the patenting process for natural compounds of good quality, produced with lower energy costs and less impact on the environment. Anyway, more improvements in the research and application of bioactive compounds as alternative to the synthetic counterparts have to be carried out for the costs reduction and the large-scale production upgrading. The use of marine invertebrates could help to overcome these difficulties, as hotspots of microbial diversity and favorable matrix for the development of conditions stimulating the production of substances with special activities. This review will deal with the current accepted definitions and recent advances concerning: (i) the marine symbiotic relationships in which microorganisms and invertebrates are involved; (ii) the principal taxa of marine invertebrates that establish interactions with microorganisms, the biodiversity of these latter, and their role in the symbiosis; (iii) we address the state of current literature and knowledge about the bacterial associated communities specialized in biosurfactants (BSs) and extracellular polymeric substances (EPSs) production; and, (iv) their potential biotechnological applications reported still now.</t>
  </si>
  <si>
    <t>[Rizzo, Carmen; Lo Giudice, Angelina] Univ Messina, Dept Chem Biol Pharmaceut &amp; Environm Sci ChiBioFa, I-98122 Messina, Italy; [Lo Giudice, Angelina] Natl Res Council IAMC CNR, Inst Coastal Marine Environm, I-98122 Messina, Italy</t>
  </si>
  <si>
    <t>University of Messina; Consiglio Nazionale delle Ricerche (CNR); L'Istituto per l'Ambiente Marino Costiero (IAMC-CNR)</t>
  </si>
  <si>
    <t>Rizzo, C (corresponding author), Univ Messina, Dept Chem Biol Pharmaceut &amp; Environm Sci ChiBioFa, I-98122 Messina, Italy.</t>
  </si>
  <si>
    <t>carmen.rizzo@unime.it; angelina.logiudice@iamc.cnr.it</t>
  </si>
  <si>
    <t>10.3390/d10030052</t>
  </si>
  <si>
    <t>WOS:000448402500004</t>
  </si>
  <si>
    <t>Kotta, J; Valdivia, N; Kutser, T; Toming, K; Rätsep, M; Orav-Kotta, H</t>
  </si>
  <si>
    <t>Kotta, Jonne; Valdivia, Nelson; Kutser, Tiit; Toming, Kaire; Ratsep, Merli; Orav-Kotta, Helen</t>
  </si>
  <si>
    <t>Predicting the cover and richness of intertidal macroalgae in remote areas: a case study in the Antarctic Peninsula</t>
  </si>
  <si>
    <t>Antarctica; benthic vegetation; biotic patterns; climate change; remote sensing; Sentinel-2A</t>
  </si>
  <si>
    <t>TURBID COASTAL WATERS; SPECTRAL DISCRIMINATION; REFLECTANCE; COMMUNITIES; ABSORPTION; PATTERNS</t>
  </si>
  <si>
    <t>Antarctica is an iconic region for scientific explorations as it is remote and a critical component of the global climate system. Recent climate change causes a dramatic retreat of ice in Antarctica with associated impacts to its coastal ecosystem. These anthropogenic impacts have a potential to increase habitat availability for Antarctic intertidal assemblages. Assessing the extent and ecological consequences of these changes requires us to develop accurate biotic baselines and quantitative predictive tools. In this study, we demonstrated that satellite-based remote sensing, when used jointly with in situ ground-truthing and machine learning algorithms, provides a powerful tool to predict the cover and richness of intertidal macroalgae. The salient finding was that the Sentinel-based remote sensing described a significant proportion of variability in the cover and richness of Antarctic macroalgae. The highest performing models were for macroalgal richness and the cover of green algae as opposed to the model of brown and red algal cover. When expanding the geographical range of the ground-truthing, even involving only a few sample points, it becomes possible to potentially map other Antarctic intertidal macroalgal habitats and monitor their dynamics. This is a significant milestone as logistical constraints are an integral part of the Antarctic expeditions. The method has also a potential in other remote coastal areas where extensive in situ mapping is not feasible.</t>
  </si>
  <si>
    <t>[Kotta, Jonne; Kutser, Tiit; Toming, Kaire; Ratsep, Merli; Orav-Kotta, Helen] Univ Tartu, Estonian Marine Inst, Tallinn, Estonia; [Valdivia, Nelson] Univ Austral Chile, Inst Ciencias Marinas &amp; Limnol, Fac Ciencias, Valdivia, Chile; [Valdivia, Nelson] Ctr FONDAP Invest Dinam Ecosistemas Marinos Altas, Valdivia, Chile</t>
  </si>
  <si>
    <t>University of Tartu; Estonian Marine Institute; Universidad Austral de Chile</t>
  </si>
  <si>
    <t>Kotta, J (corresponding author), Univ Tartu, Estonian Marine Inst, Tallinn, Estonia.</t>
  </si>
  <si>
    <t>jonne@sea.ee</t>
  </si>
  <si>
    <t>Kotta, Jonne/B-5542-2009; Kutser, Tiit/H-1304-2015; Orav-Kotta, Helen/E-2810-2013; Valdivia, Nelson/C-3613-2009</t>
  </si>
  <si>
    <t>Kotta, Jonne/0000-0002-4970-6755; Kutser, Tiit/0000-0001-9679-1422; Toming, Kaire/0000-0001-5190-2459; Valdivia, Nelson/0000-0002-5394-2072; Ratsep, Merli/0000-0002-2841-7452</t>
  </si>
  <si>
    <t>Eesti Teadusagentuur [IUT02-20, PUTJD659]; FONDECYT [1161699, 1181300, 1141037]; FONDAP [15150003]</t>
  </si>
  <si>
    <t>Eesti Teadusagentuur(Estonian Research Council); FONDECYT(Comision Nacional de Investigacion Cientifica y Tecnologica (CONICYT)CONICYT FONDECYT); FONDAP</t>
  </si>
  <si>
    <t>Eesti Teadusagentuur, Grant/Award Number: IUT02-20 and PUTJD659; FONDECYT, Grant/Award Number: #1161699, #1181300 and #1141037; FONDAP, Grant/Award Number: #15150003</t>
  </si>
  <si>
    <t>10.1002/ece3.4463</t>
  </si>
  <si>
    <t>GU8QR</t>
  </si>
  <si>
    <t>WOS:000445606000036</t>
  </si>
  <si>
    <t>Ramm, TD; Watson, CS; White, CJ</t>
  </si>
  <si>
    <t>Ramm, Timothy David; Watson, Christopher Stephen; White, Christopher John</t>
  </si>
  <si>
    <t>Strategic adaptation pathway planning to manage sea-level rise and changing coastal flood risk</t>
  </si>
  <si>
    <t>ENVIRONMENTAL SCIENCE &amp; POLICY</t>
  </si>
  <si>
    <t>Adaptation tipping point; Climate change; Coastal flooding; Decision support; Risk management; Uncertainty</t>
  </si>
  <si>
    <t>CLIMATE-CHANGE ADAPTATION; ADAPTIVE POLICY PATHWAYS; SCENARIO DISCOVERY; DECISION-SUPPORT; VALUES; VULNERABILITY</t>
  </si>
  <si>
    <t>Communities around the world are already committed to future sea-level rise. Long-term adaptation planning to manage associated coastal flood impacts is, however, challenged by uncertainty and contested stakeholder priorities. This study provides a proof of concept for a combined robust decision making (RDM) and dynamic adaptive policy pathways (DAPP) approach in coastal flood risk management. The concept uses model-based support and largely open source tools to help local government plan coastal adaptation pathways. Key steps in the method are illustrated using a hypothetical case study in Australia. The study shows how scenario discovery can provide multi-dimensional descriptions of adaptation tipping points which may inform the development of technical signpost indicators. Transient scenarios uncovered limitations in seemingly robust adaptation policies, where historical path dependencies may constrain the rate of adaptation and the extent to which future coastal flood impacts can be successfully managed. Lived values have the potential to offer insights about non-material social trade-offs that residents may need to accept for the benefit of reduced flood risk, and could form a basis for defining socially-oriented signpost indicators. However, the nuances and subjectivity of lived values means that ongoing engagement with residents is essential as part of a combined RDM and DAPP approach to preserve the communities' way of life. The learnings from this hypothetical case study suggest that testing in a real world participatory setting could be valuable in further developing a combined RDM and DAPP approach to plan adaptation pathways and manage future coastal flood risk.</t>
  </si>
  <si>
    <t>[Ramm, Timothy David; White, Christopher John] Univ Tasmania, Sch Engn, Private Bag 65, Hobart, Tas 7000, Australia; [Ramm, Timothy David] Bushfire &amp; Nat Hazards Cooperat Res Ctr, Melbourne, Vic, Australia; [Watson, Christopher Stephen] Univ Tasmania, Sch Technol Environm &amp; Design, Hobart, Tas, Australia; [White, Christopher John] Univ Strathclyde, Dept Civil &amp; Environm Engn, Glasgow, Lanark, Scotland; [White, Christopher John] Antarctic Climate &amp; Ecosyst Cooperat Res Ctr, Hobart, Tas, Australia</t>
  </si>
  <si>
    <t>University of Tasmania; Bushfire &amp; Natural Hazards CRC; Melbourne Genomics Health Alliance; University of Tasmania; University of Strathclyde; Antarctic Climate &amp; Ecosystems Cooperative Research Centre (ACE CRC)</t>
  </si>
  <si>
    <t>Ramm, TD (corresponding author), Univ Tasmania, Sch Engn, Private Bag 65, Hobart, Tas 7000, Australia.</t>
  </si>
  <si>
    <t>timothy.ramm@utas.edu.au</t>
  </si>
  <si>
    <t>Watson, Christopher S/D-4707-2013</t>
  </si>
  <si>
    <t>Watson, Christopher/0000-0002-7464-4592; Ramm, Timothy/0000-0003-2496-7075</t>
  </si>
  <si>
    <t>Bushfire and Natural Hazards Cooperative Research Centre program [W0024280]; Australian Government Research Training Program Scholarship</t>
  </si>
  <si>
    <t>Bushfire and Natural Hazards Cooperative Research Centre program(Australian GovernmentDepartment of Industry, Innovation and ScienceCooperative Research Centres (CRC) Programme); Australian Government Research Training Program Scholarship(Australian GovernmentDepartment of Industry, Innovation and Science)</t>
  </si>
  <si>
    <t>The authors are grateful for the financial support from the Bushfire and Natural Hazards Cooperative Research Centre program (W0024280) and the Australian Government Research Training Program Scholarship. The authors thank Kate Nelson and Rex Candy for valuable discussions about the case study, and Martin Wehner for providing advice on the Geosciences Australia flood vulnerability models.</t>
  </si>
  <si>
    <t>1462-9011</t>
  </si>
  <si>
    <t>1873-6416</t>
  </si>
  <si>
    <t>ENVIRON SCI POLICY</t>
  </si>
  <si>
    <t>Environ. Sci. Policy</t>
  </si>
  <si>
    <t>10.1016/j.envsci.2018.06.001</t>
  </si>
  <si>
    <t>GL3UC</t>
  </si>
  <si>
    <t>WOS:000437066600011</t>
  </si>
  <si>
    <t>Han, J; Jeong, CB; Byeon, E; Lee, JS</t>
  </si>
  <si>
    <t>Han, Jeonghoon; Jeong, Chang-Bum; Byeon, Eunjin; Lee, Jae-Seong</t>
  </si>
  <si>
    <t>Effects of temperature changes on the generation of reactive oxygen species and the expression and activity of glutathione-S transferases in two congeneric copepods Tigriopus japonicus and Tigriopus kingsejongensis</t>
  </si>
  <si>
    <t>FISHERIES SCIENCE</t>
  </si>
  <si>
    <t>Temperature elevation; Temperate copepod; Antarctic copepod; Antioxidant stress</t>
  </si>
  <si>
    <t>OXIDATIVE STRESS; ANTIOXIDANT RESPONSE; INTERTIDAL COPEPOD; CLIMATE-CHANGE; MONOGONONT ROTIFER; ANTARCTIC COPEPOD; CHRONIC EXPOSURE; BIOMARKERS; GROWTH; REPRODUCTION</t>
  </si>
  <si>
    <t>We measured the generation of intracellular reactive oxygen species (ROS) and the enzymatic activity and expression of glutathione-S transferase (GST) in response to temperature changes in the temperate copepod Tigriopus japonicus and the Antarctic copepod Tigriopus kingsejongensis. The levels of ROS and GST enzymatic activity were slightly elevated (P &lt; 0.05) in T. japonicus in response to temperature changes but not in T. kingsejongensis. Furthermore, transcriptional regulation of all the GST genes in T. japonicus was significantly downregulated (P &lt; 0.05) in response to temperature elevation to 35 degrees C, whereas messenger RNA expression of GST genes in T. kingsejongensis showed a significant increase (P &lt; 0.05) at 24 degrees C, indicating that these two related but geographically distinct Tigriopus species have different molecular responses to temperature elevation. Overall, these findings indicate that temperature changes modulate oxidative damage through different modes of action, leading to different types of antioxidant defense in two congeneric copepods.</t>
  </si>
  <si>
    <t>[Han, Jeonghoon; Jeong, Chang-Bum; Byeon, Eunjin; Lee, Jae-Seong] Sungkyunkwan Univ, Coll Sci, Dept Biol Sci, Suwon 16419, South Korea</t>
  </si>
  <si>
    <t>Sungkyunkwan University (SKKU)</t>
  </si>
  <si>
    <t>Lee, JS (corresponding author), Sungkyunkwan Univ, Coll Sci, Dept Biol Sci, Suwon 16419, South Korea.</t>
  </si>
  <si>
    <t>jslee2@skku.edu</t>
  </si>
  <si>
    <t>Lee, Jae-Seong/H-6013-2015; Byeon, Eunjin/ABI-5925-2020; Jeong, Chang-Bum/ABH-9095-2020; Han, Jeonghoon/ABI-6920-2020</t>
  </si>
  <si>
    <t>Lee, Jae-Seong/0000-0003-0944-5172; Byeon, Eunjin/0000-0003-1705-7014</t>
  </si>
  <si>
    <t>National Research Foundation [2017R1A2B4010155]; Korea-Polar Ocean Development: K-POD from the Ministry of Oceans and Fisheries, Korea [PM15050]</t>
  </si>
  <si>
    <t>National Research Foundation; Korea-Polar Ocean Development: K-POD from the Ministry of Oceans and Fisheries, Korea</t>
  </si>
  <si>
    <t>This work was supported by a grant of the National Research Foundation (2017R1A2B4010155) funded to Jeonghoon Han and was supported by a grant of the Korea-Polar Ocean Development: K-POD (project no. PM15050) from the Ministry of Oceans and Fisheries, Korea funded to Jae-Seong Lee.</t>
  </si>
  <si>
    <t>SPRINGER JAPAN KK</t>
  </si>
  <si>
    <t>TOKYO</t>
  </si>
  <si>
    <t>SHIROYAMA TRUST TOWER 5F, 4-3-1 TORANOMON, MINATO-KU, TOKYO, 105-6005, JAPAN</t>
  </si>
  <si>
    <t>0919-9268</t>
  </si>
  <si>
    <t>1444-2906</t>
  </si>
  <si>
    <t>FISHERIES SCI</t>
  </si>
  <si>
    <t>Fish. Sci.</t>
  </si>
  <si>
    <t>10.1007/s12562-018-1224-3</t>
  </si>
  <si>
    <t>GR5JD</t>
  </si>
  <si>
    <t>WOS:000442664800009</t>
  </si>
  <si>
    <t>Baccolo, G; Delmonte, B; Albani, S; Baroni, C; Cibin, G; Frezzotti, M; Hampai, D; Marcelli, A; Revel, M; Salvatore, MC; Stenni, B; Maggi, V</t>
  </si>
  <si>
    <t>Baccolo, G.; Delmonte, B.; Albani, S.; Baroni, C.; Cibin, G.; Frezzotti, M.; Hampai, D.; Marcelli, A.; Revel, M.; Salvatore, M. C.; Stenni, B.; Maggi, V.</t>
  </si>
  <si>
    <t>Regionalization of the Atmospheric Dust Cycle on the Periphery of the East Antarctic Ice Sheet Since the Last Glacial Maximum</t>
  </si>
  <si>
    <t>GEOCHEMISTRY GEOPHYSICS GEOSYSTEMS</t>
  </si>
  <si>
    <t>Atmospheric mineral dust; ice cores; Holocene; Antarctica; weathering; chemical index of alteration</t>
  </si>
  <si>
    <t>NORTHERN VICTORIA LAND; X-RAY-FLUORESCENCE; COSMOGENIC NUCLIDES DOCUMENT; MINERAL DUST; AEOLIAN DUST; TALOS DOME; ROSS SEA; SOUTHERN-OCEAN; CHEMICAL INDEX; ALTERATION CIA</t>
  </si>
  <si>
    <t>Ice cores from inner East Antarctica provided some of the longest and most detailed climatic reconstructions and allowed understanding the relationships between atmospheric mineral dust and climate. In this work we present synchrotron radiation X-ray Fluorescence geochemical data of dust from the TALDICE ice core drilled at Talos Dome, a peripheral ice dome of East Antarctica (Western Ross Sea). Results highlight a dominant southern South American origin for dust at TALDICE during the Last Glacial Maximum, similarly to other sites located further inland onto the polar plateau. On the contrary, a different scenario concerns Talos Dome during the Holocene if it is compared to more inner sites. The tight connection between high southern latitudes and Antarctica that characterizes cold climate stages becomes weaker since the onset of the last climatic transition and throughout the Holocene. The net effect of this process at Talos Dome is a modification of the atmospheric and environmental settings, owing to local Antarctic sources of Victoria Land to gain importance and become the dominant ones. At the same time in inner East Antarctica the provenance of dust remains remote also during Holocene, revealing an evolution of the homogeneous scenario observed in glacial periods. The enhanced sensitivity of peripheral ice sheet sites to local dust sources makes Talos Dome an ideal site to assess the climatic and atmospheric changes of the peripheral sectors of East Antarctica during the current interglacial period. Plain Language Summary During the Last Glacial Maximum, about 20,000 years ago, mineral dust from South America was massively transported toward Antarctica as a consequence of impressive environmental and climatic changes. Many ice cores drilled from the inner sectors of the Antarctic ice sheets support this scenario. Little is known when attention is shifted to peripheral areas and to interglacial periods. A new record of mineral particles at Talos Dome, a peripheral area of the East Antarctic ice sheet (Western Ross Sea sector), is here presented to partially close these gaps. Combining the data about concentration, composition, and grain size of the dust deposited at Talos Dome, it was possible to appreciate the influence played by local Antarctic dust sources to the depositional budget of the site. These local sources, corresponding to localized ice-free areas, are extremely important when attention is given to the peripheries of the ice sheets. This is particularly true for interglacial periods, when the transport and the deposition of mineral dust from South America to Antarctica is much reduced.</t>
  </si>
  <si>
    <t>[Baccolo, G.] Univ Siena, Grad Sch Polar Sci, Siena, Italy; [Baccolo, G.; Delmonte, B.; Maggi, V.] Univ Milano Bicocca, Environm &amp; Earth Sci Dept, Milan, Italy; [Baccolo, G.; Maggi, V.] INFN, Milano Bicocca Sect, Rome, Italy; [Albani, S.] UVSQ, CNRS, CEA, Lab Sci Climat &amp; Environm, Gif Sur Yvette, France; [Baroni, C.; Salvatore, M. C.] Univ Pisa, Earth Sci Dept, Pisa, Italy; [Baroni, C.; Salvatore, M. C.] CNR, Inst Geosci &amp; Earth Resources, Pisa, Italy; [Cibin, G.] Diamond Light Source, Didcot, Oxon, England; [Frezzotti, M.] ENEA, Rome, Italy; [Hampai, D.; Marcelli, A.] INFN, Lab Nazl Frascati, Frascati, Italy; [Marcelli, A.] Rome Int Ctr Mat Sci Superstripes, Rome, Italy; [Revel, M.] Univ Nice Sophia Antipolis, Dept Terre Environm Espace, Nice, France; [Stenni, B.] Univ Ca Foscari Venezia, Dept Environm Sci Informat &amp; Stat, Venice, Italy</t>
  </si>
  <si>
    <t>University of Siena; University of Milano-Bicocca; Istituto Nazionale di Fisica Nucleare (INFN); Universite Paris Saclay; CEA; Centre National de la Recherche Scientifique (CNRS); Universite Paris Cite; University of Pisa; Consiglio Nazionale delle Ricerche (CNR); Istituto di Geoscienze e Georisorse (IGG-CNR); Diamond Light Source; Italian National Agency New Technical Energy &amp; Sustainable Economics Development; Istituto Nazionale di Fisica Nucleare (INFN); Universite Cote d'Azur; Universita Ca Foscari Venezia</t>
  </si>
  <si>
    <t>Baccolo, G (corresponding author), Univ Siena, Grad Sch Polar Sci, Siena, Italy.;Baccolo, G (corresponding author), Univ Milano Bicocca, Environm &amp; Earth Sci Dept, Milan, Italy.;Baccolo, G (corresponding author), INFN, Milano Bicocca Sect, Rome, Italy.</t>
  </si>
  <si>
    <t>giovanni.baccolo@mib.infn.it</t>
  </si>
  <si>
    <t>Salvatore, Maria Cristina/AAS-4000-2020; Baccolo, Giovanni/J-9543-2019; Marcelli, Augusto/H-3868-2019; Albani, Samuel/AAC-5604-2020; Delmonte, Barbara/L-2555-2015; FREZZOTTI, Massimo/AAK-7275-2020; Baroni, Carlo/D-8184-2012; Maggi, Valter/AAX-5728-2020; Cibin, Giannantonio/G-2809-2015</t>
  </si>
  <si>
    <t>Salvatore, Maria Cristina/0000-0002-1590-7284; Baccolo, Giovanni/0000-0002-1246-8968; Marcelli, Augusto/0000-0002-8138-7547; Albani, Samuel/0000-0001-9736-5134; Delmonte, Barbara/0000-0002-9074-2061; FREZZOTTI, Massimo/0000-0002-2461-2883; Baroni, Carlo/0000-0001-5905-4650; Maggi, Valter/0000-0001-6287-1213; Cibin, Giannantonio/0000-0001-5761-6760; Stenni, Barbara/0000-0003-4950-3664</t>
  </si>
  <si>
    <t>The Talos Dome Ice core Project (TALDICE), a joint European program, is funded by national contributions from Italy, France, Germany, Switzerland, and the United Kingdom. Primary logistical support was provided by PNRA at Talos Dome. This is TALDICE publication 49. This study has been partially supported by DARA (Dipartimento per gli Affari Regionali e Autonomie of Italian Presidenza del Consiglio dei Ministri) in the framework of the MIAMI (Monitoraggio dell'Inquinamento Atmosferico della Montagna Italiana) project. Synchrotron radiation measurements were carried out in the framework of Proposals 90U5 and 3082M at SSRL, a national user facility operated by Stanford University on behalf of the U.S. Department of Energy, Office of Basic Energy Sciences and at Diamond in the framework of the proposals NT1984. This article is an outcome of Project MIUR-Dipartimenti di Eccellenza 2018-2022. We thank Anders Svensson and Denis-Didier Rousseau for their valuable revision that improved the quality of the present work. Full data are available as supporting information and in the PANGAEA data repository at https://doi.org/10.1594/PANGAEA.890907.</t>
  </si>
  <si>
    <t>1525-2027</t>
  </si>
  <si>
    <t>GEOCHEM GEOPHY GEOSY</t>
  </si>
  <si>
    <t>Geochem. Geophys. Geosyst.</t>
  </si>
  <si>
    <t>10.1029/2018GC007658</t>
  </si>
  <si>
    <t>GY3SP</t>
  </si>
  <si>
    <t>WOS:000448475100038</t>
  </si>
  <si>
    <t>Saelens, E; Gardner, CB; Welch, KA; Welch, SA; Lyons, WB</t>
  </si>
  <si>
    <t>Saelens, Elsa; Gardner, Christopher B.; Welch, Kathleen A.; Welch, Susan A.; Lyons, W. Berry</t>
  </si>
  <si>
    <t>Barium and barite dynamics in Antarctic streams</t>
  </si>
  <si>
    <t>MCMURDO DRY VALLEYS; TAYLOR VALLEY; MARINE-SEDIMENTS; PRECIPITATION; WATER; CHEMISTRY; SYSTEM; USA; GEOCHEMISTRY; BEHAVIOR</t>
  </si>
  <si>
    <t>Most natural waters are undersaturated with respect to barite (BaSO4), and while much work has focused on the processes of microbially mediated barite precipitation in undersaturated solutions, particularly in marine environments, little documentation exists on the changes in barite saturation in stream waters. We examined ephemeral glacial meltwater streams in the McMurdo Dry Valleys, Antarctica, that undergo large variations in streamflow and temperature on both a diel and seasonal basis. We measured dissolved Ba in stream water in downstream transects and on a diel cycle, total Ba in stream sediments, algal mats, and lake sediments. Ba concentrations decreased downstream in all four transects, and mineral saturation modeling indicates these waters go from supersaturated to undersaturated with respect to barite in very short distances. Ba is concentrated in stream benthic algal mats at a factor less than observed in marine systems. Both seasonal and diel changes in stream water temperature affect the solubility of barite near glacial sources. Our work shows that both changing stream temperature and the presence of algal materials likely play significant roles in controlling Ba concentrations in polar streams.</t>
  </si>
  <si>
    <t>[Gardner, Christopher B.] Ohio State Univ, Sch Earth Sci, Columbus, OH 43210 USA; Ohio State Univ, Byrd Polar &amp; Climate Res Ctr, Columbus, OH 43210 USA; [Welch, Kathleen A.] Univ Colorado, Inst Arctic &amp; Alpine Res INSTAAR, Boulder, CO 80309 USA</t>
  </si>
  <si>
    <t>University System of Ohio; Ohio State University; University System of Ohio; Ohio State University; University of Colorado System; University of Colorado Boulder</t>
  </si>
  <si>
    <t>Gardner, CB (corresponding author), Ohio State Univ, Sch Earth Sci, Columbus, OH 43210 USA.</t>
  </si>
  <si>
    <t>Gardner.177@osu.edu</t>
  </si>
  <si>
    <t>Welch, Kathleen/0000-0003-1028-3086; Welch, Susan/0000-0002-2890-0065; Gardner, Christopher/0000-0003-0400-3754</t>
  </si>
  <si>
    <t>National Science Foundation [ANT-1115245]; Ohio State University College of Arts and Sciences Undergraduate Research Scholarship; Shell Exploration and Production Co.</t>
  </si>
  <si>
    <t>National Science Foundation(National Science Foundation (NSF)); Ohio State University College of Arts and Sciences Undergraduate Research Scholarship; Shell Exploration and Production Co.</t>
  </si>
  <si>
    <t>We are grateful to S. Olund, C. Dowling, and P. Doran for collection of samples. We thank K. Bisson for analysis of the lake sediment leachates, and A. Lutton and J. Olesik for help with Ba analysis. We thank two anonymous reviewers who significantly improved the manuscript. This work was supported by National Science Foundation grant ANT-1115245, and The Ohio State University College of Arts and Sciences Undergraduate Research Scholarship to Saelens, and by support through Shell Exploration and Production Co.</t>
  </si>
  <si>
    <t>10.1130/G45048.1</t>
  </si>
  <si>
    <t>GR7VJ</t>
  </si>
  <si>
    <t>WOS:000442904600021</t>
  </si>
  <si>
    <t>Subrahmanyam, MV; Reddy, KG</t>
  </si>
  <si>
    <t>Subrahmanyam, M. V.; Reddy, K. Gopala</t>
  </si>
  <si>
    <t>Parameterization of skin-bulk temperature difference in the southeastern Arabian Sea</t>
  </si>
  <si>
    <t>INDIAN JOURNAL OF GEO-MARINE SCIENCES</t>
  </si>
  <si>
    <t>skin temperature; bulk temperature; total heat loss; Arabian sea; wind stress</t>
  </si>
  <si>
    <t>COOL-SKIN; OCEAN</t>
  </si>
  <si>
    <t>In this study the variation of bulk-skin temperature (AT) during May-June, has been studied using different methods proposed earlier. To our knowledge, this aspect has not been studied so far for the Arabian Sea or Bay of Bengal. The earlier methods failed to reproduce the variation of AT in this region during the period of observations. The following relations are proposed to estimate non-dimensional numerical coefficient lambda and skin-bulk temperature variation (AT). lambda = 1.37*U+9.8 (for the wind speed, 2-8 m/sec) Delta T= -0.026*Q/U +0.089 Where Q is the sum of latent, sensible and net long wave radiation and U is the wind speed (m/sec). The newly proposed relations are compared with the previously proposed and found that newly developed relation is suitable for Arabian Sea especially for the night time. Root mean Square (RMS) errors (0.2 degrees C) are indicating the performance of newly proposed relations.</t>
  </si>
  <si>
    <t>[Subrahmanyam, M. V.] Zhejiang Ocean Univ, Sch Marine Sci &amp; Technol, Zhoushan, Zhejiang, Peoples R China; [Reddy, K. Gopala] Andhra Univ, Dept Meteorol &amp; Oceanog, Visakhapatnam, Andhra Pradesh, India</t>
  </si>
  <si>
    <t>Zhejiang Ocean University; Andhra University</t>
  </si>
  <si>
    <t>Subrahmanyam, MV (corresponding author), Zhejiang Ocean Univ, Sch Marine Sci &amp; Technol, Zhoushan, Zhejiang, Peoples R China.</t>
  </si>
  <si>
    <t>mvsm.au@gmail.com</t>
  </si>
  <si>
    <t>Department of Science and Technology (DST), New Delhi</t>
  </si>
  <si>
    <t>Department of Science and Technology (DST), New Delhi(Department of Science &amp; Technology (India))</t>
  </si>
  <si>
    <t>The authors express their thankfulness to the Department of Science and Technology (DST), New Delhi for supporting this study by providing funds. The authors sincerely thank National Center for Antarctic Ocean Research (NCAOR), Goa for providing facilities to collect data onboard ORV Sagar Kanya.</t>
  </si>
  <si>
    <t>NATL INST SCIENCE COMMUNICATION-NISCAIR</t>
  </si>
  <si>
    <t>DR K S KRISHNAN MARG, PUSA CAMPUS, NEW DELHI 110 012, INDIA</t>
  </si>
  <si>
    <t>0379-5136</t>
  </si>
  <si>
    <t>0975-1033</t>
  </si>
  <si>
    <t>INDIAN J GEO-MAR SCI</t>
  </si>
  <si>
    <t>Indian J. Geo-Mar. Sci.</t>
  </si>
  <si>
    <t>HC4QR</t>
  </si>
  <si>
    <t>WOS:000451789800008</t>
  </si>
  <si>
    <t>Zhang, YL; Wang, YT; Huai, BJ; Ding, MH; Sun, WJ</t>
  </si>
  <si>
    <t>Zhang, Yulun; Wang, Yetang; Huai, Baojuan; Ding, Minghu; Sun, Weijun</t>
  </si>
  <si>
    <t>Skill of the two 20th century reanalyses in representing Antarctic near-surface air temperature</t>
  </si>
  <si>
    <t>INTERNATIONAL JOURNAL OF CLIMATOLOGY</t>
  </si>
  <si>
    <t>20CR and ERA-20CR; Antarctic ice sheet; near-surface air temperature</t>
  </si>
  <si>
    <t>INTERNATIONAL GEOPHYSICAL YEAR; ICE-SHEET SURFACE; CLIMATE VARIABILITY; DATA ASSIMILATION; PROJECT</t>
  </si>
  <si>
    <t>The performance of the 20th century reanalysis (20CR) and of the pilot reanalysis of the 20th century (ERA-20C) for Antarctic near-surface air temperature is investigated based on quality-controlled monthly temperature measurements with a time coverage of at least 15years from 42 automatic and manual weather stations, and temperature reconstructions. On the inter-annual timescale, ERA-20C and 20CR agree well with the temperature observations since 1957/1958, but there are systematic biases relative to absolute values with cold bias at East Antarctic coastal stations, and warm bias over the inland stations. An abrupt upwards shift in Antarctic annual and seasonal (except summer) mean temperature averaged over the East Antarctic ice sheet and the Antarctic ice sheet occurs around 1950 in 20CR and around 1979 in ERA-20C, which is probably related to the increasing counts of assimilated observations. Moreover, the significantly negative trends of seasonal and annual mean temperature in 20CR since the late 1970s are found to be largely spurious, which most likely results from the poor representation of variability in sea surface temperature (SST) around Antarctica in the 20CR's boundary forcing. These results imply and urge that caution must be taken when applying the two global reanalyses for evaluating long-term climate changes at high southern latitudes.</t>
  </si>
  <si>
    <t>[Zhang, Yulun; Wang, Yetang; Huai, Baojuan; Sun, Weijun] Shandong Normal Univ, Coll Geog &amp; Environm, Jinan 250014, Shandong, Peoples R China; [Ding, Minghu] Chinese Acad Meteorol Sci, Inst Climate Syst, Beijing, Peoples R China</t>
  </si>
  <si>
    <t>Shandong Normal University; China Meteorological Administration; Chinese Academy of Meteorological Sciences (CAMS)</t>
  </si>
  <si>
    <t>Wang, YT (corresponding author), Shandong Normal Univ, Coll Geog &amp; Environm, Jinan 250014, Shandong, Peoples R China.</t>
  </si>
  <si>
    <t>wangyetang@163.com</t>
  </si>
  <si>
    <t>sun, weijun/GZB-2595-2022; Ding, Minghu/AFU-3600-2022</t>
  </si>
  <si>
    <t>Ding, Minghu/0000-0002-1142-6598</t>
  </si>
  <si>
    <t>Outstanding Youth Fund of Shandong Provincial Universities [ZR2016JL030]; Chinese Academy of Sciences [XDA19070103]; National Natural Science Foundation of China [41576182]; National Key Basic Research Program of China [2013CBA01804]</t>
  </si>
  <si>
    <t>Outstanding Youth Fund of Shandong Provincial Universities; Chinese Academy of Sciences(Chinese Academy of Sciences); National Natural Science Foundation of China(National Natural Science Foundation of China (NSFC)); National Key Basic Research Program of China(National Basic Research Program of China)</t>
  </si>
  <si>
    <t>Outstanding Youth Fund of Shandong Provincial Universities, Grant/Award Number: ZR2016JL030; Chinese Academy of Sciences, Grant/Award Number: XDA19070103; National Natural Science Foundation of China, Grant/Award Number: 41576182; National Key Basic Research Program of China, Grant/Award Number: 2013CBA01804</t>
  </si>
  <si>
    <t>0899-8418</t>
  </si>
  <si>
    <t>1097-0088</t>
  </si>
  <si>
    <t>INT J CLIMATOL</t>
  </si>
  <si>
    <t>Int. J. Climatol.</t>
  </si>
  <si>
    <t>10.1002/joc.5563</t>
  </si>
  <si>
    <t>GS5FV</t>
  </si>
  <si>
    <t>WOS:000443683600013</t>
  </si>
  <si>
    <t>Kwon, HJ; Lee, C; Jee, G; Ham, YB; Kim, JH; Kim, YH; Kim, KH; Wu, Q; Bullett, T; Oh, S; Kwak, YS</t>
  </si>
  <si>
    <t>Kwon, Hyuck-Jin; Lee, Changsup; Jee, Geonhwa; Ham, Young-bae; Kim, Jeong-Han; Kim, Yong Ha; Kim, Khan-Hyuk; Wu, Qian; Bullett, Terence; Oh, Suyeon; Kwak, Young-Sil</t>
  </si>
  <si>
    <t>Ground-based Observations of the Polar Region Space Environment at the Jang Bogo Station, Antarctica</t>
  </si>
  <si>
    <t>JOURNAL OF ASTRONOMY AND SPACE SCIENCES</t>
  </si>
  <si>
    <t>polar upper atmosphere; Jang Bogo Station (JBS); Antarctica</t>
  </si>
  <si>
    <t>Jang Bogo Station (JBS), the second Korean Antarctic research station, was established in Terra Nova Bay, Antarctica (74.62 degrees S 164.22 degrees E) in February 2014 in order to expand the Korea Polar Research Institute (KOPRI) research capabilities. One of the main research areas at JBS is space environmental research. The goal of the research is to better understand the general characteristics of the polar region ionosphere and thermosphere and their responses to solar wind and the magnetosphere. Ground-based observations at JBS for upper atmospheric wind and temperature measurements using the Fabry-Perot Interferometer (FPI) began in March 2014. Ionospheric radar (VIPIR) measurements have been collected since 2015 to monitor the state of the polar ionosphere for electron density height profiles, horizontal density gradients, and ion drifts. To investigate the magnetosphere and geomagnetic field variations, a search-coil magnetometer and vector magnetometer were installed in 2017 and 2018, respectively. Since JBS is positioned in an ideal location for auroral observations, we installed an auroral all-sky imager with a color sensor in January 2018 to study substorms as well as auroras. In addition to these observations, we are also operating a proton auroral imager, airglow imager, global positioning system total electron content (GPS TEC)/scintillation monitor, and neutron monitor in collaboration with other institutes. In this article, we briefly introduce the observational activities performed at JBS and the preliminary results of these observations.</t>
  </si>
  <si>
    <t>[Kwon, Hyuck-Jin; Lee, Changsup; Jee, Geonhwa; Ham, Young-bae; Kim, Jeong-Han] Korea Polar Res Inst, Incheon 21990, South Korea; [Jee, Geonhwa; Ham, Young-bae] Univ Sci &amp; Technol, Daejeon 34113, South Korea; [Kim, Yong Ha] Chungnam Natl Univ, Dept Astron Space Sci &amp; Geol, Daejeon 34134, South Korea; [Kim, Khan-Hyuk] Kyung Hee Univ, Sch Space Res, Yongin 17104, South Korea; [Wu, Qian] Natl Ctr Atmospher Res, High Altitude Observ, Boulder, CO 80301 USA; [Bullett, Terence] Univ Colorado Boulder, Cooperat Inst Res Environm Sci, Boulder, CO 80309 USA; [Oh, Suyeon] Chonnam Natl Univ, Dept Earth Sci Educ, Gwangju 61186, South Korea; [Kwak, Young-Sil] Korea Astron &amp; Space Sci Inst, Daejeon 34055, South Korea</t>
  </si>
  <si>
    <t>Korea Polar Research Institute (KOPRI); University of Science &amp; Technology (UST); Chungnam National University; Kyung Hee University; National Center Atmospheric Research (NCAR) - USA; University of Colorado System; University of Colorado Boulder; Chonnam National University; Korea Astronomy &amp; Space Science Institute (KASI)</t>
  </si>
  <si>
    <t>Kwon, HJ (corresponding author), Korea Polar Res Inst, Incheon 21990, South Korea.</t>
  </si>
  <si>
    <t>hjkwon@kopri.re.kr</t>
  </si>
  <si>
    <t>Oh, Suyeon/JRX-4417-2023; Oh, Suyeon Y/B-4665-2012; Oh, Suyeon/S-3577-2019; Kim, Yong Ha/AAS-9908-2021; Kim, Jeong Han/J-6244-2016</t>
  </si>
  <si>
    <t>Oh, Suyeon/0000-0002-6786-620X; Oh, Suyeon/0000-0002-6786-620X; Wu, Qian/0000-0002-7508-3803; Kwon, Hyuck Jin/0000-0001-9670-0711</t>
  </si>
  <si>
    <t>Korea Polar Research Institute [PE18020]</t>
  </si>
  <si>
    <t>Korea Polar Research Institute(Korea Polar Research Institute of Marine Research Placement (KOPRI))</t>
  </si>
  <si>
    <t>This study was supported by the grant PE18020 from the Korea Polar Research Institute.</t>
  </si>
  <si>
    <t>KOREAN SPACE SCIENCE SOC</t>
  </si>
  <si>
    <t>134 SINCHON-DONG, SEODAEMUN-GU, SEOUL, 120-749, SOUTH KOREA</t>
  </si>
  <si>
    <t>2093-5587</t>
  </si>
  <si>
    <t>2093-1409</t>
  </si>
  <si>
    <t>J ASTRON SPACE SCI</t>
  </si>
  <si>
    <t>J. Astron. Space Sci.</t>
  </si>
  <si>
    <t>10.5140/JASS.2018.35.3.185</t>
  </si>
  <si>
    <t>GT6IH</t>
  </si>
  <si>
    <t>WOS:000444613500007</t>
  </si>
  <si>
    <t>Li, XJ; Lv, YF; Pei, YZ</t>
  </si>
  <si>
    <t>Li, Xiaojie; Lv, Yunfei; Pei, Yongzhen</t>
  </si>
  <si>
    <t>SOCIAL BEHAVIOR OF GROUP DEFENSE IN A PREDATOR-PREY SYSTEM WITH DELAY</t>
  </si>
  <si>
    <t>JOURNAL OF BIOLOGICAL SYSTEMS</t>
  </si>
  <si>
    <t>Hopf-Bifurcation; Global Stability; Stage Structured; Herd Behavior; Poincare-Bendixson Theorem</t>
  </si>
  <si>
    <t>GLOBAL STABILITY; BIFURCATION-ANALYSIS; HOPF-BIFURCATION; HERD BEHAVIOR; MODEL; ECOEPIDEMICS; POPULATION; DYNAMICS; STAGE</t>
  </si>
  <si>
    <t>This paper proposes a mathematical model describing the dynamics of both Antarctic krill and Blue whale population where Antarctic krill species (prey) has group defense when they aggregate in herds in order to provide a self-defense from Blue whale species (predator). Firstly, a sufficient condition for the global asymptotical stability of the positive equilibrium is given using Poincare-Bendixson theorem excluding periodic solution. Furthermore, we discuss the existence of Hopf-bifurcation and give criteria for stability switches through the study of a first-order exponential polynomial characteristic equation. Finally, some numerical simulations are given to illustrate our results.</t>
  </si>
  <si>
    <t>[Lv, Yunfei] Tianjin Polytech Univ, Sch Sci, Tianjin 300387, Peoples R China; Tianjin Polytech Univ, Sch Elect &amp; Informat Engn, Tianjin 300387, Peoples R China</t>
  </si>
  <si>
    <t>Tiangong University; Tiangong University</t>
  </si>
  <si>
    <t>Lv, YF (corresponding author), Tianjin Polytech Univ, Sch Sci, Tianjin 300387, Peoples R China.</t>
  </si>
  <si>
    <t>lvyunfei@mail.bnu.edu.cn</t>
  </si>
  <si>
    <t>Tianjin Natural Science Foundation of China [16JCQNJC04000]; National Natural Science Foundation of China [11501409, 11471243]</t>
  </si>
  <si>
    <t>Tianjin Natural Science Foundation of China; National Natural Science Foundation of China(National Natural Science Foundation of China (NSFC))</t>
  </si>
  <si>
    <t>We are extremely grateful to the critical comments and invaluable suggestions made by anonymous honorable reviewers. This work is supported by Tianjin Natural Science Foundation of China (16JCQNJC04000) and National Natural Science Foundation of China (11501409, 11471243).</t>
  </si>
  <si>
    <t>WORLD SCIENTIFIC PUBL CO PTE LTD</t>
  </si>
  <si>
    <t>SINGAPORE</t>
  </si>
  <si>
    <t>5 TOH TUCK LINK, SINGAPORE 596224, SINGAPORE</t>
  </si>
  <si>
    <t>0218-3390</t>
  </si>
  <si>
    <t>1793-6470</t>
  </si>
  <si>
    <t>J BIOL SYST</t>
  </si>
  <si>
    <t>J. Biol. Syst.</t>
  </si>
  <si>
    <t>10.1142/S0218339018500183</t>
  </si>
  <si>
    <t>Biology; Mathematical &amp; Computational Biology</t>
  </si>
  <si>
    <t>Life Sciences &amp; Biomedicine - Other Topics; Mathematical &amp; Computational Biology</t>
  </si>
  <si>
    <t>GU1DA</t>
  </si>
  <si>
    <t>WOS:000444994200002</t>
  </si>
  <si>
    <t>Sun, JQ; Ming, J; Zhang, MQ; Yu, S</t>
  </si>
  <si>
    <t>Sun, Jianqi; Ming, Jing; Zhang, Mengqi; Yu, Shui</t>
  </si>
  <si>
    <t>Circulation Features Associated with the Record-Breaking Rainfall over South China in June 2017</t>
  </si>
  <si>
    <t>Atmospheric circulation; Rossby waves; Teleconnections; Rainfall; Climate variability</t>
  </si>
  <si>
    <t>ASIAN SUMMER MONSOON; SPRING ANTARCTIC OSCILLATION; TROPICAL WESTERN PACIFIC; YANGTZE-RIVER VALLEY; EL-NINO; PART I; INTERDECADAL VARIATIONS; NORTH PACIFIC; HEAT-FLUX; PRECIPITATION</t>
  </si>
  <si>
    <t>In June 2017, south China suffered from intense rainfall that broke the record spanning the previous 70 years. In this study, the large-scale circulations associated with the south China June rainfall are analyzed. The results show that the anomalous Pacific-Japan (PJ) pattern is a direct influence on south China June rainfall or East Asian early summer rainfall. In addition, the Australian high was the strongest in June 2017 during the past 70 years, which can increase the equatorward flow to northern Australia and activate convection over the Maritime Continent. Enhanced convection over the Maritime Continent can further enhance local meridional circulation along East Asia, engendering downward motion over the tropical western North Pacific and enhancing the western Pacific subtropical high (WPSH) and upward motion over south China, which increases the rainfall therein. In addition, a strong wave train pattern associated with North Atlantic air-sea interaction was observed in June 2017 at Northern Hemispheric mid- to high latitudes; it originated from the North Atlantic and propagated eastward to East Asia, resulting in an anomalous anticyclone over the Mongolian-Baikal Lake region. This anomalous anticyclone produced strong northerly winds over East Asia that encountered the southerly associated with the WPSH over south China, thereby favoring intense rainfall over the region. Case studies of June 2017 and climate research based on data during 1979-2017 and 1948-2017 indicate that the extremities of the atmospheric circulation over south Europe and Australian high and their coupling with the PJ pattern could be responsible for the record-breaking south China rainfall in June 2017.</t>
  </si>
  <si>
    <t>[Sun, Jianqi; Ming, Jing; Zhang, Mengqi; Yu, Shui] Chinese Acad Sci, Inst Atmospher Phys, Nansen Zhu Int Res Ctr, Beijing, Peoples R China; [Sun, Jianqi] Nanjing Univ Informat Sci &amp; Technol, Collaborat Innovat Ctr Forecast &amp; Evaluat Meteoro, Nanjing, Jiangsu, Peoples R China; [Sun, Jianqi; Ming, Jing; Zhang, Mengqi; Yu, Shui] Univ Chinese Acad Sci, Beijing, Peoples R China</t>
  </si>
  <si>
    <t>Chinese Academy of Sciences; Institute of Atmospheric Physics, CAS; Nanjing University of Information Science &amp; Technology; Chinese Academy of Sciences; University of Chinese Academy of Sciences, CAS</t>
  </si>
  <si>
    <t>Sun, JQ (corresponding author), Chinese Acad Sci, Inst Atmospher Phys, Nansen Zhu Int Res Ctr, Beijing, Peoples R China.;Sun, JQ (corresponding author), Nanjing Univ Informat Sci &amp; Technol, Collaborat Innovat Ctr Forecast &amp; Evaluat Meteoro, Nanjing, Jiangsu, Peoples R China.;Sun, JQ (corresponding author), Univ Chinese Acad Sci, Beijing, Peoples R China.</t>
  </si>
  <si>
    <t>sunjq@mail.iap.ac.cn</t>
  </si>
  <si>
    <t>ZHANG, MENGQI/KBB-9340-2024; Zhang, Mengqi/IWU-9043-2023; Sun, Jianqi/A-7084-2016; Yu, Shui/JJE-8350-2023; zhang, meng/JMB-0951-2023</t>
  </si>
  <si>
    <t>Yu, Shui/0000-0003-3775-5960;</t>
  </si>
  <si>
    <t>National Natural Science Foundation of China [41522503, 41421004]; External Cooperation Program of BIC, Chinese Academy of Sciences [134111KYSB20150016]</t>
  </si>
  <si>
    <t>National Natural Science Foundation of China(National Natural Science Foundation of China (NSFC)); External Cooperation Program of BIC, Chinese Academy of Sciences</t>
  </si>
  <si>
    <t>This work was jointly supported by the National Natural Science Foundation of China (41522503 and 41421004), and the External Cooperation Program of BIC, Chinese Academy of Sciences (134111KYSB20150016).</t>
  </si>
  <si>
    <t>10.1175/JCLI-D-17-0903.1</t>
  </si>
  <si>
    <t>GO9CX</t>
  </si>
  <si>
    <t>WOS:000440402800003</t>
  </si>
  <si>
    <t>Wright, DW; Nowak, B; Oppedal, F; Crosbie, P; Stien, LH; Dempster, T</t>
  </si>
  <si>
    <t>Wright, Daniel William; Nowak, Barbara; Oppedal, Frode; Crosbie, Phil; Stien, Lars Helge; Dempster, Tim</t>
  </si>
  <si>
    <t>Repeated sublethal freshwater exposures reduce the amoebic gill disease parasite, Neoparamoeba perurans, on Atlantic salmon</t>
  </si>
  <si>
    <t>JOURNAL OF FISH DISEASES</t>
  </si>
  <si>
    <t>freshwater; mariculture; moderate vs aggressive treatment; Neoparamoeba perurans; parasite control</t>
  </si>
  <si>
    <t>SALAR L.; HYDROGEN-PEROXIDE; SALINITY; LICE; SURVIVAL; AGD</t>
  </si>
  <si>
    <t>Freshwater bathing is one of the main treatment options available against amoebic gill disease (AGD) affecting multiple fish hosts in mariculture systems. Prevailing freshwater treatments are designed to be long enough to kill Neoparamoeba perurans, the ectoparasite causing AGD, which may select for freshwater tolerance. Here, we tested whether using shorter, sublethal freshwater treatment durations are a viable alternative to lethal ones for N.perurans (2-4hr). Under invitro conditions, gill-isolated N.perurans attached to plastic substrate in sea water lifted off after 2min in freshwater, but survival was not impacted until 60min. In an invivo experiment, AGD-affected Atlantic salmon Salmo salar subjected daily to 30min (sublethal to N.perurans) and 120min (lethal to N.perurans) freshwater treatments for 6days consistently reduced N.perurans cell numbers on gills (based on qPCR analysis) compared to daily 3min freshwater or seawater treatments for 6days. Our results suggest that targeting cell detachment rather than cell death with repeated freshwater treatments of shorter duration than typical baths could be used in AGD management. However, the consequences of modifying the intensity of freshwater treatment regimes on freshwater tolerance evolution in N.perurans populations require careful consideration.</t>
  </si>
  <si>
    <t>[Wright, Daniel William; Dempster, Tim] Sch BioSci, Sustainable Aquaculture Lab Temperate &amp; Trop, Melbourne, Vic, Australia; [Wright, Daniel William; Oppedal, Frode; Stien, Lars Helge] Matre Res Stn, Inst Marine Res, Matredal, Norway; [Nowak, Barbara; Crosbie, Phil] Univ Tasmania, Inst Marine &amp; Antarctic Studies, Launceston, Tas, Australia</t>
  </si>
  <si>
    <t>Melbourne Genomics Health Alliance; Institute of Marine Research - Norway; University of Tasmania</t>
  </si>
  <si>
    <t>Wright, DW (corresponding author), Matre Res Stn, Inst Marine Res, Matredal, Norway.</t>
  </si>
  <si>
    <t>daniel.william.wright@imr.no</t>
  </si>
  <si>
    <t>Wright, Daniel/JCO-8008-2023; Nowak, Barbara/J-7261-2014; Dempster, Tim/E-9630-2011</t>
  </si>
  <si>
    <t>Nowak, Barbara/0000-0002-0347-643X; Dempster, Tim/0000-0001-8041-426X; Oppedal, Frode/0000-0001-8625-0331</t>
  </si>
  <si>
    <t>Australian Research Council; University of Tasmania Animal Ethics Committee [A15344]</t>
  </si>
  <si>
    <t>Australian Research Council(Australian Research Council); University of Tasmania Animal Ethics Committee</t>
  </si>
  <si>
    <t>We thank Tina Oldham for qPCR analyses, and many other staff and students at the Institute of Marine and Antarctic Studies, University of Tasmania for technical support during the AGD infection experiment. Thanks also to Tom Fraser who assisted with statistical analyses. Funding came from an Australian Research Council Future Fellowship awarded to TD. Animal ethics approval for the AGD infection experiment was provided by the University of Tasmania Animal Ethics Committee (ID: A15344).</t>
  </si>
  <si>
    <t>0140-7775</t>
  </si>
  <si>
    <t>1365-2761</t>
  </si>
  <si>
    <t>J FISH DIS</t>
  </si>
  <si>
    <t>J. Fish Dis.</t>
  </si>
  <si>
    <t>10.1111/jfd.12834</t>
  </si>
  <si>
    <t>Fisheries; Marine &amp; Freshwater Biology; Veterinary Sciences</t>
  </si>
  <si>
    <t>GP9OW</t>
  </si>
  <si>
    <t>WOS:000441247300009</t>
  </si>
  <si>
    <t>Spackeen, JL; Bronk, DA; Sipler, RE; Bertrand, EM; Hutchins, DA; Allen, AE</t>
  </si>
  <si>
    <t>Spackeen, Jenna L.; Bronk, Deborah A.; Sipler, Rachel E.; Bertrand, Erin M.; Hutchins, David A.; Allen, Andrew E.</t>
  </si>
  <si>
    <t>Stoichiometric N:P Ratios, Temperature, and Iron Impact Carbon and Nitrogen Uptake by Ross Sea Microbial Communities</t>
  </si>
  <si>
    <t>JOURNAL OF GEOPHYSICAL RESEARCH-BIOGEOSCIENCES</t>
  </si>
  <si>
    <t>Ross Sea; Stoichiometry; Temperature; Iron; Nitrogen Uptake; Carbon Uptake</t>
  </si>
  <si>
    <t>FREE AMINO-ACIDS; SOUTHERN-OCEAN; PHYTOPLANKTON GROWTH; MARINE-PHYTOPLANKTON; EVOLUTIONARY INHERITANCE; ANTARCTIC PHYTOPLANKTON; ELEMENTAL STOICHIOMETRY; PRIMARY PRODUCTIVITY; SCALE VARIATIONS; PHOSPHORUS</t>
  </si>
  <si>
    <t>Plain Language Summary Phytoplankton growth in the seasonally productive Southern Ocean is typically limited by iron (Fe). In the next century, however, Fe inputs and temperature are predicted to increase. Dissolved concentrations of nitrogen (N) and phosphorus (P) may also change due to physical and biological drivers, altering the stoichiometric N:P ratio of the water column. Two separate experiments were conducted to study how these predicted changes will impact nutrient utilization by two natural microbial communities from the Ross Sea, Antarctica. The first investigation focused on a Terra Nova Bay community amended with Fe and grown under a wide range of seven different N:P ratios. Building on the results of the first study, a McMurdo Sound community was incubated under a factorial design at high, medium (ambient), and low N:P ratios, with and without Fe addition, and at ambient versus elevated temperature. In both experiments absolute uptake rates of bicarbonate, nitrate, and amino acids by two size fractions (0.7-5.0m and&gt;5.0m) of microorganisms were measured using stable isotopes. For Terra Nova Bay microorganisms, significant differences in nutrient uptake rates occurred when the N:P ratio was elevated, and nitrate uptake rates significantly increased early in the experiment but were not different at the end. For McMurdo Sound microorganisms, changing the N:P supply ratio did not have a clear effect, while temperature elevation and/or Fe addition significantly increased nutrient uptake. Results indicate that changing the dissolved N:P ratio can potentially alter nutrient uptake rates; however, the impact of temperature and Fe are greater. The Southern Ocean is one of the most biologically important ecosystems on our planet. Microscopic plants, called phytoplankton, form the base of the food web in the Southern Ocean and play a direct role in regulating how much and how fast elements like nitrogen and carbon are cycled throughout the world ocean. The goal of this research was to determine how predicted changes in the environment will impact how fast phytoplankton use these elements. The conditions that we tested included elevated temperature, addition of iron, and the proportion of nitrogen to phosphorus in the seawater. These parameters were selected because temperatures are increasing in the Southern Ocean, and the relative availability of nutrients can alter what species of phytoplankton are present and how fast they grow. Phytoplankton were collected from two locations in the Ross Sea, Antarctica, and grown for a few weeks under experimental conditions. Our results demonstrate that all three parameters, warmer temperatures, the addition of iron, and changing nitrogen to phosphorus ratios will increase how fast phytoplankton use nitrogen and carbon, but the impact of elevated temperature and the addition of iron had a much larger impact than the nitrogen to phosphorus ratio.</t>
  </si>
  <si>
    <t>[Spackeen, Jenna L.; Bronk, Deborah A.; Sipler, Rachel E.] Coll William &amp; Mary, Virginia Inst Marine Sci, Gloucester Point, VA 23062 USA; [Bronk, Deborah A.] Bigelow Lab Ocean Sci, East Boothbay, ME USA; [Sipler, Rachel E.] Mem Univ Newfoundland, Dept Ocean Sci, St John, NF, Canada; [Bertrand, Erin M.] Dalhousie Univ, Dept Biol, Halifax, NS, Canada; [Bertrand, Erin M.; Allen, Andrew E.] J Craig Venter Inst, Microbial &amp; Environm Genom, La Jolla, CA USA; [Bertrand, Erin M.; Allen, Andrew E.] Univ Calif San Diego, Scripps Inst Oceanog, Integrat Oceanog Div, La Jolla, CA 92093 USA; [Hutchins, David A.] Univ Southern Calif, Dept Biol Sci, Los Angeles, CA USA</t>
  </si>
  <si>
    <t>William &amp; Mary; Virginia Institute of Marine Science; Bigelow Laboratory for Ocean Sciences; Memorial University Newfoundland; Dalhousie University; J. Craig Venter Institute; University of California System; University of California San Diego; Scripps Institution of Oceanography; University of Southern California</t>
  </si>
  <si>
    <t>Spackeen, JL (corresponding author), Coll William &amp; Mary, Virginia Inst Marine Sci, Gloucester Point, VA 23062 USA.</t>
  </si>
  <si>
    <t>j.spackeen@gmail.com</t>
  </si>
  <si>
    <t>Hutchins, David A/D-3301-2013; Allen, Andrew E/C-4896-2012</t>
  </si>
  <si>
    <t>Hutchins, David A/0000-0002-6637-756X; Allen, Andrew E/0000-0001-5911-6081</t>
  </si>
  <si>
    <t>National Science Foundation [1043635, 1043671, 1043748]; NSF GK-12 [DGE-0840804]</t>
  </si>
  <si>
    <t>National Science Foundation(National Science Foundation (NSF)); NSF GK-12(National Science Foundation (NSF))</t>
  </si>
  <si>
    <t>Thanks to Quinn Roberts, Marta Sanderson, and Steven Baer for their help in the field and with laboratory analyses. We are grateful for Nancy Tenenbaum for meticulously identifying and counting phytoplankton cells. We acknowledge Jen Erxleben and Ned Corkran and the other Antarctic Support Contractors who made this research possible. Feedback from reviewers, Elizabeth Canuel, Michael Lomas, Deborah Steinberg, and Peter Van Veld improved the manuscript. This work was supported by grant 1043635, 1043671, and 1043748, awarded to D. A. Bronk, A. E. Allen, and D. A. Hutchins, respectively, from the National Science Foundation; J. L. Spackeen also received support from NSF GK-12 (DGE-0840804). The authors cite no conflict of interests. Data supporting this work are found within the manuscript or as tables and figures in the supporting information. Any additional data can be obtained from the corresponding author. This paper is Contribution 3373 of the Virginia Institute of Marine Science.</t>
  </si>
  <si>
    <t>2169-8953</t>
  </si>
  <si>
    <t>2169-8961</t>
  </si>
  <si>
    <t>J GEOPHYS RES-BIOGEO</t>
  </si>
  <si>
    <t>J. Geophys. Res.-Biogeosci.</t>
  </si>
  <si>
    <t>10.1029/2017JG004316</t>
  </si>
  <si>
    <t>Environmental Sciences; Geosciences, Multidisciplinary</t>
  </si>
  <si>
    <t>Environmental Sciences &amp; Ecology; Geology</t>
  </si>
  <si>
    <t>GX3RP</t>
  </si>
  <si>
    <t>WOS:000447644800020</t>
  </si>
  <si>
    <t>Dawson, HRS; Strutton, PG; Gaube, P</t>
  </si>
  <si>
    <t>Dawson, H. R. S.; Strutton, P. G.; Gaube, P.</t>
  </si>
  <si>
    <t>The Unusual Surface Chlorophyll Signatures of Southern Ocean Eddies</t>
  </si>
  <si>
    <t>Southern Ocean; eddies; mesoscale; surface chlorophyll; mixed layer depth</t>
  </si>
  <si>
    <t>MESOSCALE EDDIES; SATELLITE-OBSERVATIONS; TRANSPORT; CARBON; HEAT; SINK</t>
  </si>
  <si>
    <t>Southern Ocean mesoscale eddies play an important role in ocean circulation and biogeochemical cycling, but their biological characteristics have not been well quantified at the basin scale. To address this, we combined a 15-year tracked eddy data set with satellite observations of ocean color, sea surface temperature, and autonomous profiling floats to quantify the surface and subsurface properties of eddies. Anomalies of surface temperature and chlorophyll were examined in eddy-centric composite averages constructed from thousands of eddies. Normalized surface chlorophyll anomalies (chl(norm)) vary seasonally and geographically. Cyclones typically show positive chl(norm), while anticyclones have negative chl(norm). The sign of chl(norm) reverses during late summer and autumn for eddies between the Subtropical and Polar Fronts. The reversal is most obvious in the Indian sector, and we attribute this to a combination of eddy stirring (deformation of surface gradients by the rotational velocity of an eddy) and deeper winter mixing in anticyclones. Both chl(norm) and sea surface temperature anomalies transition from dipole structures north of the Subtropical Front to monopole structures south of the Subantarctic Front. Sea surface temperature and chl(norm) composites provide evidence for eddy trapping (transporting of anomalies) and eddy stirring. This research provides a basin-scale study of surface chlorophyll in Southern Ocean eddies and reveals counterintuitive biogeochemical signals. Plain Language Summary Ocean eddies are spinning parcels of water about 100km across and 1,500-m deep. They occur everywhere in the ocean. In the Southern Hemisphere, eddies that spin clockwise are cooler than the surrounding ocean because their rotation causes cold, deep water to move upward. This upwelling brings nutrients essential for photosynthesis to the surface and makes clockwise-rotating eddies more productive. Satellites can measure this productivity by sensing differences in ocean color, which result from the increased plankton. By analyzing thousands of Southern Ocean eddies, we found that in summer and autumn, eddies behave opposite to our expectations. That is, clockwise rotating eddies have lower plankton concentrations compared to neighboring waters and counterclockwise rotating eddies have higher concentrations. To explain this, we examined how deep these eddies mix the ocean in the preceding months. We found that counterclockwise rotating eddies mix the ocean deeper in winter, allowing more nutrients to enter their interiors, leading to higher productivity. This work is important because eddy productivity plays a significant role in the exchange of carbon between the ocean and the atmosphere. Carbon exchange in the Southern Ocean is thought to be changing, and this work helps explain an important piece of that process.</t>
  </si>
  <si>
    <t>[Dawson, H. R. S.; Strutton, P. G.] Univ Tasmania, Inst Marine &amp; Antarctic Studies, Hobart, Tas, Australia; [Dawson, H. R. S.; Strutton, P. G.] Univ Tasmania, Australian Res Council, Ctr Excellence Climate Syst Sci, Hobart, Tas, Australia; [Gaube, P.] Univ Washington, Appl Phys Lab, Seattle, WA 98105 USA</t>
  </si>
  <si>
    <t>University of Tasmania; University of Tasmania; University of Washington; University of Washington Seattle</t>
  </si>
  <si>
    <t>Dawson, HRS (corresponding author), Univ Tasmania, Inst Marine &amp; Antarctic Studies, Hobart, Tas, Australia.;Dawson, HRS (corresponding author), Univ Tasmania, Australian Res Council, Ctr Excellence Climate Syst Sci, Hobart, Tas, Australia.</t>
  </si>
  <si>
    <t>hannahrsdawson@gmail.com</t>
  </si>
  <si>
    <t>; Strutton, Peter/C-4466-2011</t>
  </si>
  <si>
    <t>Dawson, Hannah/0000-0001-9113-1329; Gaube, Peter/0000-0002-3282-5803; Strutton, Peter/0000-0002-2395-9471</t>
  </si>
  <si>
    <t>Australian Research Council Centre of Excellence for Climate System Science; NASA [NNX16AH9G]</t>
  </si>
  <si>
    <t>Australian Research Council Centre of Excellence for Climate System Science(Australian Research Council); NASA(National Aeronautics &amp; Space Administration (NASA))</t>
  </si>
  <si>
    <t>The eddy data set used for this study was produced by Dudley Chelton and Michael Schlax (http://wombat.coas.oregonstate.edu/eddies/). The SST data were provided by the National Oceanic and Atmospheric Administration. Wind data used in this study were produced and provided Remote Sensing Systems (http://www.remss.com) and processed by Peter Gaube. The reprocessed Southern Ocean color data were provided by the Integrated Marine Observing System. Argo float data were collected and made freely available by the International Argo Program and the national programs that contribute to it (http://www.argo.ucsd.edu, http://argo.jcommops.org). The Argo Program is part of the Global Ocean Observing System. The mixed layer depth data were provided by the Argo Mixed Layers website (http://mixedlayer.ucsd.edu). The Centre for Topographic studies of the Ocean and Hydrosphere and Australian Antarctic Division provided the Southern Ocean front data used in this study. The data and codes used for this study are available from the author on request. The Australian Research Council Centre of Excellence for Climate System Science provided financial support for this project. Peter Gaube acknowledges funding from NASA grant NNX16AH9G.</t>
  </si>
  <si>
    <t>10.1029/2017JC013628</t>
  </si>
  <si>
    <t>GX2MH</t>
  </si>
  <si>
    <t>WOS:000447552600002</t>
  </si>
  <si>
    <t>Ivanov, V; Smirnov, A; Alexeev, V; Koldunov, NV; Repina, I; Semenov, V</t>
  </si>
  <si>
    <t>Ivanov, Vladimir; Smirnov, Alexander; Alexeev, Vladimir; Koldunov, Nikolay V.; Repina, Irina; Semenov, Vladimir</t>
  </si>
  <si>
    <t>Contribution of Convection-Induced Heat Flux to Winter Ice Decay in the Western Nansen Basin</t>
  </si>
  <si>
    <t>Arctic Ocean; winter thermohaline convection; sea ice; Atlantic water advection; seasonal cycle of water temperature; mathematical models</t>
  </si>
  <si>
    <t>ATLANTIC WATER; ARCTIC-OCEAN; DATA ASSIMILATION; NORTH; SVALBARD; POLYNYAS; IMPACT</t>
  </si>
  <si>
    <t>Plain Language Summary Gradually decaying Arctic sea ice changes the boundary conditions at the surface, separating ocean and atmosphere. In recent years, substantial reductions in sea ice during winter have been observed in the Atlantic sector of the Arctic Ocean, which forms the gateway for warm water inflow from the midlatitudes. In this study, we used routine output from the Mercator Ocean global operational system (MOGOS) to assess the efficiency of winter thermohaline convection transporting heat from deep layers to the ocean surface along the Atlantic origin water (AW) pathway, between Svalbard and Franz Joseph Land in the Nansen Basin. Positive temperature extremes in the AW layer in midwinter promote favorable prerequisite conditions for deep-reaching thermohaline convection, with explicit signs captured by the MOGOS. Balance equations with several assumptions for the compact region around the position (81.30 degrees N, 31 degrees E) of the long-term (2004-2010) mooring demonstrated that winter heat loss at the ocean surface is mainly compensated by convective heat flux from the AW layer. Heat and salt fluxes, associated with horizontal advection, are compatible with convective fluxes, while contribution of ice formation/melt is substantially smaller. Conclusion about the dominant role of vertical convection in shaping thermohaline structure and reducing sea ice in winter is supported by correlation analysis of the MOGOS output and mooring-based measurements. Unfavorable background conditions (thick and consolidated sea ice in combination with specific directions of ice drift) may significantly alter convection development, as demonstrated for two sequential years with substantially different external forcing. Over the last two decades Arctic sea ice has continued to decrease in extent and volume. Recent satellite observations point out that in the Atlantic sector of the Arctic Ocean substantial reduction of sea ice is happening not only in summer but in winter as well. We argue that the reason behind winter ice decay might be the heat impact from the deep ocean via thermohaline convectionopposite directed vertical motion of water under gravitational forcing. Warm water inflow from midlatitudes shapes the vertical structure of the water column in the Arctic Ocean in the way that in the upper few hundred meter temperature and salinity increase with depth. Due to cooling in winter, water at the ocean surface becomes heavier than deep water, thus providing favorable conditions for vertical convection. Recent shift to thinner Arctic sea ice provided better conditions for intensive convection development in winter along the pathways of warm water inflow in the Atlantic sector of the Arctic Ocean. Model-based results, used in this study, support our work hypothesis on the decisive influence of oceanic heat, released upward via convection, in shaping winter sea ice conditions in the Western Nansen Basin of the Arctic Ocean.</t>
  </si>
  <si>
    <t>[Ivanov, Vladimir] Moscow MV Lomonosov State Univ, Dept Oceanog, Fac Geog, Moscow, Russia; [Ivanov, Vladimir; Smirnov, Alexander; Repina, Irina] Hydrometeorol Ctr Russia, Moscow, Russia; [Ivanov, Vladimir; Smirnov, Alexander] Arctic &amp; Antarctic Res Inst, St Petersburg, Russia; [Smirnov, Alexander] Arctic Portal, Akureyri, Iceland; [Alexeev, Vladimir] Univ Alaska, Int Arctic Res Ctr, Fairbanks, AK 99701 USA; [Koldunov, Nikolay V.] MARUM Ctr Marine Environm Sci, Bremen, Germany; [Koldunov, Nikolay V.] Helmholtz Ctr Polar &amp; Marine Res, Alfred Wegener Inst, Bremerhaven, Germany; [Repina, Irina; Semenov, Vladimir] AM Obukhov Inst Atmospher Phys, Moscow, Russia; [Repina, Irina] Space Res Inst, Moscow, Russia</t>
  </si>
  <si>
    <t>Lomonosov Moscow State University; Arctic &amp; Antarctic Research Institute; University of Alaska System; University of Alaska Fairbanks; University of Bremen; Helmholtz Association; Alfred Wegener Institute, Helmholtz Centre for Polar &amp; Marine Research; Russian Academy of Sciences; Obukhov Institute of Atmospheric Physics of Russian Academy of Sciences; Russian Academy of Sciences; Space Research Institute of the Russian Academy of Sciences</t>
  </si>
  <si>
    <t>Ivanov, V (corresponding author), Moscow MV Lomonosov State Univ, Dept Oceanog, Fac Geog, Moscow, Russia.;Ivanov, V (corresponding author), Hydrometeorol Ctr Russia, Moscow, Russia.;Ivanov, V (corresponding author), Arctic &amp; Antarctic Res Inst, St Petersburg, Russia.</t>
  </si>
  <si>
    <t>vladimir.ivanov@aari.ru</t>
  </si>
  <si>
    <t>Atmosphere and Ocean, Collaborative Research Center TRR 181- Energy Transfers in/AAY-2721-2020; Semenov, Vladimir/U-9488-2019; Ivanov, Vladimir/J-5979-2014; alexeev, vladimir/B-2234-2010; Smirnov, Alexander/J-5935-2014; Repina, Irina A/H-3530-2016; Koldunov, Nikolay V. V./A-5439-2011</t>
  </si>
  <si>
    <t>Semenov, Vladimir/0000-0001-7632-7921; Ivanov, Vladimir/0000-0003-2569-6027; alexeev, vladimir/0000-0003-3519-2797; Smirnov, Alexander/0000-0003-3231-7283; Koldunov, Nikolay V. V./0000-0002-3365-8146; Repina, Irina/0000-0001-7341-0826</t>
  </si>
  <si>
    <t>Russian Science Foundation [14-37-00053-Pi]; NSF [ARC-1417300, ARC-1203473]; project S1 (Climate models as metrics) of the Collaborative Research Centre Energy Transfer in Atmosphere and Ocean - German Research Foundation (DFG) [TRR 181]; Russian Science Foundation [17-37-00006] Funding Source: Russian Science Foundation</t>
  </si>
  <si>
    <t>Russian Science Foundation(Russian Science Foundation (RSF)); NSF(National Science Foundation (NSF)); project S1 (Climate models as metrics) of the Collaborative Research Centre Energy Transfer in Atmosphere and Ocean - German Research Foundation (DFG)(German Research Foundation (DFG)); Russian Science Foundation(Russian Science Foundation (RSF))</t>
  </si>
  <si>
    <t>This study was supported by the following research grants/programs: V. Ivanov, A. Smirnov, and I. Repina, Russian Science Foundation grant 14-37-00053-Pi; V. Alexeev was supported by NSF grants ARC-1417300 and ARC-1203473. N. V. Koldunov is supported by the project S1 (Climate models as metrics) of the Collaborative Research Centre TRR 181 Energy Transfer in Atmosphere and Ocean funded by the German Research Foundation (DFG). We would like to express deep gratitude to Jean Michele Lellouche for his help in answering specific questions related to MOGOS validation. The model data, used in this paper, are freely available on the website http://bulletin.mercator-ocean.fr/en/PSY4#3/75.50/-51.33. Observations, used in this paper, are freely available at the website http://nabos.iarc.uaf.edu/.</t>
  </si>
  <si>
    <t>10.1029/2018JC013995</t>
  </si>
  <si>
    <t>WOS:000447552600032</t>
  </si>
  <si>
    <t>Li, YJ; Liu, QS; Wei, DP; Li, SZ; Yu, YJ</t>
  </si>
  <si>
    <t>Li, Yuanjie; Liu, QingSong; Wei, Dongping; Li, Sanzhong; Yu, Yongjae</t>
  </si>
  <si>
    <t>Variations of Earth Magnetic Field Intensity for the Past 5Myr Derived From Marine Magnetic Anomalies in a Slow-to-Intermediate Spreading South Atlantic Ridge</t>
  </si>
  <si>
    <t>JOURNAL OF GEOPHYSICAL RESEARCH-SOLID EARTH</t>
  </si>
  <si>
    <t>geomagnetic field; palaeointensity; marine magnetic anomaly; marine sediments; South Atlantic Ridge</t>
  </si>
  <si>
    <t>GEOMAGNETIC-FIELD; RELATIVE PALEOINTENSITY; MANTLE CONVECTION; MATUYAMA-BRUNHES; MA; PROFILES; RECORD; IDENTIFICATION; REVERSALS; MODEL</t>
  </si>
  <si>
    <t>We investigated sea-surface magnetic anomaly data for the past 5Myr in the slow-to-intermediate spreading South Atlantic Ridge. After error analysis and signal processes, the sea surface magnetic anomaly profiles were downward continued to 1.5km below sea level, and then the distance from spreading axis was converted to time by matching the observed anomalies with forward models of known polarity reversals. The stacked anomaly profiles from South Atlantic Ridge exhibit short-wavelength wiggles superimposed on the first-order variations of magnetic anomalies. The stacked anomaly profiles were first compared with commonly used geomagnetic palaeointensity data synthesized from sedimentary relative intensity records in the past and were further correlated with other available magnetic profiles derived from Central Indian Ridge, East Pacific Rise, and Pacific-Antarctic Ridge. We found that short wavelength variations in the South Atlantic Ridge can be ascribed to geomagnetic intensity variations from excursions or short polarity events. Spectral analysis of marine magnetic anomalies records reveals that there is no obvious dominant periodicity for the geomagnetic field behavior during the past 5Myr.</t>
  </si>
  <si>
    <t>[Li, Yuanjie; Li, Sanzhong] Ocean Univ China, Minist Educ, Key Lab Submarine Geosci &amp; Prospecting Tech, Qingdao, Peoples R China; [Li, Yuanjie; Li, Sanzhong] Ocean Univ China, Coll Marine Geosci, Qingdao, Peoples R China; [Li, Yuanjie; Li, Sanzhong] Qingdao Natl Lab Marine Sci &amp; Technol, Lab Marine Geol, Qingdao, Peoples R China; [Li, Yuanjie; Wei, Dongping] Chinese Acad Sci, Key Lab Computat Geodynam, Beijing, Peoples R China; [Li, Yuanjie; Wei, Dongping] Univ Chinese Acad Sci, Coll Earth Sci, Beijing, Peoples R China; [Liu, QingSong] Southern Univ Sci &amp; Technol China, Dept Ocean Sci &amp; Engn, Shenzhen, Peoples R China; [Yu, Yongjae] Chungnam Natl Univ, Dept Astron Space Sci &amp; Geol, Daejeon, South Korea</t>
  </si>
  <si>
    <t>Ocean University of China; Ocean University of China; Laoshan Laboratory; Chinese Academy of Sciences; Chinese Academy of Sciences; University of Chinese Academy of Sciences, CAS; Southern University of Science &amp; Technology; Chungnam National University</t>
  </si>
  <si>
    <t>Liu, QS (corresponding author), Southern Univ Sci &amp; Technol China, Dept Ocean Sci &amp; Engn, Shenzhen, Peoples R China.</t>
  </si>
  <si>
    <t>qsliu@sustc.edu.cn</t>
  </si>
  <si>
    <t>WEI, Dongping/J-3297-2012; Li, Yuan/GXV-1310-2022; Liu, Qingsong/AAK-4672-2020; Li, Sanzhong/F-6111-2013</t>
  </si>
  <si>
    <t>Li, Sanzhong/0000-0002-3436-2793; Yu, Yongjae/0000-0002-2005-2778</t>
  </si>
  <si>
    <t>National Natural Science Foundation of China [41474086, 41874078, 41704068]; Taishan Scholar Program; National Research Foundation (NRF) of Korea - Korean Government (MSIP) [NRF-2018R1A2B6001094]</t>
  </si>
  <si>
    <t>National Natural Science Foundation of China(National Natural Science Foundation of China (NSFC)); Taishan Scholar Program; National Research Foundation (NRF) of Korea - Korean Government (MSIP)</t>
  </si>
  <si>
    <t>We are grateful to Jeff Gee, Jerome Dyment, Uri ten Brink, and Associate Editor for their constructive comments. The raw magnetic data at the South Atlantic Ridge are downloaded from the National Centers for Environmental Information (https://ngdc.noaa.gov/mgg/geodas/trackline.html). This work was supported by the National Natural Science Foundation of China under grants 41474086, 41874078, and 41704068; Taishan Scholar Program to Sanzhong Li. This work was supported by the National Research Foundation (NRF) of Korea grant funded by the Korean Government (MSIP; NRF-2018R1A2B6001094).</t>
  </si>
  <si>
    <t>2169-9313</t>
  </si>
  <si>
    <t>2169-9356</t>
  </si>
  <si>
    <t>J GEOPHYS RES-SOL EA</t>
  </si>
  <si>
    <t>J. Geophys. Res.-Solid Earth</t>
  </si>
  <si>
    <t>10.1029/2018JB016099</t>
  </si>
  <si>
    <t>GX6GP</t>
  </si>
  <si>
    <t>WOS:000447858800008</t>
  </si>
  <si>
    <t>Pham, TS; Tkalcic, H</t>
  </si>
  <si>
    <t>Thanh-Son Pham; Tkalcic, Hrvoje</t>
  </si>
  <si>
    <t>Antarctic Ice Properties Revealed From Teleseismic P Wave Coda Autocorrelation</t>
  </si>
  <si>
    <t>Antarctica; ice sheet; P wave coda; body waves</t>
  </si>
  <si>
    <t>AMBIENT SEISMIC NOISE; CRUSTAL STRUCTURE; LAYERED MEDIUM; THICKNESS; CONSTRAINTS; AUTOCORRELOGRAMS; INTERFEROMETRY; REFLECTIVITY; RETRIEVAL; AUSTRALIA</t>
  </si>
  <si>
    <t>Antarctica is largely covered by an ice cap of a variable thickness characterized by relatively low density and seismic velocities. Passive seismological deployments have a limited use in imaging a thin ice layer because of the dominance of a relatively low-frequency content in the teleseismic wavefield. Here we use passive seismological data and an improved autocorrelation method utilizing P wave coda to image the ice cover. The resulting autocorrelograms are interpreted as reflectivity records from a virtual source on the surface and reflection pulses at the ice base. We convert the reflection delay of P waves to the ice thickness measurements using a homogeneous P wave speed compatible with previous studies. Apart from P wave reflectivity, we obtain S wave reflectivity from the autocorrelation of radial component. The ratio of S wave and P wave reflection times represents a measurement of the P over S wave speed ratio (and Poisson's ratio). The successful application to unveil the Antarctic ice sheet properties presented here opens a way for future studies to measure properties of the ice cover in Antarctica, other continents, and icy planets in future space missions.</t>
  </si>
  <si>
    <t>[Thanh-Son Pham; Tkalcic, Hrvoje] Australian Natl Univ, Res Sch Earth Sci, Canberra, ACT, Australia</t>
  </si>
  <si>
    <t>Australian National University</t>
  </si>
  <si>
    <t>Pham, TS (corresponding author), Australian Natl Univ, Res Sch Earth Sci, Canberra, ACT, Australia.</t>
  </si>
  <si>
    <t>thanhson.pham@anu.edu.au</t>
  </si>
  <si>
    <t>Pham, Thanh-Son/N-5476-2019; Phạm, Thanh-Son/ABD-9325-2020; Tkalcic, Hrvoje/E-8465-2013</t>
  </si>
  <si>
    <t>Pham, Thanh-Son/0000-0002-9057-4416; Phạm, Thanh-Son/0000-0002-9057-4416; Tkalcic, Hrvoje/0000-0001-7072-490X</t>
  </si>
  <si>
    <t>10.1029/2018JB016115</t>
  </si>
  <si>
    <t>WOS:000447858800039</t>
  </si>
  <si>
    <t>Marynets, K</t>
  </si>
  <si>
    <t>Marynets, Kateryna</t>
  </si>
  <si>
    <t>A Weighted Sturm-Liouville Problem Related to Ocean Flows</t>
  </si>
  <si>
    <t>JOURNAL OF MATHEMATICAL FLUID MECHANICS</t>
  </si>
  <si>
    <t>Sturm-Liouville problem; Ocean gyre</t>
  </si>
  <si>
    <t>WATER-WAVES; STEADY</t>
  </si>
  <si>
    <t>We discuss some existence and uniqueness results for the solutions to a two-point boundary-value problem that models the flow of the Antarctic Circumpolar Current in rotating spherical coordinates.</t>
  </si>
  <si>
    <t>[Marynets, Kateryna] Uzhgorod Natl Univ, Dept Math, Univ Ska St 14, UA-88000 Uzhgorod, Ukraine</t>
  </si>
  <si>
    <t>Ministry of Education &amp; Science of Ukraine; Uzhgorod National University</t>
  </si>
  <si>
    <t>Marynets, K (corresponding author), Uzhgorod Natl Univ, Dept Math, Univ Ska St 14, UA-88000 Uzhgorod, Ukraine.</t>
  </si>
  <si>
    <t>kateryna.marynets@uzhnu.edu.ua</t>
  </si>
  <si>
    <t>Marynets, Kateryna/S-5816-2019</t>
  </si>
  <si>
    <t>Marynets, Kateryna/0000-0002-0043-6336</t>
  </si>
  <si>
    <t>SPRINGER BASEL AG</t>
  </si>
  <si>
    <t>PICASSOPLATZ 4, BASEL, 4052, SWITZERLAND</t>
  </si>
  <si>
    <t>1422-6928</t>
  </si>
  <si>
    <t>1422-6952</t>
  </si>
  <si>
    <t>J MATH FLUID MECH</t>
  </si>
  <si>
    <t>J. Math. Fluid Mech.</t>
  </si>
  <si>
    <t>10.1007/s00021-017-0347-0</t>
  </si>
  <si>
    <t>Mathematics, Applied; Mechanics; Physics, Fluids &amp; Plasmas</t>
  </si>
  <si>
    <t>Mathematics; Mechanics; Physics</t>
  </si>
  <si>
    <t>GQ0DT</t>
  </si>
  <si>
    <t>WOS:000441287600004</t>
  </si>
  <si>
    <t>Li, B; Yuan, DL; Zhou, H</t>
  </si>
  <si>
    <t>Li Bo; Yuan Dongliang; Zhou Hui</t>
  </si>
  <si>
    <t>Water masses in the far western equatorial Pacific during the winters of 2010 and 2012</t>
  </si>
  <si>
    <t>JOURNAL OF OCEANOLOGY AND LIMNOLOGY</t>
  </si>
  <si>
    <t>far western equatorial Pacific; North Pacific Tropic Water; South Pacific Tropical Water; tropical subsurface water; La Nina</t>
  </si>
  <si>
    <t>SEA-SURFACE SALINITY; ANTARCTIC INTERMEDIATE WATER; MINDANAO CURRENT; TROPICAL PACIFIC; INTERANNUAL VARIATIONS; OCEAN CIRCULATION; THERMOCLINE WATER; PHILIPPINE SEA; BARRIER LAYER; WARM POOL</t>
  </si>
  <si>
    <t>Conductivity-temperature-depth (CTD) data obtained during the 2010 La Nina winter and the 2012 normal winter, combined with concurrent Argo profiling float data, provide a quasi-synoptic description of the water mass distributions and their variations in the far western equatorial Pacific Ocean. The water mass connection between the western Pacific and the east Indonesian seas is emphasized. Analysis indicates that the North Pacific Tropical Water (NPTW, S&gt;34.9) carried by the Mindanao Current southward and the South Pacific Tropical Water (SPTW, S&gt;35.1) from the southern hemisphere meet in the area. Observations suggest that the southward transport of the NPTW is stronger in 2010 than in 2012 due to enhanced advection of the Mindanao Current. The distribution of SPTW, which crosses the equator in the northwest direction and retroflects back to the interior Pacific Ocean, is found to retreat from 4 degrees-5 degrees N in 2012 to 2 degrees-3 degrees N in 2010 La Nina peak in the 130 degrees E section. A relatively fresh tropical subsurface water is identified in between the NPTW and the SPTW, moving eastward with the North Equatorial Countercurrent into the equatorial Pacific Ocean. However, the salinity maximum of this subsurface fresh water is found to decrease eastward, suggesting that the salinity maximum is generated either by strong diapycnal mixing or by isopycnal mixing of temporally entrained Indonesian sea water into the area.</t>
  </si>
  <si>
    <t>[Li Bo; Yuan Dongliang; Zhou Hui] Chinese Acad Sci, Inst Oceanol, Key Lab Ocean Circulat &amp; Waves, Qingdao 266071, Peoples R China; [Yuan Dongliang] Qingdao Natl Lab Marine Sci &amp; Technol, Funct Lab Ocean Dynam &amp; Climate, Qingdao 266000, Peoples R China; [Yuan Dongliang] Qingdao Collaborat Innovat Ctr Marine Sci &amp; Techn, Qingdao 266000, Peoples R China; [Li Bo] Chinese Acad Sci, South China Sea Inst Oceanol, State Key Lab Trop Oceanog, Guangzhou 510301, Guangdong, Peoples R China; [Li Bo] Univ Chinese Acad Sci, Beijing 100049, Peoples R China</t>
  </si>
  <si>
    <t>Chinese Academy of Sciences; Institute of Oceanology, CAS; Laoshan Laboratory; Chinese Academy of Sciences; South China Sea Institute of Oceanology, CAS; Chinese Academy of Sciences; University of Chinese Academy of Sciences, CAS</t>
  </si>
  <si>
    <t>Yuan, DL (corresponding author), Chinese Acad Sci, Inst Oceanol, Key Lab Ocean Circulat &amp; Waves, Qingdao 266071, Peoples R China.;Yuan, DL (corresponding author), Qingdao Natl Lab Marine Sci &amp; Technol, Funct Lab Ocean Dynam &amp; Climate, Qingdao 266000, Peoples R China.;Yuan, DL (corresponding author), Qingdao Collaborat Innovat Ctr Marine Sci &amp; Techn, Qingdao 266000, Peoples R China.</t>
  </si>
  <si>
    <t>dyuan@qdio.ac.cn</t>
  </si>
  <si>
    <t>chen, qy/JXM-3217-2024</t>
  </si>
  <si>
    <t>Chinese Academy of Sciences [XDA11010205]; National Natural Science Foundation of China [41421005, U1606402, 41720104008, 41376032]; Qingdao Marine Science National Laboratory [2016ASKJ04, 2016SAKJ12]; Shandong Provincial Project [2014GJJS0101]</t>
  </si>
  <si>
    <t>Chinese Academy of Sciences(Chinese Academy of Sciences); National Natural Science Foundation of China(National Natural Science Foundation of China (NSFC)); Qingdao Marine Science National Laboratory; Shandong Provincial Project</t>
  </si>
  <si>
    <t>Supported by the Chinese Academy of Sciences (No. XDA11010205), the National Natural Science Foundation of China (Nos. 41421005, U1606402, 41720104008, 41376032), the Qingdao Marine Science National Laboratory (Nos. 2016ASKJ04, 2016SAKJ12), and the Shandong Provincial Project (No. 2014GJJS0101)</t>
  </si>
  <si>
    <t>16 DONGHUANGCHENGGEN NORTH ST, BEIJING, 100717, PEOPLES R CHINA</t>
  </si>
  <si>
    <t>2096-5508</t>
  </si>
  <si>
    <t>J OCEANOL LIMNOL</t>
  </si>
  <si>
    <t>J. Oceanol. Limnol.</t>
  </si>
  <si>
    <t>10.1007/s00343-018-6068-2</t>
  </si>
  <si>
    <t>HA3PG</t>
  </si>
  <si>
    <t>WOS:000450165300001</t>
  </si>
  <si>
    <t>Kloster, M; Kauer, G; Esper, O; Fuchs, N; Beszteri, B</t>
  </si>
  <si>
    <t>Kloster, Michael; Kauer, Gerhard; Esper, Oliver; Fuchs, Nike; Beszteri, Bank</t>
  </si>
  <si>
    <t>Morphometry of the diatom Fragilariopsis kerguelensis from Southern Ocean sediment: High-throughput measurements show second morphotype occurring during glacials</t>
  </si>
  <si>
    <t>MARINE MICROPALEONTOLOGY</t>
  </si>
  <si>
    <t>Paleoceanography; SHERPA; Proxy; Valve area; Rectangularity; Holocene</t>
  </si>
  <si>
    <t>SEA; VARIABILITY; TEMPERATURE</t>
  </si>
  <si>
    <t>Fragilariopsis kerguelensis is one of the most abundant diatoms in the sediments of the Southern Ocean. Its morphometric features have been proposed as proxies, based on links with, for example, iron availability, sea surface temperature and glacial/interglacial conditions. We investigated morphometric changes in F. kerguelensis valves in a well-studied sediment core record, focusing on transition periods between glacials and interglacials. By applying a high-throughput diatom imaging and morphometry workflow, we found two clearly distinct morphotypes which were differentiated by their rectangularity. One of them occurred preferentially in glacial samples, whilst the other persisted throughout. This indicates that their relative abundances depend on environmental conditions and thereby points to the possibility that paleo-proxies based on F. kerguelensis valve morphometric features might in the future benefit from differentiating these two morphotypes. As an initial exploration of this idea, we show that the abundance ratio of both morphotypes correlates well with paleotemperatures which had been reconstructed using independent data from the same core. Distinguishing between the two morphotypes only became possible by image analysis for precisely measuring diatom valve outlines and area, highlighting the potential of such methods for diatom analyses.</t>
  </si>
  <si>
    <t>[Kloster, Michael; Esper, Oliver; Fuchs, Nike; Beszteri, Bank] Helmholtz Zentrum Polar &amp; Meeresforsch, Alfred Wegener Inst, Handelshafen 12, D-27570 Bremerhaven, Germany; [Kloster, Michael; Kauer, Gerhard] Hsch Emden Leer, Constantiapl 4, D-26723 Emden, Germany</t>
  </si>
  <si>
    <t>Helmholtz Association; Alfred Wegener Institute, Helmholtz Centre for Polar &amp; Marine Research</t>
  </si>
  <si>
    <t>Kloster, M (corresponding author), Helmholtz Zentrum Polar &amp; Meeresforsch, Alfred Wegener Inst, Handelshafen 12, D-27570 Bremerhaven, Germany.</t>
  </si>
  <si>
    <t>michael.kloster@awi.de; gerhard.kauer@hs-emden-leer.de; Oliver.Esper@awi.de; bank.beszteri@awi.de</t>
  </si>
  <si>
    <t>Beszteri, Bank/D-1961-2010</t>
  </si>
  <si>
    <t>Beszteri, Bank/0000-0002-6852-1588; Fuchs, Nike/0000-0003-0122-7322; Kloster, Michael/0000-0001-9244-4925</t>
  </si>
  <si>
    <t>Deutsche Forschungsgemeinschaft (DFG) of the priority programme Antarctic Research with comparative investigations in Arctic ice areas [BE4316/4-1, KA1655/3-1, 1158]</t>
  </si>
  <si>
    <t>Deutsche Forschungsgemeinschaft (DFG) of the priority programme Antarctic Research with comparative investigations in Arctic ice areas(German Research Foundation (DFG))</t>
  </si>
  <si>
    <t>This work was supported by the Deutsche Forschungsgemeinschaft (DFG) in the framework of the priority programme 1158 Antarctic Research with comparative investigations in Arctic ice areas (grant numbers BE4316/4-1, KA1655/3-1).</t>
  </si>
  <si>
    <t>0377-8398</t>
  </si>
  <si>
    <t>1872-6186</t>
  </si>
  <si>
    <t>MAR MICROPALEONTOL</t>
  </si>
  <si>
    <t>Mar. Micropaleontol.</t>
  </si>
  <si>
    <t>10.1016/j.marmicro.2018.07.002</t>
  </si>
  <si>
    <t>GV5MW</t>
  </si>
  <si>
    <t>WOS:000446147300006</t>
  </si>
  <si>
    <t>Efimenko, TA; Efremenkova, OV; Demkina, EV; Petrova, MA; Sumarukova, IG; Vasilyeva, BF; El'-Registan, GI</t>
  </si>
  <si>
    <t>Efimenko, T. A.; Efremenkova, O. V.; Demkina, E. V.; Petrova, M. A.; Sumarukova, I. G.; Vasilyeva, B. F.; El'-Registan, G. I.</t>
  </si>
  <si>
    <t>Bacteria Isolated from Antarctic Permafrost are Efficient Antibiotic Producers</t>
  </si>
  <si>
    <t>MICROBIOLOGY</t>
  </si>
  <si>
    <t>antibiotic resistance; antibiotic-producing bacteria; bacteria of Antarctic permafrost</t>
  </si>
  <si>
    <t>BACILLUS-LICHENIFORMIS; RESISTANCE; GORDONIA; ACTINOBACTERIA; INFECTIONS; STRAINS; SYSTEM</t>
  </si>
  <si>
    <t>Nontraditional sources were shown to be promising for obtaining bacterial isolates characterized by efficient production of antibiotics, including those affecting the strains with multidrug resistance. From Antarctic permafrost, 32 bacterial strains were isolated, and their ability to synthesize antimicrobal compounds efficient against 12 test strains, including the ones with multidrug resistance, was studied in submerged cultures. Out of 13 strains producing antibiotic compounds with different spectra of action, seven were chosen for further study. Their species identification was carried out by microbiological techniques and by analysis of their 16S rRNA gene sequences. Six strains of spore-forming bacteria were identified as Bacillus species (B. licheniformis, B. mojavensis, B. safensis, and B. subtilis), while one strain was identified as Gordonia terrae. Antimicrobial activity of two B. mojavensis strains (INA 01149 and INA 01151), two B. safensis strains (INA 01153 and INA 01154), and B. licheniformisstrain INA 01155 against the antibiotic-resistant tester strain Leuconostoc mesenteroides VKPM B-4177 (VR) was revealed. Antibiotic activity of two B. safensis strains (INA 01153 and INA 01154) against tester bacteria, including Pseudomonas aeruginosa ATCC 27853 and Staphylococcus aureus INA 00761 with multidrug resistance has not been reported previously. Antibiotic producers isolated from Antarctic permafrost samples are of interest to medicine due to the global issue of increasing antibiotic resistance of pathogenic bacteria.</t>
  </si>
  <si>
    <t>[Efimenko, T. A.; Efremenkova, O. V.; Sumarukova, I. G.; Vasilyeva, B. F.] Gause Inst New Antibiot, Moscow, Russia; [Demkina, E. V.; El'-Registan, G. I.] Russian Acad Sci, Res Ctr Biotechnol, Moscow, Russia; [Petrova, M. A.] Russian Acad Sci, Inst Mol Genet, Moscow, Russia</t>
  </si>
  <si>
    <t>Russian Academy of Sciences; Gause Institute of New Antibiotics; Russian Academy of Sciences; Research Center of Biotechnology RAS; Russian Academy of Sciences</t>
  </si>
  <si>
    <t>Efimenko, TA (corresponding author), Gause Inst New Antibiot, Moscow, Russia.</t>
  </si>
  <si>
    <t>efimen@inbox.ru</t>
  </si>
  <si>
    <t>Efimenko, Tatiana/A-5085-2019; Petrova, Mayya A/J-5386-2018; Efremenkova, Olga/AAB-3284-2022</t>
  </si>
  <si>
    <t>Efremenkova, Olga/0000-0003-3131-1031; Efimenko, Tatiana/0000-0001-9632-6854</t>
  </si>
  <si>
    <t>Russian Foundation for Basic Research [17-00-00393\17]</t>
  </si>
  <si>
    <t>Russian Foundation for Basic Research(Russian Foundation for Basic Research (RFBR)Spanish Government)</t>
  </si>
  <si>
    <t>This work was financially supported in part by the Russian Foundation for Basic Research, project no. 17-00-00393\17 of November 16, 2017.</t>
  </si>
  <si>
    <t>MAIK NAUKA/INTERPERIODICA/SPRINGER</t>
  </si>
  <si>
    <t>233 SPRING ST, NEW YORK, NY 10013-1578 USA</t>
  </si>
  <si>
    <t>0026-2617</t>
  </si>
  <si>
    <t>1608-3237</t>
  </si>
  <si>
    <t>MICROBIOLOGY+</t>
  </si>
  <si>
    <t>10.1134/S0026261718050089</t>
  </si>
  <si>
    <t>GV7TT</t>
  </si>
  <si>
    <t>WOS:000446336300010</t>
  </si>
  <si>
    <t>Barlow, NLM; McClymont, EL; Whitehouse, PL; Stokes, CR; Jamieson, SSR; Woodroffe, SA; Bentley, MJ; Callard, SL; O'Cofaigh, C; Evans, DJA; Horrocks, JR; Lloyd, JM; Long, AJ; Margold, M; Roberts, DH; Sanchez-Montes, ML</t>
  </si>
  <si>
    <t>Barlow, Natasha L. M.; McClymont, Erin L.; Whitehouse, Pippa L.; Stokes, Chris R.; Jamieson, Stewart S. R.; Woodroffe, Sarah A.; Bentley, Michael J.; Callard, S. Louise; O'Cofaigh, Colm; Evans, David J. A.; Horrocks, Jennifer R.; Lloyd, Jerry M.; Long, Antony J.; Margold, Martin; Roberts, David H.; Sanchez-Montes, Maria L.</t>
  </si>
  <si>
    <t>Lack of evidence for a substantial sea-level fluctuation within the Last Interglacial</t>
  </si>
  <si>
    <t>ANTARCTIC ICE-SHEET; CONTINENTAL-MARGIN SEDIMENTS; SURFACE MASS-BALANCE; PROBABILISTIC ASSESSMENT; GRANITIC SEYCHELLES; SOUTHERN GREENLAND; GLACIAL HISTORY; CORAL-REEFS; NO EVIDENCE; CLIMATE</t>
  </si>
  <si>
    <t>During the Last Interglacial, global mean sea level reached approximately 6 to 9 m above the present level. This period of high sea level may have been punctuated by a fall of more than 4 m, but a cause for such a widespread sea-level fall has been elusive. Reconstructions of global mean sea level account for solid Earth processes and so the rapid growth and decay of ice sheets is the most obvious explanation for the sea-level fluctuation. Here, we synthesize published geomorphological and stratigraphic indicators from the Last Interglacial, and find no evidence for ice-sheet regrowth within the warm interglacial climate. We also identify uncertainties in the interpretation of local relative sea-level data that underpin the reconstructions of global mean sea level. Given this uncertainty, and taking into account our inability to identify any plausible processes that would cause global sea level to fall by 4 m during warm climate conditions, we question the occurrence of a rapid sea-level fluctuation within the Last Interglacial. We therefore recommend caution in interpreting the high rates of global mean sea-level rise in excess of 3 to 7 m per 1,000 years that have been proposed for the period following the Last Interglacial sea-level lowstand.</t>
  </si>
  <si>
    <t>[Barlow, Natasha L. M.] Univ Leeds, Sch Earth &amp; Environm, Leeds, W Yorkshire, England; [McClymont, Erin L.; Whitehouse, Pippa L.; Stokes, Chris R.; Jamieson, Stewart S. R.; Woodroffe, Sarah A.; Bentley, Michael J.; Callard, S. Louise; O'Cofaigh, Colm; Evans, David J. A.; Horrocks, Jennifer R.; Lloyd, Jerry M.; Long, Antony J.; Roberts, David H.; Sanchez-Montes, Maria L.] Univ Durham, Dept Geog, Durham, England; [Margold, Martin] Stockholm Univ, Dept Phys Geog, Stockholm, Sweden</t>
  </si>
  <si>
    <t>University of Leeds; Durham University; Stockholm University</t>
  </si>
  <si>
    <t>Barlow, NLM (corresponding author), Univ Leeds, Sch Earth &amp; Environm, Leeds, W Yorkshire, England.</t>
  </si>
  <si>
    <t>n.l.m.barlow@leeds.ac.uk</t>
  </si>
  <si>
    <t>Jamieson, Stewart S.R./B-8330-2013; Woodroffe, Sarah/AAA-7001-2019; McClymont, Erin/AAX-3567-2020; McClymont, Erin/AAX-3657-2020; Bentley, Michael J/F-7386-2011; IPO, PAGES/JXY-7546-2024; McClymont, Erin L/K-2153-2012; Stokes, Chris R/A-1957-2011; Barlow, Natasha/JDC-9080-2023; Barlow, Natasha/AAF-2624-2021; Margold, Martin/V-4634-2018</t>
  </si>
  <si>
    <t>Jamieson, Stewart S.R./0000-0002-9036-2317; McClymont, Erin/0000-0003-1562-8768; McClymont, Erin/0000-0003-1562-8768; Bentley, Michael J/0000-0002-2048-0019; McClymont, Erin L/0000-0003-1562-8768; Barlow, Natasha/0000-0002-2713-2543; Barlow, Natasha/0000-0002-2713-2543; Long, Antony/0000-0002-7605-1205; Margold, Martin/0000-0001-5834-850X; Whitehouse, Pippa/0000-0002-9092-3444; Woodroffe, Sarah/0000-0002-4003-3435</t>
  </si>
  <si>
    <t>UK Natural Environment Research Council (NERC) [NE/I008675/1]; Philip Leverhulme Prize; NERC [NE/K009958/1, NE/J018333/1]; Department of Geography at Durham University; Division Of Earth Sciences; Directorate For Geosciences [1440015] Funding Source: National Science Foundation; NERC [NE/I008675/1] Funding Source: UKRI</t>
  </si>
  <si>
    <t>UK Natural Environment Research Council (NERC)(UK Research &amp; Innovation (UKRI)Natural Environment Research Council (NERC)); Philip Leverhulme Prize(Leverhulme Trust); NERC(UK Research &amp; Innovation (UKRI)Natural Environment Research Council (NERC)); Department of Geography at Durham University; Division Of Earth Sciences; Directorate For Geosciences(National Science Foundation (NSF)NSF - Directorate for Geosciences (GEO)); NERC(UK Research &amp; Innovation (UKRI)Natural Environment Research Council (NERC))</t>
  </si>
  <si>
    <t>N.L.M.B. and A.J.L. acknowledge funding from a UK Natural Environment Research Council (NERC) grant (NE/I008675/1). E.L.M. acknowledges funding support from a Philip Leverhulme Prize (2013). P.L.W. and S.S.R.J. acknowledge NERC Independent Research Fellowships (NE/K009958/1, NE/J018333/1). This paper has been the result of a several workshops funded by the Department of Geography at Durham University. The paper is a contribution to PALSEA (an INQUA International Focus Group and a PAGES working group), the INQUA Commission on Coastal and Marine Processes, the Sea Level and Coastal Change (SLaCC) working group and the Scientific Committee on Antarctic Research SERCE and PAIS programs.</t>
  </si>
  <si>
    <t>10.1038/s41561-018-0195-4</t>
  </si>
  <si>
    <t>GS1PR</t>
  </si>
  <si>
    <t>WOS:000443302900007</t>
  </si>
  <si>
    <t>Johnson, RS</t>
  </si>
  <si>
    <t>Johnson, Robin Stanley</t>
  </si>
  <si>
    <t>The Value of Asymptotic Theories in Physical Oceanography</t>
  </si>
  <si>
    <t>OCEANOGRAPHY</t>
  </si>
  <si>
    <t>WATER-WAVES; SURFACE; WIND; DYNAMICS; CURRENTS; STEADY</t>
  </si>
  <si>
    <t>Physical oceanography is an exciting, fruitful and important field of study, particularly relevant to the current discourse on, and the effects of, climate change. However, the tried and tested techniques of (and wealth of knowledge available from) classical fluid mechanics seem to have been sidelined, in favor of an emphasis on modeling and numerical methods. In this article, we make the case for returning to fundamental ideas, explaining the essentials of this approach in the context of the Euler (or Navier-Stokes) equation written in a rotating, spherical coordinate system. We support our contention that this is the way forward by presenting (descriptively only) a number of examples that show what can be done, and suggesting that much more is possible. Indeed, we argue that this is the route to be taken before recourse to other, more ad hoc, methods. We will use this approach to provide new insight (and new results) related to the Pacific Equatorial Undercurrent, the Antarctic Circumpolar Current (including the role of exact solutions), and large gyres.</t>
  </si>
  <si>
    <t>[Johnson, Robin Stanley] Newcastle Univ, Appl Math, Newcastle Upon Tyne, Tyne &amp; Wear, England</t>
  </si>
  <si>
    <t>Newcastle University - UK</t>
  </si>
  <si>
    <t>Johnson, RS (corresponding author), Newcastle Univ, Appl Math, Newcastle Upon Tyne, Tyne &amp; Wear, England.</t>
  </si>
  <si>
    <t>r.s.johnson@newcastle.ac.uk</t>
  </si>
  <si>
    <t>OCEANOGRAPHY SOC</t>
  </si>
  <si>
    <t>ROCKVILLE</t>
  </si>
  <si>
    <t>P.O. BOX 1931, ROCKVILLE, MD USA</t>
  </si>
  <si>
    <t>1042-8275</t>
  </si>
  <si>
    <t>10.5670/oceanog.2018.304</t>
  </si>
  <si>
    <t>HD8RC</t>
  </si>
  <si>
    <t>WOS:000452825400004</t>
  </si>
  <si>
    <t>Haziot, SV; Marynets, K</t>
  </si>
  <si>
    <t>Haziot, Susanna, V; Marynets, Kateryna</t>
  </si>
  <si>
    <t>APPLYING THE STEREOGRAPHIC PROJECTION TO MODELING OF THE FLOW OF THE ANTARCTIC CIRCUMPOLAR CURRENT</t>
  </si>
  <si>
    <t>BETA-PLANE APPROXIMATION; WATER-WAVES; STEADY; OCEAN; DYNAMICS; DEPTH; JETS</t>
  </si>
  <si>
    <t>We discuss the use of stereographic projection for studying recent models of the flow of the Antarctic Circumpolar Current.</t>
  </si>
  <si>
    <t>[Haziot, Susanna, V; Marynets, Kateryna] Univ Vienna, Fac Math, Vienna, Austria</t>
  </si>
  <si>
    <t>University of Vienna</t>
  </si>
  <si>
    <t>Haziot, SV (corresponding author), Univ Vienna, Fac Math, Vienna, Austria.</t>
  </si>
  <si>
    <t>susanna.haziot@univie.ac.at; kateryna.marynets@univie.ac.at</t>
  </si>
  <si>
    <t>Marynets, Kateryna/0000-0002-0043-6336; Haziot, Susanna/0000-0001-5156-8809</t>
  </si>
  <si>
    <t>WWTF [MA16-009]</t>
  </si>
  <si>
    <t>WWTF</t>
  </si>
  <si>
    <t>Kateryna Marynets gratefully acknowledges the support of WWTF research grant MA16-009. The authors would also like to thank the reviewers for their helpful suggestions and Pierre Leroy-Calatayud for his valuable help with the LaTex file. We want to thank W.D. Smyth for his valuable suggestions.</t>
  </si>
  <si>
    <t>10.5670/oceanog.2018.311</t>
  </si>
  <si>
    <t>WOS:000452825400011</t>
  </si>
  <si>
    <t>Booth, JM; Steinfurth, A; Fusi, M; Cuthbert, RJ; McQuaid, CD</t>
  </si>
  <si>
    <t>Booth, Jenny M.; Steinfurth, Antje; Fusi, Marco; Cuthbert, Richard J.; McQuaid, Christopher D.</t>
  </si>
  <si>
    <t>Foraging plasticity of breeding Northern Rockhopper Penguins, Eudyptes moseleyi, in response to changing energy requirements</t>
  </si>
  <si>
    <t>Northern rockhopper penguin; Eudyptes moseleyi; Tristan da Cunha; Dietary shift; Generalist; Foraging plasticity</t>
  </si>
  <si>
    <t>MAGELLANIC PENGUINS; PROVISIONING BEHAVIOR; SPHENISCUS-DEMERSUS; CHRYSOCOME-CHRYSOCOME; CHINSTRAP PENGUINS; TEMPORAL VARIATION; CHICK GROWTH; STRATEGIES; ISLAND; DIET</t>
  </si>
  <si>
    <t>During the breeding season, seabirds must balance the changing demands of self- and off-spring provisioning with the constraints imposed by central-place foraging. Recently, it was shown that Northern Rockhopper Penguins at Tristan da Cunha in the South Atlantic Ocean switch diet from lower to higher trophic level prey throughout their breeding cycle. Here, we investigated if this switch is reflected in their foraging behaviour, using time-depth recorders to study the diving behaviour of 27 guard and 10 creche birds during the breeding season 2010 at Tristan da Cunha and obtaining complementary stomach contents of 20 birds. While no significant effects of breeding stage were detected on any foraging trip or dive parameters, stage/prey had a significant effect on feeding dive parameters, with dive duration, bottom time, and maximum depth explaining the majority of the dissimilarity amongst categories. We verified the previously shown dietary shift from zooplankton and cephalopods during the guard stage to a higher-energy fish-based diet during the creche stage, which was reflected in a change in dive behaviour from shorter, shallower to longer, deeper dives. This prey switching behaviour may reflect preferential selection to account for the increased physiological needs of chicks or simply mirror changes in local prey abundance. Nonetheless, we show that Northern Rockhopper Penguins demonstrate behavioural plasticity as a response to their changing energy requirements, which is a critical trait when living in a spatio-temporally heterogeneous environment. This ability is likely to be particularly important under extrinsic constraints such as long-term environmental change.</t>
  </si>
  <si>
    <t>[Booth, Jenny M.; McQuaid, Christopher D.] Rhodes Univ, Dept Zool &amp; Entomol, Coastal Res Grp, POB 94, ZA-6140 Grahamstown, South Africa; [Steinfurth, Antje] Univ Cape Town, Percy Fitzpatrick Inst African Ornithol, ZA-7700 Rondebosch, South Africa; [Steinfurth, Antje; Cuthbert, Richard J.] RSPB Ctr Conservat Sci, David Attenborough Bldg,Pembroke St, Cambridge, Cambs, England; [Booth, Jenny M.; Fusi, Marco] King Abdullah Univ Sci &amp; Technol, Red Sea Res Ctr, Thuwal 239556900, Saudi Arabia; [Cuthbert, Richard J.] Conservat Solut, 9 Prospect Dr, Belper DE5 61UY, Derby, England</t>
  </si>
  <si>
    <t>Rhodes University; University of Cape Town; Royal Society for Protection of Birds; King Abdullah University of Science &amp; Technology</t>
  </si>
  <si>
    <t>Booth, JM (corresponding author), Rhodes Univ, Dept Zool &amp; Entomol, Coastal Res Grp, POB 94, ZA-6140 Grahamstown, South Africa.;Booth, JM (corresponding author), King Abdullah Univ Sci &amp; Technol, Red Sea Res Ctr, Thuwal 239556900, Saudi Arabia.</t>
  </si>
  <si>
    <t>jen.marie.booth@gmail.com</t>
  </si>
  <si>
    <t>McQuaid, Christopher/AAT-3725-2020</t>
  </si>
  <si>
    <t>McQuaid, Christopher/0000-0002-3473-8308</t>
  </si>
  <si>
    <t>Flagship Species Fund of the Department of Environment, Food and Rural Affairs (DEFRA); Fauna &amp; Flora International; DEFRA; Royal Society for the Protection of Birds (RSPB); South African Research Chairs Initiative of the Department of Science and Technology; National Research Foundation; SARCHI [64801]; [FSF-Defra-10-48]</t>
  </si>
  <si>
    <t>Flagship Species Fund of the Department of Environment, Food and Rural Affairs (DEFRA); Fauna &amp; Flora International; DEFRA(Department for Environment, Food &amp; Rural Affairs (DEFRA)); Royal Society for the Protection of Birds (RSPB); South African Research Chairs Initiative of the Department of Science and Technology; National Research Foundation; SARCHI;</t>
  </si>
  <si>
    <t>This work was carried out under the auspices of the Flagship Species Fund of the Department of Environment, Food and Rural Affairs (DEFRA) and Fauna &amp; Flora International with funding from DEFRA, the Royal Society for the Protection of Birds (RSPB) and other donors under Project FSF-Defra-10-48. The Department of Environmental Affairs through the South African National Antarctic Programme and the Tristan da Cunha conservation department provided logistical support. Thanks to T. Glass, J. Repetto, G. Swain, C. Repetto, M. Green and K. Green of the Tristan Conservation Department for their support in the field. M. Connan and anonymous reviewers provided helpful comments on an earlier version of this manuscript. This work is based upon research supported by the South African Research Chairs Initiative of the Department of Science and Technology and the National Research Foundation. Funding was provided by SARCHI (Grant Number 64801).</t>
  </si>
  <si>
    <t>10.1007/s00300-018-2321-6</t>
  </si>
  <si>
    <t>GX3DE</t>
  </si>
  <si>
    <t>WOS:000447600600014</t>
  </si>
  <si>
    <t>Zheng, LH; Zhu, XJ; Yang, KL; Zhu, MH; Farooqi, AA; Kang, DL; Sun, M; Xu, YX; Lin, XK; Feng, YG; Liang, FF; Zhang, FM; Linhardt, RJ</t>
  </si>
  <si>
    <t>Zheng, Lanhong; Zhu, Xiangjie; Yang, Kangli; Zhu, Meihong; Farooqi, Ammad Ahmad; Kang, Daole; Sun, Mi; Xu, Yixin; Lin, Xiukun; Feng, Yingang; Liang, Fangfang; Zhang, Fuming; Linhardt, Robert J.</t>
  </si>
  <si>
    <t>PBN11-8, a Cytotoxic Polypeptide Purified from Marine Bacillus, Suppresses Invasion and Migration of Human Hepatocellular Carcinoma Cells by Targeting Focal Adhesion Kinase Pathways</t>
  </si>
  <si>
    <t>POLYMERS</t>
  </si>
  <si>
    <t>polypeptide; cytotoxicity; FAK; invasion</t>
  </si>
  <si>
    <t>ANTITUMOR-ACTIVITY; CANCER-CELLS; PURIFICATION; PROTEIN; FAK; MICROORGANISMS; INTERMEDIUS; THERAPY; POTENT</t>
  </si>
  <si>
    <t>The development of antitumor drugs has attracted cancer researchers and the identification of novel antitumor lead compounds is certainly of great interest. The fermentation broth of Bacillus sp. N11-8, which was isolated from the Antarctic waters, showed cytotoxicity towards different cells. A cytotoxic polypeptide, PBN11-8, was purified from the fermentation broth of Bacillus sp. N11-8 using ultrafiltration, ammonium sulfate precipitation, anion exchange liquid chromatography and high performance liquid chromatography (HPLC). Cloning and sequence analysis showed that PBN11-8 polypeptide (MW: similar to 19 kDa by the electrospray-ionization (ESI)) displayed high similarity with peptidase M84 from Bacillus pumilus. PBN11-8 possessed moderate cytotoxicity towards several cancer cell lines with IC 50 values of 1.56, 1.80, 1.57, and 1.73 p.g/mL against human hepatocellular carcinoma cell line BEL-7402, human renal clear cell adenocarcinoma cell line 786-0, human hepatocellular carcinoma cell line HepG2, and human pancreatic cancer cell line Panc-28, respectively. Moreover, the polypeptide displayed weak cytotoxicity towards normal cell line renal tubular epithelial cell line HK2 and human normal liver cell line L02 cells. Wound healing migration and Transwell experiments demonstrate that PBN11-8 could inhibit the migration and invasion of BEL-7402. Further investigation revealed that PBN11-8 suppresses focal adhesion kinase (FAK)-mediated adhesion, migration, and invasion by disturbing FAK/extracellular regulated protein kinases (ERK) signaling and matrix metalloproteinase-2(MMP-2) and matrix metalloproteinase-9 (MMP-9) in BEL-7402 cells. Thus, PBN11-8 represents a potential novel anti-cancer lead compound.</t>
  </si>
  <si>
    <t>[Zheng, Lanhong; Xu, Yixin] Shanghai Univ Med &amp; Hlth Sci, Sch Pharm, Shanghai 201318, Peoples R China; [Zheng, Lanhong; Zhu, Xiangjie; Yang, Kangli; Zhu, Meihong; Kang, Daole; Sun, Mi; Liang, Fangfang] Chinese Acad Fishery Sci, Yellow Sea Fisheries Res Inst, Minist Agr, Key Lab Sustainable Dev Polar Fishery, Qingdao 266071, Peoples R China; [Zhu, Xiangjie] Shanghai Ocean Univ, Shanghai 201306, Peoples R China; [Farooqi, Ammad Ahmad] IBGE, Islamabad 44000, Pakistan; [Lin, Xiukun] Southwest Med Univ, Dept Pharmacol, Luzhou 646000, Sichuan, Peoples R China; [Feng, Yingang] Chinese Acad Sci, Inst Bioenergy &amp; Bioproc Technol, Shandong Prov Key Lab Energy Genet, 189 Songling Rd, Qingdao 266101, Peoples R China; [Feng, Yingang] Chinese Acad Sci, Inst Bioenergy &amp; Bioproc Technol, Qingdao Engn Lab Single Cell Oil, 189 Songling Rd, Qingdao 266101, Peoples R China; [Zhang, Fuming; Linhardt, Robert J.] Rensselaer Polytech Inst, Ctr Biotechnol &amp; Interdisciplinary Studies, Dept Chem &amp; Chem Biol, Troy, NY 12180 USA; [Zhang, Fuming; Linhardt, Robert J.] Rensselaer Polytech Inst, Ctr Biotechnol &amp; Interdisciplinary Studies, Dept Chem &amp; Biol Engn, Troy, NY 12180 USA; [Zhang, Fuming; Linhardt, Robert J.] Rensselaer Polytech Inst, Ctr Biotechnol &amp; Interdisciplinary Studies, Dept Biol, Troy, NY 12180 USA; [Zhang, Fuming; Linhardt, Robert J.] Rensselaer Polytech Inst, Ctr Biotechnol &amp; Interdisciplinary Studies, Dept Biomed Engn, Troy, NY 12180 USA</t>
  </si>
  <si>
    <t>Shanghai University of Medicine &amp; Health Sciences; Ministry of Agriculture &amp; Rural Affairs; Chinese Academy of Fishery Sciences; Yellow Sea Fisheries Research Institute, CAFS; Shanghai Ocean University; Southwest Medical University; Chinese Academy of Sciences; Qingdao Institute of Bioenergy &amp; Bioprocess Technology, CAS; Chinese Academy of Sciences; Qingdao Institute of Bioenergy &amp; Bioprocess Technology, CAS; Rensselaer Polytechnic Institute; Rensselaer Polytechnic Institute; Rensselaer Polytechnic Institute; Rensselaer Polytechnic Institute</t>
  </si>
  <si>
    <t>Lin, XK (corresponding author), Southwest Med Univ, Dept Pharmacol, Luzhou 646000, Sichuan, Peoples R China.</t>
  </si>
  <si>
    <t>zhenglanhong@126.com; zhuxiangjie1204@163.com; hnysykl@163.com; zhumhlv@163.com; ammadfarooqi@rlmclahore.com; kdlqust@126.com; sunmi@ysfri.ac.cn; xuyx@sumhs.edu.cn; xiukunlin@126.com; fengyg@qibebt.ac.cn; liangfangfang12@163.com; zhangf2@rpi.edu; linhar@rpi.edu</t>
  </si>
  <si>
    <t>Farooqi, Ammad A/H-1610-2016; Feng, Yingang/B-6304-2008; Farooqi, Ammad Ahmad/AAF-5325-2021</t>
  </si>
  <si>
    <t>Feng, Yingang/0000-0002-0879-1316; Farooqi, Ammad/0000-0003-2899-5014; Lin, Xiukun/0000-0002-0306-4953</t>
  </si>
  <si>
    <t>Special Scientific Research Funds for Central Non-profit Institutes, Chinese Academy of Fishery Sciences [2014B01YQ01]; Natural Science Foundation of China [81773776, 81573457, 81774191, 41306157]; Science and Technology Development Plans of Shandong Province [2014GSF121016]; State Scholarship Fund of China Scholarship Council (CSC) [201603260016]</t>
  </si>
  <si>
    <t>Special Scientific Research Funds for Central Non-profit Institutes, Chinese Academy of Fishery Sciences; Natural Science Foundation of China(National Natural Science Foundation of China (NSFC)); Science and Technology Development Plans of Shandong Province; State Scholarship Fund of China Scholarship Council (CSC)(China Scholarship Council)</t>
  </si>
  <si>
    <t>This work was supported by the Special Scientific Research Funds for Central Non-profit Institutes, Chinese Academy of Fishery Sciences (2014B01YQ01), the Natural Science Foundation of China (No: 81773776, 81573457, 81774191 and 41306157), the Science and Technology Development Plans of Shandong Province (2014GSF121016) and the State Scholarship Fund of China Scholarship Council (CSC) (201603260016), We thank Jia Liu (Qingdao University, Qingdao, China) for excellent technical assistance and data analysis. The authors are also grateful to all members of the laboratory for their continuous technical advice and helpful discussion.</t>
  </si>
  <si>
    <t>2073-4360</t>
  </si>
  <si>
    <t>POLYMERS-BASEL</t>
  </si>
  <si>
    <t>Polymers</t>
  </si>
  <si>
    <t>10.3390/polym10091043</t>
  </si>
  <si>
    <t>HA1OY</t>
  </si>
  <si>
    <t>WOS:000449988800112</t>
  </si>
  <si>
    <t>Del Carlo, P; Di Roberto, A; D'Orazio, M; Petrelli, M; Angioletti, A; Zanchetta, G; Maggi, V; Daga, R; Nazzari, M; Rocchi, S</t>
  </si>
  <si>
    <t>Del Carlo, Paola; Di Roberto, Alessio; D'Orazio, Massimo; Petrelli, Maurizio; Angioletti, Andrea; Zanchetta, Giovanni; Maggi, Valter; Daga, Romina; Nazzari, Manuela; Rocchi, Sergio</t>
  </si>
  <si>
    <t>Late Glacial-Holocene tephra from southern Patagonia and Tierra del Fuego (Argentina, Chile): A complete textural and geochemical fingerprinting for distal correlations in the Southern Hemisphere</t>
  </si>
  <si>
    <t>Tephra; South America; Patagonia and Tierra del Fuego; Explosive volcanism; Holocene; Hudson volcano; Mt Burney volcano; Reclus volcano; Antarctica</t>
  </si>
  <si>
    <t>LAGUNA POTROK-AIKE; DOME ICE CORE; NORTHERN VICTORIA LAND; AUSTRAL VOLCANIC ZONE; HUDSON VOLCANO; WEST ANTARCTICA; TRACE-ELEMENT; SIPLE DOME; EXPLOSIVE VOLCANISM; LACUSTRINE RECORD</t>
  </si>
  <si>
    <t>Explosive volcanoes from the southern Andes are able to disperse ash over wide areas of the Southern Hemisphere, potentially as far as Antarctica. With the aim of improving correlations between sources and tephra in southernmost South America and, possibly, Antarctica, this work presents new field, textural and geochemical data on tephra layers from southern Patagonia and Tierra del Fuego (Argentina and Chile). Major- and trace-element data, obtained on single glass shards allowed to identify tephra sources in Late Glacial-Holocene eruptions from Hudson, Reclus and Mt Burney volcanoes, located in the Southern and Austral Volcanic Zone of the Andean Cordillera. Twelve new radiocarbon age determinations of charcoals, peats and soils have further constrained the correlations between the studied tephra layers and known eruptions from Hudson, Mt Burney and Reclus volcanoes. Therefore, this study contributes to expand the geochemical dataset on volcanic glasses valuable for tephra correlations in South America, and improves the current tephrostratigraphic framework of this region. Furthermore, we revised literature data by compiling a database including Neogene-Quaternary volcanic tephra found in Antarctic ice cores, marine sediments, blue ice and continental outcrops as well as tephra produced by volcanic sources located in Antarctica and circum-Antarctic areas. This revision shows that Antarctic tephra can be correlated with confidence to Antarctic and circum-Antarctic (South Shetlands and South Sandwich Islands) volcanic sources, whereas correlations with South American sources are arguable, and a complete geochemical fingerprinting is needed for validation. (C) 2018 Elsevier Ltd. All rights reserved.</t>
  </si>
  <si>
    <t>[Del Carlo, Paola; Di Roberto, Alessio; Zanchetta, Giovanni] Ist Nazl Geofis &amp; Vulcanol, Sez Pisa, Via Faggiola 32, I-56126 Pisa, Italy; [D'Orazio, Massimo; Angioletti, Andrea; Zanchetta, Giovanni; Rocchi, Sergio] Univ Pisa, Dipartimento Sci Terra, Via Santa Maria 53, I-56126 Pisa, Italy; [Petrelli, Maurizio] Univ Perugia, Dipartimento Fis &amp; Geol, Via A Pascoli, I-06123 Perugia, Italy; [Maggi, Valter] Univ Milan, Dipartimento Sci Ambiente &amp; Terr, Bicocca Piazza Sci 1, I-2016 Milan, Italy; [Daga, Romina] Ctr Atom Bariloche, Lab Anal Activac Neutron, RA-8400 San Carlos De Bariloche, Rio Negro, Argentina; [Daga, Romina] CONICET Patagonia Norte, Ctr Cient Tecnol, Av Pioneros 2350, RA-8400 San Carlos De Bariloche, Rio Negro, Argentina; [Nazzari, Manuela] Ist Nazl Geofis &amp; Vulcanol, Sez Roma1, Via Vigna Murata 605, I-00143 Rome, Italy; [Nazzari, Manuela] Sapienza Univ Roma, Dipartimento Sci Terra, Piazzale Aldo Moro 5, Rome, Italy</t>
  </si>
  <si>
    <t>Istituto Nazionale Geofisica e Vulcanologia (INGV); University of Pisa; University of Perugia; University of Milan; Comision Nacional de Energia Atomica (CNEA); Centro Atomico Bariloche; Istituto Nazionale Geofisica e Vulcanologia (INGV); Sapienza University Rome</t>
  </si>
  <si>
    <t>Del Carlo, P (corresponding author), Ist Nazl Geofis &amp; Vulcanol, Sez Pisa, Via Faggiola 32, I-56126 Pisa, Italy.</t>
  </si>
  <si>
    <t>paola.delcarlo@ingv.it</t>
  </si>
  <si>
    <t>Petrelli, Maurizio/L-6858-2015; Del Carlo, Paola/AAH-1725-2019; Maggi, Valter/AAX-5728-2020; Di Roberto, Alessio/AAH-1595-2019; Rocchi, Sergio/A-7752-2018; Nazzari, Manuela/H-6822-2012</t>
  </si>
  <si>
    <t>Petrelli, Maurizio/0000-0001-6956-4742; Maggi, Valter/0000-0001-6287-1213; Di Roberto, Alessio/0000-0003-1167-8290; Rocchi, Sergio/0000-0001-6868-1939; D'Orazio, Massimo/0000-0003-1366-3260; Del Carlo, Paola/0000-0001-5506-4579; Nazzari, Manuela/0000-0001-5926-5773</t>
  </si>
  <si>
    <t>SCAR Expert Group, AntVolc; Department of Physics and Geology, University of Perugia; [PNRA 2013/B2.10]</t>
  </si>
  <si>
    <t>SCAR Expert Group, AntVolc; Department of Physics and Geology, University of Perugia;</t>
  </si>
  <si>
    <t>This research was funded by PNRA 2013/B2.10 project, PI S. Rocchi. This paper is sponsored by the SCAR Expert Group, AntVolc. E. Braschi and A. Orlando are kindly acknowledged for their assistance with the microprobe analyses at CNR-IGG laboratory in Florence. We also acknowledge the Department of Physics and Geology, University of Perugia for the 'CHALLENGE' FRB 2015 grant (PI M. Petrelli). We are grateful to A. Geyer and an anonymous reviewer for their thorough revision and constructive comments which led to significant improvement of the manuscript.</t>
  </si>
  <si>
    <t>10.1016/j.quascirev.2018.07.028</t>
  </si>
  <si>
    <t>GR1ST</t>
  </si>
  <si>
    <t>WOS:000442332700009</t>
  </si>
  <si>
    <t>Morozov, EG; Tarakanov, RY; Frey, DI; Borisov, DG</t>
  </si>
  <si>
    <t>Morozov, E. G.; Tarakanov, R. Yu; Frey, D., I; Borisov, D. G.</t>
  </si>
  <si>
    <t>Currents and water structure north of the Vema Channel</t>
  </si>
  <si>
    <t>RUSSIAN JOURNAL OF EARTH SCIENCES</t>
  </si>
  <si>
    <t>Abyssal currents; Vema Channel; sediments; CTD casts; LADCP profiling</t>
  </si>
  <si>
    <t>ANTARCTIC BOTTOM WATER; SOUTH ATLANTIC; BRAZIL BASIN; OCEAN; FLOW; STRATIGRAPHY; CIRCULATION; HISTORY</t>
  </si>
  <si>
    <t>We consider measurements of currents north of the Vema Channel with the goal to find continuations of the bottom water flow after Antarctic Bottom Water leaves the Vema Channel and discharges to the Brazil Basin. We found two smaller channels of the continuation of this flow, one of which is directed to the east and the other to the north. The flow of the coldest water and the magnitudes of its velocity are important for the sedimentation processes, which occur in this region. We analyze the hydrology of the bottom water needed to compare the conditions of environment and the structure of sediments.</t>
  </si>
  <si>
    <t>[Morozov, E. G.; Tarakanov, R. Yu; Frey, D., I; Borisov, D. G.] Shirshov Inst Oceanolgy RAS, Nakhimovskii Prospect 36, Moscow 117997, Russia</t>
  </si>
  <si>
    <t>Morozov, EG (corresponding author), Shirshov Inst Oceanolgy RAS, Nakhimovskii Prospect 36, Moscow 117997, Russia.</t>
  </si>
  <si>
    <t>egmorozov@mail.ru</t>
  </si>
  <si>
    <t>Morozov, Eugene G/L-3023-2018; Tarakanov, Roman/R-3325-2016; Frey, Dmitry/X-9812-2018; Borisov, Dmitrii/Y-9194-2019; Frey, Dmitry/AAD-3366-2021</t>
  </si>
  <si>
    <t>Tarakanov, Roman/0000-0002-8711-1859; Borisov, Dmitrii/0000-0001-8109-6603; Frey, Dmitry/0000-0001-8141-9513; Morozov, Eugene/0000-0002-0251-3454</t>
  </si>
  <si>
    <t>FASO, Russia (Program of the Presidium of the Russian Academy of Sciences) [0149-2018-0031]; Russian Foundation for Basic Research [17-08-00085]</t>
  </si>
  <si>
    <t>FASO, Russia (Program of the Presidium of the Russian Academy of Sciences); Russian Foundation for Basic Research(Russian Foundation for Basic Research (RFBR)Spanish Government)</t>
  </si>
  <si>
    <t>This research was performed within the framework of the state assignment of the FASO, Russia (Program of the Presidium of the Russian Academy of Sciences, theme no. 0149-2018-0031) and supported in part by the Russian Foundation for Basic Research) (project no. 17-08-00085).</t>
  </si>
  <si>
    <t>GEOPHYSICAL CENTER RAS</t>
  </si>
  <si>
    <t>MOSCOW</t>
  </si>
  <si>
    <t>MOLODEZHNAYA ST 3, MOSCOW, 119296, RUSSIA</t>
  </si>
  <si>
    <t>1681-1208</t>
  </si>
  <si>
    <t>RUSS J EARTH SCI</t>
  </si>
  <si>
    <t>Russ. J. Earth Sci.</t>
  </si>
  <si>
    <t>SEP-OCT</t>
  </si>
  <si>
    <t>ES5006</t>
  </si>
  <si>
    <t>10.2205/2018ES000630</t>
  </si>
  <si>
    <t>GZ8ZD</t>
  </si>
  <si>
    <t>WOS:000449784000006</t>
  </si>
  <si>
    <t>Liao, TT; Gui, K; Jiang, WT; Wang, SG; Wang, BH; Zeng, ZL; Che, HZ; Wang, YQ; Sun, Y</t>
  </si>
  <si>
    <t>Liao, Tingting; Gui, Ke; Jiang, Wanting; Wang, Shigong; Wang, Bihan; Zeng, Zhaoliang; Che, Huizheng; Wang, Yaqiang; Sun, Yang</t>
  </si>
  <si>
    <t>Air stagnation and its impact on air quality during winter in Sichuan and Chongqing, southwestern China</t>
  </si>
  <si>
    <t>SCIENCE OF THE TOTAL ENVIRONMENT</t>
  </si>
  <si>
    <t>Sichuan Basin; Air stagnation events; PM2.5; Winter</t>
  </si>
  <si>
    <t>HAZE POLLUTION; EASTERN CHINA; NORTH CHINA; TRENDS; PM2.5; FOG; PRECIPITATION; EXTINCTION; CHENGDU; EVENT</t>
  </si>
  <si>
    <t>The Sichuan and Chongqing regions suffer from severe haze weather in winter due to theunfavourable atmospheric diffusion conditions. Reanalysis and precipitation datasets were applied in this study to calculate and distinguish air stagnation events using a developed criterion, and the impacts of the occurrence of air stagnation events on air quality were analysed in combination with the PM2.5 concentration data for the winters of 2013-2016. The highest occurrence frequency of air stagnation events was observed in 2013, and the lowest, 2015. The meteorological conditions during winter in the Sichuan Basin were inclined to form unfavourable atmospheric diffusion conditions, and the occurrence frequency of air stagnation days was up to 76.6% on average during the four winters. The effects of air stagnation events on air quality were most obvious in the western and southern Sichuan Basin. The mean concentrations of PM2.5 during air stagnation dayswere higher by 41.9% than those during non-air stagnation days. The PM2.5 concentrations were adjusted using the favourable atmospheric diffusion conditions in 2015 as a baseline to quantify the PM2.5 contribution to the improvement of air quality in the other years, which revealed that the level of PM2.5 in the Sichuan and Chongqing regions was declining at a rate of approximately 10.7% overall during the winters of 2013-2016, implying that the air pollutant reductionmeasures have been highly effective. Furthermore, the occurrence frequency of air stagnation days and events were increased in recent ten years of 2007-2016, with linear slopes of 0.61 yr(-1) and 0.26 yr(-1), respectively. The study revealed that the government might face a greater challenge in improving the air quality over winter and should pay more attention to reduction of pollutant emission in areas of Chengdu, Chongqing and cities in the south of the Sichuan Basin. (C) 2018 Elsevier B.V. All rights reserved.</t>
  </si>
  <si>
    <t>[Liao, Tingting; Jiang, Wanting; Wang, Shigong; Wang, Bihan] Chengdu Univ Informat Technol, Coll Atmosphere Sci, Plateau Atmospher &amp; Environm Key Lab Sichuan Prov, Chengdu 610225, Sichuan, Peoples R China; [Gui, Ke; Che, Huizheng; Wang, Yaqiang] Chinese Acad Meteorol Sci, CMA, Key Lab Atmospher Chem, Beijing 100081, Peoples R China; [Sun, Yang] Chinese Acad Sci, Huainan Acad Atmospher Sci, Inst Atmospher Phys, Beijing 100029, Peoples R China; [Zeng, Zhaoliang] Wuhan Univ, Chinese Antarctic Ctr Surveying &amp; Mapping, Wuhan 430079, Hubei, Peoples R China</t>
  </si>
  <si>
    <t>Chengdu University of Information Technology; China Meteorological Administration; Chinese Academy of Meteorological Sciences (CAMS); Chinese Academy of Sciences; Institute of Atmospheric Physics, CAS; Wuhan University</t>
  </si>
  <si>
    <t>Sun, Y (corresponding author), Chinese Acad Sci, Huainan Acad Atmospher Sci, Inst Atmospher Phys, Beijing 100029, Peoples R China.</t>
  </si>
  <si>
    <t>suny@mail.iap.ac.cn</t>
  </si>
  <si>
    <t>luo, yuan/JLS-6416-2023; Che, Huizheng/N-1645-2019; gao, peng/KEI-1840-2024; Gui, Ke/F-6377-2016; LAPC, IAP/AAI-6991-2020; Wang, Yanfen/IUM-5374-2023; Sun, Yang/AAH-6064-2020; CHE, Huizheng/B-1354-2014; YAN, LING/JXY-6904-2024; Zeng, Zhaoliang/AAV-8359-2021; Wang, Yuesi/AAF-3317-2019</t>
  </si>
  <si>
    <t>Gui, Ke/0000-0002-8444-9547; LAPC, IAP/0000-0002-0025-3484; CHE, Huizheng/0000-0002-9458-3387; Zeng, Zhaoliang/0000-0002-9108-8575</t>
  </si>
  <si>
    <t>National Natural Science Foundation of China [91644226, 41775072, 41505122]; National Key Research Project of China-Strategy on Black Carbon Reduction and Evaluation of Health Effects of Climate Change [2016YFA0602004]</t>
  </si>
  <si>
    <t>National Natural Science Foundation of China(National Natural Science Foundation of China (NSFC)); National Key Research Project of China-Strategy on Black Carbon Reduction and Evaluation of Health Effects of Climate Change</t>
  </si>
  <si>
    <t>Thiswork has been supported by the National Natural Science Foundation of China (91644226, 41775072, 41505122) and the National Key Research Project of China-Strategy on Black Carbon Reduction and Evaluation of Health Effects of Climate Change (2016YFA0602004).</t>
  </si>
  <si>
    <t>0048-9697</t>
  </si>
  <si>
    <t>1879-1026</t>
  </si>
  <si>
    <t>SCI TOTAL ENVIRON</t>
  </si>
  <si>
    <t>Sci. Total Environ.</t>
  </si>
  <si>
    <t>10.1016/j.scitotenv.2018.04.122</t>
  </si>
  <si>
    <t>GK8RI</t>
  </si>
  <si>
    <t>WOS:000436494400056</t>
  </si>
  <si>
    <t>Artamonov, YV; Artamonov, AY; Skripaleva, EA; Shutov, SA; Shishov, EA</t>
  </si>
  <si>
    <t>Artamonov, Yu. V.; Artamonov, A. Yu.; Skripaleva, E. A.; Shutov, S. A.; Shishov, E. A.</t>
  </si>
  <si>
    <t>Study of Mesoscale and Synoptic Variability of the Thermohaline Structure of Water in Antarctic Coastal Areas (from Materials of Russian Antarctic Expeditions)</t>
  </si>
  <si>
    <t>OCEANOLOGY</t>
  </si>
  <si>
    <t>[Artamonov, Yu. V.; Skripaleva, E. A.; Shutov, S. A.] Russian Acad Sci, Marine Hydrophys Inst, Sevastopol 299011, Russia; [Artamonov, A. Yu.; Shishov, E. A.] Russian Acad Sci, Obukhov Inst Atmospher Phys, Moscow 119017, Russia</t>
  </si>
  <si>
    <t>Marine Hydrophysical Institute of RAS; Russian Academy of Sciences; Russian Academy of Sciences; Obukhov Institute of Atmospheric Physics of Russian Academy of Sciences</t>
  </si>
  <si>
    <t>Artamonov, YV (corresponding author), Russian Acad Sci, Marine Hydrophys Inst, Sevastopol 299011, Russia.</t>
  </si>
  <si>
    <t>artam-ant@yandex.ru</t>
  </si>
  <si>
    <t>Arseniy, Artamonov/S-2004-2017; Skripaleva, Elena/AAC-6648-2020; A., Shutov S./AAN-6071-2020</t>
  </si>
  <si>
    <t>Arseniy, Artamonov/0000-0002-7949-7069; Artamonov, Yuriy/0000-0003-2669-7304; Shutov, Sergey/0009-0004-4743-687X</t>
  </si>
  <si>
    <t>Marine Hydrophysical Institute [0827-2015-0001, 0827-2018-0003]</t>
  </si>
  <si>
    <t>Marine Hydrophysical Institute</t>
  </si>
  <si>
    <t>The study was carried out under the state assignment of the Marine Hydrophysical Institute, topic nos. 0827-2015-0001 and 0827-2018-0003.</t>
  </si>
  <si>
    <t>0001-4370</t>
  </si>
  <si>
    <t>1531-8508</t>
  </si>
  <si>
    <t>OCEANOLOGY+</t>
  </si>
  <si>
    <t>Oceanology</t>
  </si>
  <si>
    <t>10.1134/S0001437018050016</t>
  </si>
  <si>
    <t>GZ9KJ</t>
  </si>
  <si>
    <t>WOS:000449817500017</t>
  </si>
  <si>
    <t>Roy, A; Leduc-Leballeur, M; Picard, G; Royer, A; Toose, P; Derksen, C; Lemmetyinen, J; Berg, A; Rowlandson, T; Schwank, M</t>
  </si>
  <si>
    <t>Roy, Alexandre; Leduc-Leballeur, Marion; Picard, Ghislain; Royer, Alain; Toose, Peter; Derksen, Chris; Lemmetyinen, Juha; Berg, Aaron; Rowlandson, Tracy; Schwank, Mike</t>
  </si>
  <si>
    <t>Modelling the L-Band Snow-Covered Surface Emission in a Winter Canadian Prairie Environment</t>
  </si>
  <si>
    <t>L-band emission; snow; WALOMIS; Frozen soil; ground-based radiometer</t>
  </si>
  <si>
    <t>MICROWAVE EMISSION; BRIGHTNESS TEMPERATURES; RADIOMETER MEASUREMENTS; SOIL; FREEZE/THAW; WAVELENGTH; RETRIEVAL; SNOWPACKS; DENSITY; FIRN</t>
  </si>
  <si>
    <t>Detailed angular ground-based L-band brightness temperature (T-B) measurements over snow covered frozen soil in a prairie environment were used to parameterize and evaluate an electromagnetic model, the Wave Approach for LOw-frequency MIcrowave emission in Snow (WALOMIS), for seasonal snow. WALOMIS, initially developed for Antarctic applications, was extended with a soil interface model. A Gaussian noise on snow layer thickness was implemented to account for natural variability and thus improve the T-B simulations compared to observations. The model performance was compared with two radiative transfer models, the Dense Media Radiative Transfer-Multi Layer incoherent model (DMRT-ML) and a version of the Microwave Emission Model for Layered Snowpacks (MEMLS) adapted specifically for use at L-band in the original one-layer configuration (LS-MEMLS-1L). Angular radiometer measurements (30 degrees, 40 degrees, 50 degrees, and 60 degrees) were acquired at six snow pits. The root-mean-square error (RMSE) between simulated and measured TB at vertical and horizontal polarizations were similar for the three models, with overall RMSE between 7.2 and 10.5 K. However, WALOMIS and DMRT-ML were able to better reproduce the observed TB at higher incidence angles (50 degrees and 60 degrees) and at horizontal polarization. The similar results obtained between WALOMIS and DMRT-ML suggests that the interference phenomena are weak in the case of shallow seasonal snow despite the presence of visible layers with thicknesses smaller than the wavelength, and the radiative transfer model can thus be used to compute L-band brightness temperature.</t>
  </si>
  <si>
    <t>[Roy, Alexandre; Royer, Alain] Univ Sherbrooke, 2500 Boul Univ, Sherbrooke, PQ J1K 2R1, Canada; [Roy, Alexandre] Univ Quebec Trois Rivieres, Dept Sci Environm, 3351 Blvd Forges, Trois Rivieres, PQ G9A 5H7, Canada; [Roy, Alexandre; Royer, Alain] Univ Laval, Ctr Etud Nord, Quebec City, PQ G1V 0A6, Canada; [Leduc-Leballeur, Marion] Inst Appl Phys, Ational Res Council, I-50019 Sesto Fiorentino, Italy; [Picard, Ghislain] Univ Grenoble Alpes, CNRS, IGE, F-38000 Grenoble, France; [Toose, Peter; Derksen, Chris] Environm &amp; Climate Change Canada, Climate Res Div, Toronto, ON M3H 5T4, Canada; [Lemmetyinen, Juha] Finnish Meteorol Inst, FI-00101 Helsinki, Finland; [Berg, Aaron; Rowlandson, Tracy] Univ Guelph, Dept Geog Environm &amp; Geomat, Guelph, ON N1G 2W1, Canada; [Schwank, Mike] Gamma Remote Sensing AG, CH-3073 Gumlingen, Switzerland; [Schwank, Mike] Swiss Fed Res Inst WSL, CH-8903 Birmensdorf, Switzerland</t>
  </si>
  <si>
    <t>University of Sherbrooke; University of Quebec; University of Quebec Trois Rivieres; Laval University; Consiglio Nazionale delle Ricerche (CNR); Istituto di Fisica Applicata Nello Carrara (IFAC-CNR); Istituto di Fisiologia Clinica (IFC-CNR); Centre National de la Recherche Scientifique (CNRS); Communaute Universite Grenoble Alpes; Universite Grenoble Alpes (UGA); Environment &amp; Climate Change Canada; Finnish Meteorological Institute; University of Guelph; GAMMA Remote Sensing AG; Swiss Federal Institutes of Technology Domain; Swiss Federal Institute for Forest, Snow &amp; Landscape Research</t>
  </si>
  <si>
    <t>Roy, A (corresponding author), Univ Sherbrooke, 2500 Boul Univ, Sherbrooke, PQ J1K 2R1, Canada.;Roy, A (corresponding author), Univ Quebec Trois Rivieres, Dept Sci Environm, 3351 Blvd Forges, Trois Rivieres, PQ G9A 5H7, Canada.;Roy, A (corresponding author), Univ Laval, Ctr Etud Nord, Quebec City, PQ G1V 0A6, Canada.</t>
  </si>
  <si>
    <t>Alexandre.Roy@UQTR.ca; m.leduc@ifac.cnr.it; Ghislain.picard@univ-grenoble-alpes.fr; alain.royer@usherbrooke.ca; peter.toose@canada.ca; chris.derksen@canada.ca; Juha.Lemmetyinen@fmi.fi; aberg@uoguelph.ca; trowland@uoguelph.ca; schwank@gamma-rs.ch</t>
  </si>
  <si>
    <t>Schwank, Mike/E-9700-2018; Lemmetyinen, Juha/B-3739-2016; Leduc-Leballeur, Marion/AAK-9880-2021; Picard, Ghislain/D-4246-2013; Berg, Aaron/AAU-3547-2021; Derksen, Chris/S-9828-2017</t>
  </si>
  <si>
    <t>Lemmetyinen, Juha/0000-0003-4434-9696; Leduc-Leballeur, Marion/0000-0001-7579-7024; Picard, Ghislain/0000-0003-1475-5853; Berg, Aaron/0000-0001-8438-5662; Schwank, Mike/0000-0003-1569-1564; Toose, Peter/0000-0003-0591-7443; Derksen, Chris/0000-0001-6821-5479; Royer, Alain/0000-0002-6593-2007</t>
  </si>
  <si>
    <t>Canadian Space Agency (CSA); Natural Sciences and Engineering Research Council of Canada (NSERC); French Space Agency (CNES-TOSCA SMOS program); European Space Agency (ESA); Conseil Franco-Quebecois de Cooperation Universitaire (CFQCU)</t>
  </si>
  <si>
    <t>Canadian Space Agency (CSA)(Canadian Space Agency); Natural Sciences and Engineering Research Council of Canada (NSERC)(Natural Sciences and Engineering Research Council of Canada (NSERC)); French Space Agency (CNES-TOSCA SMOS program); European Space Agency (ESA)(European Space Agency); Conseil Franco-Quebecois de Cooperation Universitaire (CFQCU)</t>
  </si>
  <si>
    <t>The authors would like to thank the Canadian Space Agency (CSA), the Natural Sciences and Engineering Research Council of Canada (NSERC), the French Space Agency (CNES-TOSCA SMOS program), the European Space Agency (ESA) and the Conseil Franco-Quebecois de Cooperation Universitaire (CFQCU) for their financial support.</t>
  </si>
  <si>
    <t>10.3390/rs10091451</t>
  </si>
  <si>
    <t>HA1QF</t>
  </si>
  <si>
    <t>WOS:000449993800131</t>
  </si>
  <si>
    <t>Zheng, L; Zhou, CX; Liu, RX; Sun, QZ</t>
  </si>
  <si>
    <t>Zheng, Lei; Zhou, Chunxia; Liu, Ruixi; Sun, Qizhen</t>
  </si>
  <si>
    <t>Antarctic Snowmelt Detected by Diurnal Variations of AMSR-E Brightness Temperature</t>
  </si>
  <si>
    <t>Antarctica; snowmelt; AMSR-E; MEMLS</t>
  </si>
  <si>
    <t>GREENLAND ICE-SHEET; PASSIVE-MICROWAVE MEASUREMENTS; SOUTHEAST-ALASKAN ICEFIELDS; DIGITAL ELEVATION MODEL; SURFACE MASS-BALANCE; SPATIAL VARIABILITY; SCATTEROMETER DATA; LAYERED SNOWPACKS; EMISSION MODEL; SATELLITE DATA</t>
  </si>
  <si>
    <t>Antarctic surface snowmelt is sensitive to the polar climate. The ascending and descending passes of the Advanced Microwave Scanning Radiometer for Earth Observing System Sensor (AMSR-E) observed the Antarctic ice sheet in the afternoon (the warmest period) and at midnight (a cold period), enabling us to make full use of the diurnal amplitude variations (DAV) in brightness temperature (T-b) to detect snowmelt. The DAV in vertically polarized 36.5 GHz T-b (DAV36V) is extremely sensitive to liquid water and can reduce the effects of the structural changes in snowpacks during melt seasons. A set of controlled experiments based on the microwave emission model of layered snow (MEMLS) were conducted to study the changes of the vertically polarized 36.5 GHz T-b (Delta 36V) during the transitions from dry to wet snow regimes. Results of the experiments suggest that 9 K can be used as a DAV36V threshold to recognize snowmelt. The analyses of snowmelt suggest that the Antarctic ice sheet began to melt in November and became almost completely frozen in late March of the following year. The total cumulative melt area from 2002 to 2011 was 2.44 x 10(6) km(2), i.e., 17.58% of the Antarctic ice sheet. The annual cumulative melt area showed considerable fluctuations, with a significant (above 90% confidence level) drop of 5.24 x 10(4) km(2)/year in the short term. Persistent snowmelt (i.e., melt that continues for at least three days) detected by AMSR-E and hourly air temperatures (T-air) were very consistent. Though melt seasons became longer in the western Antarctic Peninsula and the Shackleton Ice Shelf, Antarctica was subjected to considerable decreases in duration and melting days in stable melt areas, i.e., -0.64 and -0.81 days/year, respectively. Surface snowmelt in Antarctica decreased temporally and spatially from 2002 to 2011.</t>
  </si>
  <si>
    <t>[Zheng, Lei; Zhou, Chunxia; Liu, Ruixi] Wuhan Univ, Chinese Antarctic Ctr Surveying &amp; Mapping, Wuhan 430079, Hubei, Peoples R China; [Zheng, Lei; Zhou, Chunxia; Liu, Ruixi] Natl Adm Surveying Mapping &amp; Geoinformat, Key Lab Polar Surveying &amp; Mapping, Wuhan 430079, Hubei, Peoples R China; [Sun, Qizhen] Natl Marine Environm Forecasting Ctr, Key Lab Res Marine Hazards Forecasting, Beijing 100081, Peoples R China</t>
  </si>
  <si>
    <t>Wuhan University; National Marine Environmental Forecasting Center</t>
  </si>
  <si>
    <t>Zhou, CX (corresponding author), Wuhan Univ, Chinese Antarctic Ctr Surveying &amp; Mapping, Wuhan 430079, Hubei, Peoples R China.;Zhou, CX (corresponding author), Natl Adm Surveying Mapping &amp; Geoinformat, Key Lab Polar Surveying &amp; Mapping, Wuhan 430079, Hubei, Peoples R China.</t>
  </si>
  <si>
    <t>zhenglei0611@hotmail.com; zhoucx@whu.edu.cn; liuruixi1113@163.com; sunqizhen@gmail.com</t>
  </si>
  <si>
    <t>Zheng, Lei/AAU-3788-2020</t>
  </si>
  <si>
    <t>National Natural Science Foundation of China (NSFC) [41376187, 41531069, 41776200]</t>
  </si>
  <si>
    <t>National Natural Science Foundation of China (NSFC)(National Natural Science Foundation of China (NSFC))</t>
  </si>
  <si>
    <t>This research was supported by the National Natural Science Foundation of China (NSFC) (Grant No. 41376187, 41531069 and 41776200).</t>
  </si>
  <si>
    <t>10.3390/rs10091391</t>
  </si>
  <si>
    <t>WOS:000449993800071</t>
  </si>
  <si>
    <t>Fang, ZM; Yang, WF; Chen, M; Stubbins, A; Ma, HY; Jia, RM; Li, Q; Chen, QN</t>
  </si>
  <si>
    <t>Fang, Ziming; Yang, Weifeng; Chen, Min; Stubbins, Aron; Ma, Haoyang; Jia, Renming; Li, Qi; Chen, Qianna</t>
  </si>
  <si>
    <t>Transport of dissolved black carbon from the Prydz Bay Shelf, Antarctica to the deep Southern Ocean</t>
  </si>
  <si>
    <t>LIMNOLOGY AND OCEANOGRAPHY</t>
  </si>
  <si>
    <t>ORGANIC-MATTER; SEA-ICE; BOTTOM WATER; CAPE DARNLEY; SEDIMENTS; DYNAMICS; SOILS; QUANTIFICATION; PHYTOPLANKTON; DEPOSITION</t>
  </si>
  <si>
    <t>Dissolved black carbon (DBC) is one of the largest pools of molecularly identifiable carbon in the ocean. In the deep ocean, DBC appears to persist for millennia, whereas it can be rapidly degraded by sunlight in surface waters. In Antarctica, the downward transport of dense shelf water (DSW) exports a massive volume of water to the deep Southern Ocean each year. If this sinking DSW is enriched in DBC, it may allow a route for DBC to escape degradation by sunlight in the surface ocean and become sequestered in the deep waters of the global ocean. To investigate this possibility, we quantified dissolved organic carbon (DOC), DBC, and ancillary properties in the waters of an Antarctic shelf sea (Prydz Bay) and adjacent waters. DBC concentrations in Prydz Bay DSW (1.2 +/- 0.3 mu mol L-1) were elevated compared to those in circumpolar deep water (0.49 +/- 0.07 mu mol L-1). The water column distribution of DBC in Prydz Bay suggested that sediments were the main source of DBC in DSW. A mixing model incorporating seawater oxygen isotopes (H-2 delta O-18) indicated that Prydz Bay DSW transported DBC and DOC into the deep Southern Ocean. We estimate that the downward transport of DSW from Prydz Bay could contribute 4-9% (66-150 Gg yr(-1)) and 2-4% (3700-8500 Gg yr(-1)) to the DBC and DOC concentrations in Antarctic Bottom Water, respectively. Thus, the downward transport of DBC along the Antarctic shelf/slope is likely a significant source of DBC to the deep waters of the Southern and Global Ocean.</t>
  </si>
  <si>
    <t>[Fang, Ziming; Yang, Weifeng; Chen, Min; Ma, Haoyang; Jia, Renming; Li, Qi; Chen, Qianna] Xiamen Univ, State Key Lab Marine Environm Sci, Xiamen, Peoples R China; [Fang, Ziming; Yang, Weifeng; Chen, Min; Ma, Haoyang; Jia, Renming; Li, Qi; Chen, Qianna] Xiamen Univ, Coll Ocean &amp; Earth Sci, Xiamen, Peoples R China; [Stubbins, Aron] Northeastern Univ, Dept Marine &amp; Environm Sci, Boston, MA 02115 USA; [Stubbins, Aron] Northeastern Univ, Dept Civil &amp; Environm Engn, Boston, MA 02115 USA; [Stubbins, Aron] Northeastern Univ, Dept Chem &amp; Chem Biol, Boston, MA 02115 USA</t>
  </si>
  <si>
    <t>Xiamen University; Xiamen University; Northeastern University; Northeastern University; Northeastern University</t>
  </si>
  <si>
    <t>Yang, WF (corresponding author), Xiamen Univ, State Key Lab Marine Environm Sci, Xiamen, Peoples R China.;Yang, WF (corresponding author), Xiamen Univ, Coll Ocean &amp; Earth Sci, Xiamen, Peoples R China.;Stubbins, A (corresponding author), Northeastern Univ, Dept Marine &amp; Environm Sci, Boston, MA 02115 USA.;Stubbins, A (corresponding author), Northeastern Univ, Dept Civil &amp; Environm Engn, Boston, MA 02115 USA.;Stubbins, A (corresponding author), Northeastern Univ, Dept Chem &amp; Chem Biol, Boston, MA 02115 USA.</t>
  </si>
  <si>
    <t>wyang@xmu.edu.cn; aron.stubbins@northeastern.edu</t>
  </si>
  <si>
    <t>ma, qiang/HCI-1013-2022; Lu, Jianhong/IYT-3322-2023; Zeng, Yun/JFK-6190-2023; Chen, Min/B-7763-2012; zhang, shuai/IVU-7877-2023; XU, Lin/JDM-5554-2023; Li, Ruoyu/KEJ-3648-2024; Stubbins, Aron/M-8801-2014; Yang, Weifeng/G-3996-2010</t>
  </si>
  <si>
    <t>Chen, Min/0000-0003-0369-694X; XU, Lin/0000-0003-1781-1638; Li, Ruoyu/0000-0002-9929-3725; Stubbins, Aron/0000-0002-3994-1946; Yang, Weifeng/0000-0002-9339-1746</t>
  </si>
  <si>
    <t>NSFC [41476061]; State Oceanic Administration program [201505034-1]; Program for New Century Excellent Talents in Fujian Province University; State Scholarship Fund from CSC</t>
  </si>
  <si>
    <t>NSFC(National Natural Science Foundation of China (NSFC)); State Oceanic Administration program; Program for New Century Excellent Talents in Fujian Province University(Program for New Century Excellent Talents in University (NCET)); State Scholarship Fund from CSC</t>
  </si>
  <si>
    <t>We thank Baomin Liu and Junhui Chen for their technical assistance in DBC and DOC analysis and two anonymous reviewers for their constructive comments, which improved greatly the manuscript. We also thank the crew of R/V Xuelong for their assistance during the cruise. This study was supported by NSFC (41476061 to W. Y.), State Oceanic Administration program (201505034-1 to M. C.), a Program for New Century Excellent Talents in Fujian Province University, and State Scholarship Fund from CSC (to Z. F.).</t>
  </si>
  <si>
    <t>0024-3590</t>
  </si>
  <si>
    <t>1939-5590</t>
  </si>
  <si>
    <t>LIMNOL OCEANOGR</t>
  </si>
  <si>
    <t>Limnol. Oceanogr.</t>
  </si>
  <si>
    <t>10.1002/lno.10932</t>
  </si>
  <si>
    <t>GZ0IM</t>
  </si>
  <si>
    <t>WOS:000449045600022</t>
  </si>
  <si>
    <t>Puccinelli, E; McQuaid, CD; Ansorge, IJ</t>
  </si>
  <si>
    <t>Puccinelli, Eleonora; McQuaid, Christopher D.; Ansorge, Isabelle J.</t>
  </si>
  <si>
    <t>Factors affecting trophic compositions of offshore benthic invertebrates at a sub-Antarctic archipelago</t>
  </si>
  <si>
    <t>PRINCE-EDWARD-ISLANDS; FOOD-WEB STRUCTURE; PARTICULATE ORGANIC-MATTER; CARNIVOROUS SPONGES PORIFERA; STABLE-ISOTOPE RATIO; SOUTHERN-OCEAN; FATTY-ACIDS; MARINE ECOSYSTEMS; CARBON ISOTOPES; CLIMATE-CHANGE</t>
  </si>
  <si>
    <t>Food availability is a key regulator of the distribution, metabolism, and success of benthic populations. In deep sea ecosystems, hydrodynamics and depth play fundamental roles in determining benthic food resources. Recent studies suggest that the Southern Ocean sub-Antarctic front is shifting southward, with implications for primary production and food availability around the sub-Antarctic Islands embedded in the Antarctic Circumpolar Current. We used fatty acid (FA) and stable isotope (SI) analyses to investigate the trophic pattern of benthic invertebrates and suspended particulate matter (SPM) at three Depths (shallow: 100 m, middle: 300 m, and deep: 600 m) in three hydrographic regions with different flow and productivity regimes around the Prince Edward Islands. Both region and depth affected the SI values of SPM, while feeding guild was the key factor influencing consumer trophic values. Depth affected the delta N-15 of all trophic groups and the FA compositions of suspension feeders. Deeper samples had a higher delta N-15 and showed a greater proportion of mono- and saturated fatty acids, reflecting greater remineralization of SPM and of food reaching the seafloor. Region affected the delta C-13 and FA values of SPM, suspension feeders and deposit feeder/scavengers, with differences between the interisland and open ocean regions. This was probably linked to the retention of nutrients and phytoplankton between the islands. Critically, the effects of depth and hydrographic region were taxon specific, indicating that long-term responses to environmental change may have complex consequences for the feeding ecology and viability of benthic populations, with implications for the higher trophic levels that these populations support.</t>
  </si>
  <si>
    <t>[Puccinelli, Eleonora; Ansorge, Isabelle J.] Univ Cape Town, Dept Oceanog, Marine Res Inst, Cape Town, South Africa; [McQuaid, Christopher D.] Rhodes Univ, Dept Zool &amp; Entomol, Grahamstown, South Africa</t>
  </si>
  <si>
    <t>University of Cape Town; Rhodes University</t>
  </si>
  <si>
    <t>Puccinelli, E (corresponding author), Univ Cape Town, Dept Oceanog, Marine Res Inst, Cape Town, South Africa.</t>
  </si>
  <si>
    <t>McQuaid, Christopher/0000-0002-3473-8308; Puccinelli, Eleonora/0000-0002-6144-6650; Ansorge, Isabelle/0000-0001-7071-8147</t>
  </si>
  <si>
    <t>South African Research Chairs Initiative of the Department of Science and Technology; National Research Foundation; South African Department of Environmental Affairs and Tourism; South African National Antarctic Program (SANAP)</t>
  </si>
  <si>
    <t>This work was supported by funding from the South African Research Chairs Initiative of the Department of Science and Technology, the National Research Foundation, the South African Department of Environmental Affairs and Tourism and the South African National Antarctic Program (SANAP). We acknowledge the Stable Isotope Laboratory of the Mammal Research Institute, University of Pretoria and the InnoVenton and the Downstream Chemicals Technology Station of the Nelson Mandela Metropolitan University, where the analyses were conducted. Special thanks go to the Captain Gavin Syndercombe and his officers and crew of the SA Agulhas II for their tireless assistance at sea, to the Chief Scientist Sir Hans Verheye and to Robin Adams, Sarah Asdar, Tahlia Henry, Marcel van den Berg and Charles von der Meden for helping in sample collection.</t>
  </si>
  <si>
    <t>10.1002/lno.10934</t>
  </si>
  <si>
    <t>WOS:000449045600024</t>
  </si>
  <si>
    <t>Redmon, RJ; Seaton, DB; Steenburgh, R; He, J; Rodriguez, JV</t>
  </si>
  <si>
    <t>Redmon, R. J.; Seaton, D. B.; Steenburgh, R.; He, J.; Rodriguez, J., V</t>
  </si>
  <si>
    <t>September 2017's Geoeffective Space Weather and Impacts to Caribbean Radio Communications During Hurricane Response</t>
  </si>
  <si>
    <t>BOW SHOCK; SOLAR; MAGNETOPAUSE; EVENTS; UPDATE; MODEL; DST</t>
  </si>
  <si>
    <t>Between 4 and 10 September 2017, multiple solar eruptions occurred from active region AR12673. NOAA's and NASA's well-instrumented spacecraft observed the evolution of these geoeffective events from their solar origins, through the interplanetary medium, to their geospace impacts. The 6 September X9.3 flare was the largest to date for the nearly concluded solar cycle 24 and, in fact, the brightest recorded since an X17 flare in September 2005, which occurred during the declining phase of solar cycle 23. Rapid ionization of the sunlit upper atmosphere occurred, disrupting high-frequency communications in the Caribbean region while emergency managers were scrambling to provide critical recovery services caused by the region's devastating hurricanes. The 10 September west limb eruption resulted in the first solar energetic particle event since 2012 with sufficient flux and energy to yield a ground level enhancement. Spacecraft at L1, including DSCOVR, sampled the associated interplanetary coronal mass ejections minutes before their collision with Earth's magnetosphere. Strong compression and erosion of the dayside magnetosphere occurred, placing geosynchronous satellites in the magnetosheath. Subsequent geomagnetic storms produced magnificent auroral displays and elevated hazards to power systems. Through the lens of NOAA's space weather R-S-G storm scales, this event period increased hazards for systems susceptible to elevated radio blackout (R3-strong), solar radiation storm (S3-strong), and geomagnetic storm (G4-severe) conditions. The purpose of this paper is to provide an overview of the September 2017 space weather event, and a summary of its consequences, including forecaster, post-event analyst, and communication operator perspectives.</t>
  </si>
  <si>
    <t>[Redmon, R. J.; Seaton, D. B.; Rodriguez, J., V] NOAA, Natl Ctr Environm Informat, Boulder, CO 80305 USA; [Seaton, D. B.; Rodriguez, J., V] Univ Colorado, Cooperat Inst Kesearch Environm Sci, Boulder, CO 80309 USA; [Steenburgh, R.] NOAA, Space Weather Predict Ctr, Boulder, CO USA; [He, J.] Massachusetts Inst Technol &amp; Woods Hole Oceanog I, Cambridge, MA USA</t>
  </si>
  <si>
    <t>National Oceanic Atmospheric Admin (NOAA) - USA; University of Colorado System; University of Colorado Boulder; National Oceanic Atmospheric Admin (NOAA) - USA</t>
  </si>
  <si>
    <t>Redmon, RJ (corresponding author), NOAA, Natl Ctr Environm Informat, Boulder, CO 80305 USA.</t>
  </si>
  <si>
    <t>rob.redmon@noaa.gov</t>
  </si>
  <si>
    <t>Rodriguez, Juan/AAA-3588-2022; Seaton, Daniel/L-6110-2018; Redmon, Robert/A-7688-2011</t>
  </si>
  <si>
    <t>RODRIGUEZ, JUAN/0000-0002-6847-4136; Seaton, Daniel/0000-0002-0494-2025; Steenburgh, Robert/0000-0001-8123-4244; Redmon, Robert/0000-0001-5585-2719</t>
  </si>
  <si>
    <t>European Union's Seventh Framework (FP7) Programme (FP/2007-2013) [213007]; U.S. National Science Foundation [ANT-0838839]</t>
  </si>
  <si>
    <t>European Union's Seventh Framework (FP7) Programme (FP/2007-2013); U.S. National Science Foundation(National Science Foundation (NSF))</t>
  </si>
  <si>
    <t>Two key NOAA organizations play roles that are critical to the U.S. and international space weather programs. SWPC provides data and information about the current and future state of the space environment and hazards products during elevated space weather conditions, helping to ensure the safety of life and property. The NCEI lab in Boulder, Colorado, was known for decades as the National Geophysical Data Center (NGDC) and World Data Center A (WDC-A). NCEI's Solar Terrestrial Physics program works very closely with SWPC and is currently responsible for the calibration and validation of most of NOAA's space environmental instruments, the development of new products, the archival of key operational products used by SWPC, the creation and dissemination of upgraded reference space environmental data records, and interacting with other governmental and space physics research communities to optimize the value and use of NOAA archives. The authors sincerely thank the many institutions and individuals responsible for the Sun-to-Earth observations and predictions presented herein (see Table 2) including NASA CDAWeb's J. H. King and N. Papitashvili. The authors also wish to specifically thank these individuals for valuable discussions: Bob Rutledge (SWPC), Janet Machol (CIRES) and William Rowland (CIRES, NCEI DSCOVR data manager). We acknowledge the NMDB database (www.nmdb.eu), founded under the European Union's Seventh Framework (FP7) Programme (FP/2007-2013) under contract no. 213007, for providing data. The neutron monitor data from Fort Smith are provided by the University of Delaware Department of Physics and Astronomy and the Bartol Research Institute. The data from South Pole Bares are provided by the University of Delaware with support from the U.S. National Science Foundation under grant ANT-0838839. Terre Adelie neutron monitor data were kindly provided by the French Polar Institute (IPEV, Brest) and by Paris Observatory. Oulu neutron monitor data were kindly provided by the Sodankyla Geophysical Observatory. The authors thank Marc Duldig and the Australian Antarctic Division for providing the data from the Mawson neutron monitor.</t>
  </si>
  <si>
    <t>10.1029/2018SW001897</t>
  </si>
  <si>
    <t>GY1LL</t>
  </si>
  <si>
    <t>WOS:000448291400002</t>
  </si>
  <si>
    <t>Horne, RB; Phillips, MW; Glauert, SA; Meredith, NP; Hands, ADP; Ryden, KA; Li, W</t>
  </si>
  <si>
    <t>Horne, Richard B.; Phillips, Mark W.; Glauert, Sarah A.; Meredith, Nigel P.; Hands, Alex D. P.; Ryden, Keith A.; Li, Wen</t>
  </si>
  <si>
    <t>Realistic Worst Case for a Severe Space Weather Event Driven by a Fast Solar Wind Stream</t>
  </si>
  <si>
    <t>RADIATION-BELT ELECTRONS; WHISTLER-MODE CHORUS; EARTH-ORBIT ANALYSIS; RELATIVISTIC ELECTRONS; DIFFUSION-COEFFICIENTS; RESONANT DIFFUSION; PLASMASPHERIC HISS; PITCH-ANGLE; EMIC WAVES; ACCELERATION</t>
  </si>
  <si>
    <t>Satellite charging is one of the most important risks for satellites on orbit. Satellite charging can lead to an electrostatic discharge resulting in component damage, phantom commands, and loss of service and in exceptional cases total satellite loss. Here we construct a realistic worst case for a fast solar wind stream event lasting 5 days or more and use a physical model to calculate the maximum electron flux greater than 2 MeV for geostationary orbit. We find that the flux tends toward a value of 10(6) cm(-2). s(-1).sr(-1) after 5 days and remains high for another 5 days. The resulting flux is comparable to a 1 in 150-year event found from an independent statistical analysis of electron data. Approximately 2.5 mm of Al shielding would be required to reduce the internal charging current to below the National Aeronautics and Space Administration-recommended guidelines, much more than is currently used. Thus, we would expect many satellites to report electrostatic discharge anomalies during such an event with a strong likelihood of service outage and total satellite loss. We conclude that satellites at geostationary orbit are more likely to be at risk from fast solar wind stream event than a Carrington-type storm.</t>
  </si>
  <si>
    <t>[Horne, Richard B.; Phillips, Mark W.; Glauert, Sarah A.; Meredith, Nigel P.] British Antarctic Survey, Cambridge, England; [Hands, Alex D. P.; Ryden, Keith A.] Univ Surrey, Surrey Space Ctr, Guildford, Surrey, England; [Li, Wen] Boston Univ, Ctr Space Phys, Boston, MA 02215 USA</t>
  </si>
  <si>
    <t>UK Research &amp; Innovation (UKRI); Natural Environment Research Council (NERC); NERC British Antarctic Survey; University of Surrey; Boston University</t>
  </si>
  <si>
    <t>Horne, RB (corresponding author), British Antarctic Survey, Cambridge, England.</t>
  </si>
  <si>
    <t>rh@bas.ac.uk</t>
  </si>
  <si>
    <t>Meredith, Nigel P/C-5806-2018; Li, Wen/F-3722-2011; Horne, Richard B/U-3764-2019</t>
  </si>
  <si>
    <t>Horne, Richard B/0000-0002-0412-6407; Meredith, Nigel/0000-0001-5032-3463; Phillips, Mark/0000-0001-6041-7092</t>
  </si>
  <si>
    <t>Natural Environment Research Council (NERC) Highlight Topic grant [NE/P01738X/1]; European Union Seventh Framework Programme (FP7/2007-2013) [606716 SPACESTORM]; NASA [NNX17AD15G, NNX14AI18G]; AFOSR [FA9550-15-1-0158]; NERC [bas0100031, NE/R016445/1, NE/P01738X/1] Funding Source: UKRI; NASA [1003376, NNX17AD15G] Funding Source: Federal RePORTER</t>
  </si>
  <si>
    <t>Natural Environment Research Council (NERC) Highlight Topic grant(UK Research &amp; Innovation (UKRI)Natural Environment Research Council (NERC)); European Union Seventh Framework Programme (FP7/2007-2013); NASA(National Aeronautics &amp; Space Administration (NASA)); AFOSR(United States Department of DefenseAir Force Office of Scientific Research (AFOSR)); NERC(UK Research &amp; Innovation (UKRI)Natural Environment Research Council (NERC)); NASA(National Aeronautics &amp; Space Administration (NASA))</t>
  </si>
  <si>
    <t>We would like to acknowledge D. Wade, D. Pitchford, J. Likar, and D. Rodgers for many useful discussions on satellite anomalies, satellite changing, and radiation effects. This research was supported by the Natural Environment Research Council (NERC) Highlight Topic grant NE/P01738X/1 (Rad-Sat) and the European Union Seventh Framework Programme (FP7/2007-2013) under grant agreement 606716 SPACESTORM. Wen Li would like to acknowledge NASA grants NNX17AD15G and NNX14AI18G and AFOSR grant FA9550-15-1-0158. The data used are included in the figures and are available online at doi.org/10.5285/d901af69-7e44-470b-8967-e6ae760733c6.</t>
  </si>
  <si>
    <t>10.1029/2018SW001948</t>
  </si>
  <si>
    <t>WOS:000448291400003</t>
  </si>
  <si>
    <t>Hands, ADP; Ryden, KA; Meredith, NP; Glauert, SA; Horne, RB</t>
  </si>
  <si>
    <t>Hands, A. D. P.; Ryden, K. A.; Meredith, N. P.; Glauert, S. A.; Horne, R. B.</t>
  </si>
  <si>
    <t>Radiation Effects on Satellites During Extreme Space Weather Events</t>
  </si>
  <si>
    <t>ELECTRON-RADIATION; PROBABILITY MODEL; PROTON EVENTS; SOLAR; FLUENCES; DEGRADATION; ENVIRONMENT; GIOVE</t>
  </si>
  <si>
    <t>High-energy trapped electrons in the Van Allen belts pose a threat to the survivability of orbiting spacecraft. Two key radiation effects are total ionizing dose and displacement damage dose in components and materials, both of which cause cumulative and largely irreversible damage. During an extreme space weather event, trapped electron fluxes in the Van Allen belts can increase by several orders of magnitude in intensity, leading to an enhanced risk of satellite failure. We use extreme environments generated by modeling and statistical analyses to estimate the consequences for satellites in terms of the radiation effects described above. A worst-case event could lead to significant losses in power generating capabilityup to almost 8%and cause up to four years' worth of ionizing dose degradation, leading to component damage and a life-shortening effect on satellites. The consequences of such losses are hugely significant given our increasing reliance on satellites for a vast array of services, including communication, navigation, defense, and critical infrastructure. Plain Language Summary Satellites are exposed to a variety of sources of potentially damaging space radiation. One of the most important of these is the population of high-energy electrons that lies trapped by the Earth's magnetic fieldthe so-called Van Allen belts. During an extreme space weather event, trapped electron fluxes in the Van Allen belts can increase by several orders of magnitude in intensity, leading to an enhanced risk of satellite damage. One example of this damage is degradation in the power-generating capability of satellite solar panels. The threat from space weather in this context has hitherto been associated with solar proton events, that is, bursts of energetic protons that are sporadically emitted from the Sun. However, our analysis shows that enhancements in the Van Allen belt electron population can exceed the solar proton threat, which has implications for the protection of satellites from such phenomena. It is essential that sufficiently robust engineering design measures are put in place, in order to ensure the future reliability of satellite technology, on which our society is increasingly reliant.</t>
  </si>
  <si>
    <t>[Hands, A. D. P.; Ryden, K. A.] Univ Surrey, Surrey Space Ctr, Guildford, Surrey, England; [Meredith, N. P.; Glauert, S. A.; Horne, R. B.] British Antarctic Survey, Cambridge, England</t>
  </si>
  <si>
    <t>University of Surrey; UK Research &amp; Innovation (UKRI); Natural Environment Research Council (NERC); NERC British Antarctic Survey</t>
  </si>
  <si>
    <t>Hands, ADP (corresponding author), Univ Surrey, Surrey Space Ctr, Guildford, Surrey, England.</t>
  </si>
  <si>
    <t>a.hands@surrey.ac.uk</t>
  </si>
  <si>
    <t>EU Seventh Framework Programme (FP7) [606716]; NERC highlight topic grant [NE/P01738X/1]; NERC [bas0100031, NE/P01738X/1, NE/R016445/1] Funding Source: UKRI</t>
  </si>
  <si>
    <t>EU Seventh Framework Programme (FP7); NERC highlight topic grant; NERC(UK Research &amp; Innovation (UKRI)Natural Environment Research Council (NERC))</t>
  </si>
  <si>
    <t>This work was funded in part by the EU Seventh Framework Programme (FP7) project 606716 (SPACESTORM) and the NERC highlight topic grant NE/P01738X/1 (Rad-Sat). We would also like to thank the members of the SPACESTORM stakeholder advisory board (Justin Likar, Janet Green, David Pitchford, Carlos Amiens, Richard Thorne, and David Wade) for their many useful suggestions and guidance relating to this work. The data used are included in the figures and are available online at http://doi.org/10.5281/zenodo.1239655.</t>
  </si>
  <si>
    <t>10.1029/2018SW001913</t>
  </si>
  <si>
    <t>WOS:000448291400004</t>
  </si>
  <si>
    <t>Cherniak, I; Zakharenkova, I</t>
  </si>
  <si>
    <t>Cherniak, Iurii; Zakharenkova, Irina</t>
  </si>
  <si>
    <t>Large-Scale Traveling Ionospheric Disturbances Origin and Propagation: Case Study of the December 2015 Geomagnetic Storm</t>
  </si>
  <si>
    <t>ATMOSPHERIC GRAVITY-WAVES; FIELD-ALIGNED CURRENTS; SOLAR TERMINATOR; RADAR OBSERVATIONS; AURORAL OVAL; GPS NETWORK; GENERATION; REGION; TIDS; IRREGULARITIES</t>
  </si>
  <si>
    <t>We investigate the origin, occurrence, and propagation of large-scale traveling ionospheric disturbances (LSTIDs) over the European region during the 19-21 December 2015 geomagnetic storm. Analysis of the total electron content (TEC) perturbation component is supported by the ground-based Global Positioning System (GPS) and GLONASS (In Russian: GLObalnaya NAvigazionnaya Sputnikovaya Sistema) observations. The high spatial-temporal resolution mapping approach provides a very detailed specification of the ionospheric small- to large-scale disturbances associated with two major sources of the LSTIDs generation: the solar terminator passage during the quiet time and auroral activity caused by auroral particle precipitation and field-aligned currents (FACs) intensification during geomagnetic disturbances. For the first time, the joint analysis of the ionospheric plasma irregularities, FACs, and LSTIDs reveals that a zone with the intense FACs and ionospheric irregularities occurred at the same region that represent the most probable source of LSTIDs excitation. During the main phase of the storm, the LSTIDs propagated equatorward from European high latitudes to middle latitudes (35-40 degrees N) with the horizontal velocities of similar to 700-800m/s. The LSTIDs as deduced from the TEC-disturbed component had a much larger magnitude and propagate much longer distances during the daytime (sunlit part) than in the night. We found that an equatorward expansion of the strong ionospheric irregularities zone and an increase of the FACs magnitude led to a simultaneous intensification of the LSTIDs occurrence at high latitudes. The GPS ROTI (rate of TEC index) technique, a sensitive one for detection of the rapid ionospheric gradients and irregularities, could not recognize any signatures of the TIDs structures.</t>
  </si>
  <si>
    <t>[Cherniak, Iurii] Univ Corp Atmospher Res, COSMIC Program Omce, Boulder, CO 80307 USA; [Zakharenkova, Irina] West Dept IZMIRAN, Kaliningrad, Russia</t>
  </si>
  <si>
    <t>Cherniak, I (corresponding author), Univ Corp Atmospher Res, COSMIC Program Omce, Boulder, CO 80307 USA.</t>
  </si>
  <si>
    <t>iurii@ucar.edu</t>
  </si>
  <si>
    <t>Cherniak, Iurii/0000-0002-0288-7675; Zakharenkova, Irina/0000-0002-7878-7275</t>
  </si>
  <si>
    <t>NASA LWS [NNX15AB83G]; National Science Foundation [CAS AGS-1033112]; Russian Science Foundation [17-17-01060]; NERC [BIGF010001] Funding Source: UKRI; Russian Science Foundation [17-17-01060] Funding Source: Russian Science Foundation</t>
  </si>
  <si>
    <t>NASA LWS(National Aeronautics &amp; Space Administration (NASA)); National Science Foundation(National Science Foundation (NSF)); Russian Science Foundation(Russian Science Foundation (RSF)); NERC(UK Research &amp; Innovation (UKRI)Natural Environment Research Council (NERC)); Russian Science Foundation(Russian Science Foundation (RSF))</t>
  </si>
  <si>
    <t>We acknowledge the use of the raw GNSS data provided by International GNSS Service (ftp://cddis.gsfc.nasa.gov), European EUREF Permanent Network via the Federal Office of Metrology and Surveying Austria (ftp://olggps.oeaw.ac.at), and the German Federal Agency for Cartography and Geodesy BKG (ftp://igs.bkg.bund.de/euref/obs). We express our deep gratitude to the regional networks of reference GNSS stations in Europe for providing GNSS data: the Swedish network of permanent reference stations SWEPOS (swepos.lantmateriet.se); the Norwegian Mapping Authority SATREF (http://www.kartverket.no), especially to Tor-Ole Dahlo; the Finnish GNSS Reference Network FinnRef (http://euref-fin.fgi.fi/fgi/en); the Estonian Land Board ESTPOS (http://www.maaamet.ee), especially to Karin Kollo; the Lithuanian Positioning System LitPOS (www.litpos.lt); the GNSS Continuously Operating Network of Latvia LatPos (http://map.lgia.gov.lv); the French National Institute of Geographic and Forest Information IGN (ftp://rgpdata.ign.fr); the UK Ordnance Survey Network OS-Net (ftp://www.ordnancesurvey.co.uk/gps/rinex); the Greece GNSS network NOANET (http://www.gein.noa.gr/services/GPS/NOA_GPS/noa_gps_files/data.html); the Hungarian active GNSS network (GNSSnet.hu), especially to Andras Fabian; the Ukrainian System. NET operated by JSC System Solutions (systemnet.com.ua). The raw GNSS data from the reference stations located on the Russian Federation territory were kindly provided by the Russian Company HEXAGON Geosystems and SmartNet Russia network (http://smartnet-ru.com) with special thanks to Vladimir Pasmurnov and the Russian Company Effective Technologies and EFT-CORS network (http://eftcors.ru/) with special thanks to Mikhail Bykov. We acknowledge European Space Agency for providing Swarm data (http://earth.esa.int/swarm) and UCAR COSMIC Data Analysis and Archive Center for COSMIC data (http://cdaac-www.cosmic.ucar.edu/cdaac/products.html).For the ground magnetometer data available at supermag.jhuapl.edu we gratefully acknowledge: Intermagnet; USGS, Jeffrey J. Love; CARISMA, PI Ian Mann; CANMOS; The S-RAMP Database, PI K. Yumoto and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PENGUIN; AUTUMN, PI Martin Connors; DTU Space, PI Rico Behlke; South Pole and McMurdo Magnetometer, PI's Louis J. Lanzarotti and Alan T. Weatherwax; ICESTAR; RAPIDMAG; PENGUIn; British Antarctic Survey; McMac, PI Peter Chi; BGS, PI Susan Macmillan; Pushkov Institute of Terrestrial Magnetism, Ionosphere and Radio Wave Propagation (IZMIRAN); GFZ, PI Juergen Matzka; MFGI, PI B. Heilig; IGFPAS, PI J. Reda; University of L'Aquila, PI M. Vellante; BCMT, V. Lesur and A. Chambodut; Data obtained in cooperation with Geoscience Australia, PI Marina Costelloe; SuperMAG, PI Jesper W. Gjerloev. We thank the AMPERE team and the AMPERE Science Center for providing the Iridium-derived data products. AMPERE data are available via http://ampere.jhuapl.edu.We acknowledge use of NASA/GSFC's Space Physics Data Facility's OMNIWeb service for the data of the interplanetary and geophysical parameters. The OVATION Prime simulation results have been provided by the Community Coordinated Modeling Center at Goddard Space Flight Center through their public Runs on Request system (http://ccmc.gsfc.; nasa.gov).The CCMC is a multiagency partnership between NASA, AFMC, AFOSR, AFRL, AFWA, NOAA, NSF, and ONR. The OP model was developed at Johns Hopkins Applied Physics Laboratory by Patrick Newell and co-workers. The OP simulation outputs used in this study are available at the CCMC website. We thank A. Richmond and Y. Otsuka for fruitful discussions. I. C. was supported in part by the NASA LWS grant NNX15AB83G and National Science Foundation CAS AGS-1033112 grant. I. Z. was supported by the Russian Science Foundation grant (no. 17-17-01060).</t>
  </si>
  <si>
    <t>10.1029/2018SW001869</t>
  </si>
  <si>
    <t>WOS:000448291400015</t>
  </si>
  <si>
    <t>Nuntiyakul, W; Sáiz, A; Ruffolo, D; Mangeard, PS; Evenson, P; Bieber, JW; Clem, J; Pyle, R; Duldig, ML; Humble, JE</t>
  </si>
  <si>
    <t>Nuntiyakul, W.; Saiz, A.; Ruffolo, D.; Mangeard, P-S; Evenson, P.; Bieber, J. W.; Clem, J.; Pyle, R.; Duldig, M. L.; Humble, J. E.</t>
  </si>
  <si>
    <t>Bare Neutron Counter and Neutron Monitor Response to Cosmic Rays During a 1995 Latitude Survey</t>
  </si>
  <si>
    <t>cosmic rays; bare neutron counters; neutron monitors; geomagnetic cutoff; latitude survey; data analysis</t>
  </si>
  <si>
    <t>SOLAR MINIMUM; COUPLING FUNCTIONS; MUON DETECTORS; YIELD FUNCTION; OCTOBER 22; SEA-LEVEL; MODULATION; MAGNETOSPHERE; ANTARCTICA; SIMULATION</t>
  </si>
  <si>
    <t>Neutron monitors of standard design (IGY or NM64) are employed worldwide to study variations in the flux of galactic cosmic rays and solar energetic particles in the GeV range. The design minimizes detector response to neutrons below similar to 10MeV produced by cosmic ray interactions in the ambient medium. Increasingly, however, such neutrons are of interest as a means of obtaining spectral information on cosmic rays, for studies of soil moisture, and for nuclear threat detection. Bare neutron counters, a type of lead-free neutron monitor, can detect such neutrons, but comparatively little work has been done to characterize the dependence of their count rate on cutoff rigidity. We analyze data from three bare neutron counters operated on a ship together with a three-tube NM64 monitor from November 1995 to March 1996 over a wide range of magnetic latitude, that is, a latitude survey. The bare counter design used foamed-in-place polyurethane insulation to keep the temperature uniform and to some extent moderate high-energy neutrons. When the ship was near land, the bare/NM64 count rate ratio was dramatically higher. Considering only data from open sea, the bare and NM64 pressure coefficients are not significantly different. We determine the response function of these bare counters, which is weighted to Galactic cosmic rays of lower energy than the NM64. This measurement of the response function may improve determination of the spectral index of solar energetic particles and Galactic cosmic rays from a comparison of bare and NM64 count rates.</t>
  </si>
  <si>
    <t>[Nuntiyakul, W.] Chiang Mai Univ, Fac Sci, Dept Phys &amp; Mat Sci, Chiang Mai, Thailand; [Nuntiyakul, W.; Saiz, A.; Ruffolo, D.] Minist Educ, Thailand Ctr Excellence Phys, CHE, Bangkok, Thailand; [Saiz, A.; Ruffolo, D.] Mahidol Univ, Fac Sci, Dept Phys, Bangkok, Thailand; [Mangeard, P-S] NARIT, Chiang Mai, Thailand; [Mangeard, P-S; Evenson, P.; Bieber, J. W.; Clem, J.] Univ Delaware, Dept Phys &amp; Astron, Bartol Res Inst, Newark, DE 19716 USA; [Pyle, R.] Pyle Consulting Grp Inc, St Charles, IL USA; [Duldig, M. L.; Humble, J. E.] Univ Tasmania, Sch Nat Sci, Hobart, Tas, Australia</t>
  </si>
  <si>
    <t>Chiang Mai University; Mahidol University; University of Delaware; University of Tasmania</t>
  </si>
  <si>
    <t>Sáiz, A (corresponding author), Minist Educ, Thailand Ctr Excellence Phys, CHE, Bangkok, Thailand.;Sáiz, A (corresponding author), Mahidol Univ, Fac Sci, Dept Phys, Bangkok, Thailand.</t>
  </si>
  <si>
    <t>alejandro.sai@mahidol.ac.th</t>
  </si>
  <si>
    <t>Sáiz, Alejandro/F-7367-2010</t>
  </si>
  <si>
    <t>Sáiz, Alejandro/0000-0001-7771-4341; Nuntiyakul, Waraporn/0000-0002-1664-5845; Evenson, Paul/0000-0001-7929-810X; Ruffolo, David/0000-0003-3414-9666; Duldig, Marcus/0000-0001-7463-8267; Mangeard, Pierre-Simon/0000-0003-4865-6968</t>
  </si>
  <si>
    <t>Thailand Research Fund [RTA5980003]; U.S. National Science Foundation [PLR-1341562, PLR-1245939]; Australian Antarctic Division; Faculty of Science, Chandrakasem Rajabhat University, Bangkok, Thailand; [MRG6080086]</t>
  </si>
  <si>
    <t>Thailand Research Fund(Thailand Research Fund (TRF)); U.S. National Science Foundation(National Science Foundation (NSF)); Australian Antarctic Division; Faculty of Science, Chandrakasem Rajabhat University, Bangkok, Thailand;</t>
  </si>
  <si>
    <t>This study is supported in part by the Thailand Research Fund via grant RTA5980003 and Research Grant for New Scholar MRG6080086; by the U.S. National Science Foundation via awards PLR-1341562, PLR-1245939, and their predecessors; and by the Australian Antarctic Division. We thank the officers and crew of the USCG icebreaker Polar Star for their assistance in conducting the survey. We also thank Leonard Shulman, James Roth, and Keith Bolton for their technical assistance in preparing and maintaining the TasVan. W. N. would like to thank the Faculty of Science, Chandrakasem Rajabhat University, Bangkok, Thailand, for their support. The data displayed in the figures are available as supporting information.</t>
  </si>
  <si>
    <t>10.1029/2017JA025135</t>
  </si>
  <si>
    <t>GY2MI</t>
  </si>
  <si>
    <t>WOS:000448376600003</t>
  </si>
  <si>
    <t>Reidy, JA; Fear, RC; Whiter, DK; Lanchester, B; Kavanagh, AJ; Milan, SE; Carter, JA; Paxton, LJ; Zhang, Y</t>
  </si>
  <si>
    <t>Reidy, J. A.; Fear, R. C.; Whiter, D. K.; Lanchester, B.; Kavanagh, A. J.; Milan, S. E.; Carter, J. A.; Paxton, L. J.; Zhang, Y.</t>
  </si>
  <si>
    <t>Interhemispheric Survey of Polar Cap Aurora</t>
  </si>
  <si>
    <t>polar cap aurora; polar cap precipitation; polar rain; interhemispheric survey</t>
  </si>
  <si>
    <t>INTERPLANETARY MAGNETIC-FIELD; LOW-ENERGY ELECTRONS; SUN-ALIGNED ARCS; BIRKELAND CURRENTS; SOLAR-WIND; MAGNETOMETER DATA; TRANSPOLAR ARCS; THETA-AURORA; CONVECTION; DAYSIDE</t>
  </si>
  <si>
    <t>This study investigates the interhemispheric nature of polar cap auroras via ultraviolet imaging, combined with particle data, to determine whether they occur on open or closed field lines. Data from the SSUSI (Special Sensor Ultraviolet Spectrographic Imager) instrument on board the DMSP (Defence Meteorological Satellite Program) spacecraft are examined. The DMSP spacecraft are in 90-min orbits; hence, images of each hemisphere are separated by 45min providing a good opportunity for interhemispheric study. 21 polar cap arc (PCA) events are recorded in December 2015 which have particle data from the SSJ/4 particle spectrometer associated with an arc in at least one hemisphere. Nine events are found to contain arcs consistent with a closed field line mechanism, that is, arcs associated with an ion signature present in both hemispheres. Six events contained arcs that were consistent with an open field line mechanism, that is, they were associated with electron-only precipitation. Events containing arcs that were not consistent with either of these expectations are also explored, including an example of a non-conjugate theta aurora and an interesting example of auroral morphology similar to a PCA which is associated with a geomagnetic storm. Seasonal effects are also investigated through a statistical analysis of PCAs over 4 months in 2015. It is found that PCAs are visible in the SSUSI data at least 20% of the time and that it is likely some are missed due to the spacecraft field of view and poor sensitivity in the summer hemisphere due to increased solar illumination.</t>
  </si>
  <si>
    <t>[Reidy, J. A.; Fear, R. C.; Whiter, D. K.; Lanchester, B.] Univ Southampton, Dept Phys &amp; Astron, Southampton, Hants, England; [Reidy, J. A.; Kavanagh, A. J.] British Antarctic Survey, Nat Environm Res Council, Cambridge, England; [Kavanagh, A. J.] Rutherford Appleton Lab, Sci &amp; Technol Facil Council, Didcot, Oxon, England; [Milan, S. E.; Carter, J. A.] Univ Leicester, Dept Phys &amp; Astron, Leicester, Leics, England; [Milan, S. E.] Univ Bergen, Birkeland Ctr Space Sci, Bergen, Norway; [Paxton, L. J.; Zhang, Y.] Johns Hopkins Univ, Appl Phys Lab, Laurel, MD USA</t>
  </si>
  <si>
    <t>University of Southampton; UK Research &amp; Innovation (UKRI); Natural Environment Research Council (NERC); NERC British Antarctic Survey; UK Research &amp; Innovation (UKRI); Science &amp; Technology Facilities Council (STFC); STFC Rutherford Appleton Laboratory; University of Leicester; University of Bergen; Johns Hopkins University; Johns Hopkins University Applied Physics Laboratory</t>
  </si>
  <si>
    <t>Reidy, JA (corresponding author), Univ Southampton, Dept Phys &amp; Astron, Southampton, Hants, England.;Reidy, JA (corresponding author), British Antarctic Survey, Nat Environm Res Council, Cambridge, England.</t>
  </si>
  <si>
    <t>jr10g11@soton.ac.uk</t>
  </si>
  <si>
    <t>Whiter, Daniel/P-8601-2019; Carter, Jennifer/S-3794-2019; Paxton, Larry/D-1934-2015</t>
  </si>
  <si>
    <t>Carter, Jennifer/0000-0002-0981-2895; Fear, Robert/0000-0003-0589-7147; Paxton, Larry/0000-0002-2597-347X; Whiter, Daniel/0000-0001-7130-232X; Reidy, Jade/0000-0002-7939-991X</t>
  </si>
  <si>
    <t>Natural Environmental Research Council (NERC) [NE/L002531/1]; United Kingdom's Science and Technology Facilities Council (STFC) Ernest Rutherford Fellowship [ST/K004298/2]; NERC [NE/N004051/1]; STFC [ST/N000749/1]; Research Council of Norway [223252/F50]; NERC [NE/N004051/1, NE/R016038/1, bas0100031, NE/H024433/1] Funding Source: UKRI; STFC [ST/N000749/1, ST/K004298/2] Funding Source: UKRI; Natural Environment Research Council [NE/H024433/1] Funding Source: researchfish</t>
  </si>
  <si>
    <t>Natural Environmental Research Council (NERC)(UK Research &amp; Innovation (UKRI)Natural Environment Research Council (NERC)); United Kingdom's Science and Technology Facilities Council (STFC) Ernest Rutherford Fellowship; NERC(UK Research &amp; Innovation (UKRI)Natural Environment Research Council (NERC)); STFC(UK Research &amp; Innovation (UKRI)Science &amp; Technology Facilities Council (STFC)); Research Council of Norway(Research Council of Norway); NERC(UK Research &amp; Innovation (UKRI)Natural Environment Research Council (NERC)); STFC(UK Research &amp; Innovation (UKRI)Science &amp; Technology Facilities Council (STFC)); Natural Environment Research Council(UK Research &amp; Innovation (UKRI)Natural Environment Research Council (NERC))</t>
  </si>
  <si>
    <t>This work was supported by the Natural Environmental Research Council (NERC) studentship number NE/L002531/1. R.C.F. was supported by the United Kingdom's Science and Technology Facilities Council (STFC) Ernest Rutherford Fellowship ST/K004298/2. D.K.W. and B.S.L. are supported by NERC Grant NE/N004051/1. S.E.M. and J.A.C. are supported by the STFC consolidated Grant ST/N000749/1. S.E.M is also supported by the Research Council of Norway under contract 223252/F50. The SSUSI data were obtained from http://ssusi.jhuapl.edu/.The DMSP particle detectors were designed by D. Hardy of Air Force Research Laboratory, and data were obtained from the Johns Hopkins University Applied Physics Laboratory. OMNI and ARTEMIS data were obtained from https://omniweb.gsfc.nasa.gov/and https://sscweb.gsfc.nasa.gov/, respectively. For the Iridium-derived AMPERE data (http://ampere.jhuapl.edu/), we acknowledge the AMPERE Science Center. The authors would also like to thank Stephen Browett and John Coxon for their help during this study.</t>
  </si>
  <si>
    <t>10.1029/2017JA025153</t>
  </si>
  <si>
    <t>Green Accepted, hybrid, Green Published</t>
  </si>
  <si>
    <t>WOS:000448376600011</t>
  </si>
  <si>
    <t>Horvath, I; Lovell, BC</t>
  </si>
  <si>
    <t>Horvath, Ildiko; Lovell, Brian C.</t>
  </si>
  <si>
    <t>Polar Ion Temperature Variations During the 22 January 2012 Magnetic Storm</t>
  </si>
  <si>
    <t>Alfven waves; AGWs; cusp enhancements; flow channels; dayside reconnection; lobe reconnection</t>
  </si>
  <si>
    <t>DISSIPATIVE MULTICONSTITUENT MEDIUM; WIND ALFVEN WAVES; IMF B-Y; EARTHS THERMOSPHERE; GLOBAL EXCITATION; CAP CONVECTION; GRAVITY-WAVES; AURORAL-ZONE; PLASMA FLOWS; IONOSPHERE</t>
  </si>
  <si>
    <t>We study the 22 January 2012 magnetic storm, during which some localized neutral density (D-N) increases developed, and its polar ion temperature (T-i) variations in terms of the earthward Poynting flux (S-||) deposited into the coupled ionosphere-thermosphere system. We investigate the storm's nature, some flow channel events that are the ionospheric signatures of flux transfer events triggered by magnetic reconnections, and the resultant thermospheric responses. We utilize solar and interplanetary magnetic field data and multi-instrument topside ionospheric and thermospheric measurements. Results reveal the presence of antisunward propagating solar wind Alfven waves during the various storm phases triggering flux transfer events/flow channel events and launching atmospheric gravity waves whose T-i signatures appeared as episodic T-i variations. Various scenarios demonstrate the direct correlation between S-|| and D-N and the irregular T-i responses within/above flow channels that we explain in terms of frictional heating (T-frc). We identify T-i responses during various flow channel events as (1) direct/intermittent and (2) opposite, with S-|| and D-N reflecting the respective underlying flow channel development at the time of detection as (1) early stage when T-frc was high due to the still large velocity differences between ions and neutrals and as (2) late stage when T-frc ceased since ions and neutrals moved together. T-i oscillations are observed to be originating from polar or auroral flow channels and propagating across the polar cap toward the equator. We conclude that antisunward solar wind Alfven waves had a significant impact on T-i variability during this storm by modulating magnetic reconnection and launching atmospheric gravity waves.</t>
  </si>
  <si>
    <t>[Horvath, Ildiko; Lovell, Brian C.] Univ Queensland, Sch Informat Technol &amp; Elect Engn, Secur &amp; Surveillance Res Grp, Brisbane, Qld, Australia</t>
  </si>
  <si>
    <t>University of Queensland</t>
  </si>
  <si>
    <t>Horvath, I (corresponding author), Univ Queensland, Sch Informat Technol &amp; Elect Engn, Secur &amp; Surveillance Res Grp, Brisbane, Qld, Australia.</t>
  </si>
  <si>
    <t>ihorvath@itee.uq.edu.au</t>
  </si>
  <si>
    <t>Lovell, Brian/0000-0001-6722-1754; Horvath, Ildiko/0000-0002-1899-3907</t>
  </si>
  <si>
    <t>Air Force Office of Scientific Research [FA2386-17-1-4109]</t>
  </si>
  <si>
    <t>Air Force Office of Scientific Research(United States Department of DefenseAir Force Office of Scientific Research (AFOSR))</t>
  </si>
  <si>
    <t>This material is based on research sponsored by the Air Force Office of Scientific Research, under agreement FA2386-17-1-4109. The U.S. Government is authorized to reproduce and distribute reprints for governmental purposes notwithstanding any copyright notation thereon. We acknowledge Eelco Doornbos and ESA's Living Planet program for the GOCE data (https://earth.esa.int/web/guest/-/goce-dataaccess-7219), and the OMNI database (https://cdaweb.gsfc.nasa.gov/cdaweb/istp_public/) for the solar and magnetic data. We are grateful to the CEDAR Archival Madrigal Database (http://cedar.openmadrigal.org/) and the U.S. Air Force for providing the DMSP thermal plasma data. We also thank the World Data Center for Geomagnetism at Kyoto (http://wdc.kugi.kyoto-u.ac.jp/wdc/Sec3.html) for providing the geomagnetic indices and both The Technical University of Denmark and the Arctic and Antarctic Research Institute for the PCN and PCS indices (http://pcindex.org/).</t>
  </si>
  <si>
    <t>10.1029/2018JA025727</t>
  </si>
  <si>
    <t>WOS:000448376600047</t>
  </si>
  <si>
    <t>Kavanagh, AJ; Cobbett, N; Kirsch, P</t>
  </si>
  <si>
    <t>Kavanagh, Andrew J.; Cobbett, Neil; Kirsch, Peter</t>
  </si>
  <si>
    <t>Radiation Belt Slot Region Filling Events: Sustained Energetic Precipitation Into the Mesosphere</t>
  </si>
  <si>
    <t>MF radar; mesosphere; slot region; Antarctic; radiation belts; absorption</t>
  </si>
  <si>
    <t>POLAR-CAP ABSORPTION; VAN-ALLEN BELT; RELATIVISTIC ELECTRONS; PLASMASPHERIC HISS; MULTISATELLITE OBSERVATIONS; RESONANT SCATTERING; MIDDLE ATMOSPHERE; MAGNETIC STORM; ION CHEMISTRY; DYNAMICS</t>
  </si>
  <si>
    <t>Precipitation of energetic electrons to the atmosphere is both a loss mechanism for radiation belt particles and a means by which the geospace environment influences the Earth's atmosphere; thus, it is important to fully understand the extent of this precipitation. A set of polar orbiting satellites have been used to identify periods when energetic charged particles fill the slot region between the inner and outer radiation belts. These suggest that electrons with energies &gt;30 keV penetrate this region, even under levels of modest geomagnetic activity. Those events with sufficient fluxes of particles produce enough ionization to be detected by a ground-based radar in Antarctica; this precipitation lasts for similar to 10 days on average. Analysis of these data reveals that the average precipitation penetrates to the stratopause (similar to 55-km altitude). For some (if not all) of these events, the likely cause of the most energetic precipitation is an interaction between (relativistic) electrons and plasmaspheric hiss leading to little, if no, local time variation in precipitation. This does not preclude a longitudinal effect given that all radar measurements are fixed in longitude. During winter months the radar is under the stable southern polar atmospheric vortex. This transports atmospheric species to lower altitudes including the ozone destroying chemicals that are produced by energetic precipitation. Thus, the precipitation from the slot region in the Southern Hemisphere will likely contribute to the destruction of ozone and changes to atmospheric heat balance and chemistry; more work is required to determine the true impact of these events. Plain Language Summary Precipitation of energetic electrons to the atmosphere is both a loss mechanism for radiation belt particles and a means by which the geospace environment influences the Earth's atmosphere; thus, it is important to fully understand the extent of this precipitation. A set of polar orbiting satellites have been used to identify periods when energetic charged particles fill the slot region between the inner and outer radiation belts. These suggest that electrons with energies &gt;30 keV penetrate this region, even under levels of modest geomagnetic activity. Those events with sufficient fluxes of particles produce enough ionization to be detected by a ground-based radar in Antarctica; this precipitation lasts for similar to 10 days on average. Analysis of these data reveals that the average precipitation penetrates to the stratopause (similar to 55-km altitude). For some (if not all) of these events, the likely cause of the most energetic precipitation is an interaction between (relativistic) electrons and plasmaspheric hiss leading to little, if no, local time variation in precipitation. This does not preclude a longitudinal effect given that all radar measurements are fixed in longitude. During winter months the radar is under the stable southern polar atmospheric vortex. This transports atmospheric species to lower altitudes including the ozone destroying chemicals that are produced by energetic precipitation. Thus, the precipitation from the slot region in the Southern Hemisphere will likely contribute to the destruction of ozone and changes to atmospheric heat balance and chemistry; more work is required to determine the true impact of these events.</t>
  </si>
  <si>
    <t>[Kavanagh, Andrew J.; Cobbett, Neil; Kirsch, Peter] British Antarctic Survey, Cambridge, England; [Kavanagh, Andrew J.] Rutherford Appleton Lab, RAL Space, Oxford, England</t>
  </si>
  <si>
    <t>UK Research &amp; Innovation (UKRI); Natural Environment Research Council (NERC); NERC British Antarctic Survey; UK Research &amp; Innovation (UKRI); Science &amp; Technology Facilities Council (STFC); STFC Rutherford Appleton Laboratory</t>
  </si>
  <si>
    <t>Kavanagh, AJ (corresponding author), British Antarctic Survey, Cambridge, England.;Kavanagh, AJ (corresponding author), Rutherford Appleton Lab, RAL Space, Oxford, England.</t>
  </si>
  <si>
    <t>andkay@bas.ac.uk</t>
  </si>
  <si>
    <t>Kirsch, Peter/0000-0003-2482-0217</t>
  </si>
  <si>
    <t>NERC [NE/R016038/1, NE/I010173/1]; NERC [NE/R016038/1, bas0100031, NE/I010173/1, bas010011] Funding Source: UKRI</t>
  </si>
  <si>
    <t>The Rothera MF radar is a joint project between the British Antarctic Survey and GATS Inc., Boulder, USA. Work on the MF radar at BAS is supported via NERC (NE/R016038/1) and was partially supported by NERC grant NE/I010173/1. Data from the MF radar are available from the UK Polar Data Centre (https://www.bas.ac.uk/data/uk-pdc/).We would like to thank all of the staff who have wintered at Rothera station and in particular the electronics engineers who have been responsible for maintaining the MF radar. POES data were obtained from www.spaceweather.ac.uk, which was developed as part of the EU SPACECAST project and is maintained by the Polar Data Centre. We acknowledge the NOAA National Geophysical Data Center, now called the National Centers for Environmental Information, for the original provision of the POES SEM data, and thank all of the scientists, particularly Janet Green, who have worked hard to improve this data set. We acknowledge use of NASA/GSFC's Space Physics Data Facility's OMNIWeb service, and OMNI data and the World Data Center for Geomagnetism, Kyoto, for the SYM-H data. We would like to thank Mervyn Freeman for useful conversations when conducting this research.</t>
  </si>
  <si>
    <t>10.1029/2018JA025890</t>
  </si>
  <si>
    <t>WOS:000448376600060</t>
  </si>
  <si>
    <t>Horvath, A; Murböck, M; Pail, R; Horwath, M</t>
  </si>
  <si>
    <t>Horvath, Alexander; Murboeck, Michael; Pail, Roland; Horwath, Martin</t>
  </si>
  <si>
    <t>Decorrelation of GRACE Time Variable Gravity Field Solutions Using Full Covariance Information</t>
  </si>
  <si>
    <t>GRACE; gravity; decorrelation; filter; post-processing</t>
  </si>
  <si>
    <t>CLIMATE EXPERIMENT; MASS; RECOVERY</t>
  </si>
  <si>
    <t>In this study the feasibility and performance of time variable decorrelation (VADER) filters derived from covariance information on decadal Gravity Recovery and Climate Experiment (GRACE) time series are investigated. The VADER filter is based on publicly available data that are provided by several GRACE processing centers, and does not need its own Level-2 processing chain. Numerical closed loop simulations, incorporating stochastic and deterministic error budgets, serve as basis for the design of the filter setup, and the resulting filters are subsequently applied for real data processing. The closed loop experiments demonstrate the impact of temporally varying error and signal covariance matrices that are used for the design of decorrelation filters. The results indicate an average reduction of cumulative geoid height errors of 15% using time-variable instead of static decorrelation. Based on the simulation experience, a real data filtering procedure is designed and set up. It is applied to the ITSG-Grace2014 time variable gravity field time series with its associated full monthly covariance matrices. To assess the validity of the approach, linear mass trend estimates for the Antarctic Peninsula are computed using VADER filters and compared to previous estimates from both, GRACE and other mass balance estimation techniques. The mass change results obtained show very good agreement with other estimates and are robust against variations of the filter strength. The DDK decorrelation filter serves as main benchmark for the assessment of the VADER filter. For comparable filter strengths the VADER filters achieve a better de-striping and deliver smaller formal errors than static filters like the DDK.</t>
  </si>
  <si>
    <t>[Horvath, Alexander; Murboeck, Michael; Pail, Roland] Tech Univ Munich, Inst Astron &amp; Phys Geodesy, D-80333 Munich, Germany; [Murboeck, Michael] GFZ German Res Ctr Geosci, D-14473 Potsdam, Germany; [Horwath, Martin] Tech Univ Dresden, Inst Planetare Geodasie, D-01069 Dresden, Germany</t>
  </si>
  <si>
    <t>Technical University of Munich; Helmholtz Association; Helmholtz-Center Potsdam GFZ German Research Center for Geosciences; Technische Universitat Dresden</t>
  </si>
  <si>
    <t>Horvath, A (corresponding author), Tech Univ Munich, Inst Astron &amp; Phys Geodesy, D-80333 Munich, Germany.</t>
  </si>
  <si>
    <t>alexander.horvath@tum.de; michael.mbk@gmx.de; pail@bv.tum.de; Martin.Horwath@tu-dresden.de</t>
  </si>
  <si>
    <t>Horwath, Martin/ABH-4320-2020; Pail, Roland/ABE-8800-2021; Pail, Roland/H-5621-2011</t>
  </si>
  <si>
    <t>Horvath, Alexander/0000-0002-9549-4845</t>
  </si>
  <si>
    <t>10.3390/geosciences8090323</t>
  </si>
  <si>
    <t>GY1ZG</t>
  </si>
  <si>
    <t>WOS:000448335800015</t>
  </si>
  <si>
    <t>Duarte, B; Cabrita, MT; Vidal, T; Pereira, JL; Pacheco, M; Pereira, P; Canário, J; Gonçalves, FJM; Matos, AR; Rosa, R; Marques, JC; Caçador, I; Gameiro, C</t>
  </si>
  <si>
    <t>Duarte, Bernardo; Cabrita, Maria Teresa; Vidal, Tania; Pereira, Joana Luisa; Pacheco, Mario; Pereira, Patricia; Canario, Joao; Goncalves, Fernando J. M.; Matos, Ana Rita; Rosa, Rui; Marques, Joao Carlos; Cacador, Isabel; Gameiro, Carla</t>
  </si>
  <si>
    <t>Phytoplankton community-level bio-optical assessment in a naturally mercury contaminated Antarctic ecosystem (Deception Island)</t>
  </si>
  <si>
    <t>MARINE ENVIRONMENTAL RESEARCH</t>
  </si>
  <si>
    <t>Antarctica; Hg contamination; Phytoplankton; Photochemistry</t>
  </si>
  <si>
    <t>KING GEORGE ISLAND; TRACE-ELEMENT CONTAMINATION; PHOTOSYSTEM-II; CHLOROPHYLL-A; ENVIRONMENTAL COMPARTMENTS; OXIDATIVE STRESS; FILDES PENINSULA; VARIABILITY; TRANSPORT; KINETICS</t>
  </si>
  <si>
    <t>Mercury naturally contaminated environments, like Deception Island (Antarctica), are field labs to study the physiological consequences of chronic Hg-exposure at the community level. Deception Island volcanic vents lead to a continuous chronic exposure of the phytoplanktonic communities to potentially toxic Hg concentrations. Comparing Hg-contaminated areas (Fumarolas Bay- FB, Gabriel de Castilla station - GdC station), no significant differences in chlorophyll a concentrations were detected, indicating that biomass production was not impaired by Hg-exposure despite the high Hg levels found in the cells. Moreover, the electron transport energy, responsible for energy production, also presented rather similar values in phytoplankton from both locations. Regarding. FB,communities, although the cells absorbed and trapped loWer amounts of energy, the effect of Hg was not relevant in the photochemical work produced by the electronic transport chain. This might be due to the activation of alternative internal electron donors, as counteractive measure to the energy accumulated inside the cells. in fact, this alternative electron pathway, may have allowed FB communities to have similar electron transport energy fluxes without using respiration as photoprotective measure towards excessive energy. Hg-exposed cells also showed a shift from the energy flux towards the PS I (photosystem I), alleviating the excessive energy accumulation at the PS II (photosystem II) and preventing an oxidative burst. Our findings suggest a higher energy use efficiency in the communities exposed to volcanic Hg, which is not observable in cultured phytoplankton species grown under Hg exposure. This may constitute a metabolic adaptation, driven from chronic exposure allowing the maintenance of high levels of primary productivity under the assumingly unfavourable conditions of Deception Island.</t>
  </si>
  <si>
    <t>[Duarte, Bernardo; Cacador, Isabel; Gameiro, Carla] Univ Lisbon, Marine &amp; Environm Sci Ctr MARE, Fac Ciencias, P-1749016 Lisbon, Portugal; [Cabrita, Maria Teresa] Univ Lisbon, CEG, IGOT, Rua Branca Edmee Marques, P-1600276 Lisbon, Portugal; [Cabrita, Maria Teresa; Gameiro, Carla] Inst Mar &amp; Atmosfera IPMA, Rua Alfredo Magalhaes Ramalho 6, P-1495006 Alges, Portugal; [Vidal, Tania; Pereira, Joana Luisa; Pacheco, Mario; Pereira, Patricia; Goncalves, Fernando J. M.] Univ Aveiro, Dept Biol, Campus Univ Santiago, P-3810193 Aveiro, Portugal; [Vidal, Tania; Pereira, Joana Luisa; Pacheco, Mario; Pereira, Patricia; Goncalves, Fernando J. M.] Univ Aveiro, CESAM Ctr Environm &amp; Marine Studies, Campus Univ Santiago, P-3810193 Aveiro, Portugal; [Canario, Joao] Univ Lisbon, CQE, Inst Super Tecn, Av Rovisco Pais 1, P-1049001 Lisbon, Portugal; [Matos, Ana Rita] Univ Lisbon, Biosyst &amp; Integrat Sci Inst BioISI, Plant Funct Genom Grp, Dept Biol Vegetal,Fac Ciencias, P-1749016 Lisbon, Portugal; [Rosa, Rui] Univ Lisbon, Marine &amp; Environm Sci Ctr MARE, Lab Maritimo Guia, Fac Ciencias, Ave Nossa Senhora Cabo 939, P-2750374 Cascais, Portugal; [Marques, Joao Carlos] Univ Coimbra, Dept Zool, Marine &amp; Environm Sci Ctr MARE, Fac Ciencias &amp; Tecnol, P-3000 Coimbra, Portugal</t>
  </si>
  <si>
    <t>Universidade de Lisboa; Universidade de Lisboa; Instituto Portugues do Mar e da Atmosfera; Universidade de Aveiro; Universidade de Aveiro; Universidade de Lisboa; BIOISI; Universidade de Lisboa; Universidade de Lisboa; Universidade de Coimbra</t>
  </si>
  <si>
    <t>Duarte, B (corresponding author), Univ Lisbon, Marine &amp; Environm Sci Ctr MARE, Fac Ciencias, P-1749016 Lisbon, Portugal.</t>
  </si>
  <si>
    <t>baduarte@fc.ul.pt</t>
  </si>
  <si>
    <t>Pacheco, Mário Guilherme Garcês/G-5620-2016; Rosa, Rui/A-4580-2009; Goncalves, Fernando J. M./B-8000-2008; Pereira, Patrícia/G-3117-2014; Canário, João/O-7189-2019; Vidal, Tânia/B-7566-2014; Pacheco, Mario/GQH-1992-2022; Gameiro, Carla/B-5462-2012; Canário, João/B-1193-2008; Duarte, Bernardo/H-2001-2011; Pereira, Joana/IQT-1620-2023; Pereira, Joana Luísa/A-5003-2009; Marques, João Carlos/L-9478-2014; Cabrita, Maria Teresa/B-5746-2014; Cacador, Isabel/C-2618-2012</t>
  </si>
  <si>
    <t>Pacheco, Mário Guilherme Garcês/0000-0003-0552-9643; Rosa, Rui/0000-0003-2801-5178; Goncalves, Fernando J. M./0000-0002-9326-187X; Pereira, Patrícia/0000-0001-7613-0635; Canário, João/0000-0002-5190-446X; Vidal, Tânia/0000-0002-2846-1306; Pacheco, Mario/0000-0001-7581-1391; Gameiro, Carla/0000-0003-2396-3929; Canário, João/0000-0002-5190-446X; Duarte, Bernardo/0000-0003-1914-7435; Pereira, Joana Luísa/0000-0001-7573-6184; Marques, João Carlos/0000-0001-8865-8189; Cabrita, Maria Teresa/0000-0002-4323-4945; Matos, Ana Rita/0000-0002-3495-2195; Cacador, Isabel/0000-0002-4475-6091</t>
  </si>
  <si>
    <t>Fundacao para a Ciencia e a Tecnologia (FCT) at the Marine and Environmental Sciences Centre (MARE) [UID/MAR/04292/2013]; Fundacao para a Ciencia e a Tecnologia (FCT) at the Biosystems and Integrative Sciences Institute (BioISI) [UID/MULTI/04046/2013]; Fundacao para a Ciencia e a Tecnologia (FCT) at the Centre for Structural Chemistry (CQE) [UID/QUI/00100/2013]; Fundacao para a Ciencia e a Tecnologia (FCT) at the Centre for Environmental and Marine Studies (CESAM) (FCT/MCTES through national funds (PIDDAC)) [UID/AMB/50017 - POCI-01-0145-FEDER007638]; FEDER; FCT [SFRH/BPD/115162/2016, SFRH/BPD/94562/2013, SFRH/BPD/101971/2014, SFRH/BPD/107718/2015]; FCT; Compete 2020; Portuguese Polar Program; Comite Polar Espanol (CPE)</t>
  </si>
  <si>
    <t>Fundacao para a Ciencia e a Tecnologia (FCT) at the Marine and Environmental Sciences Centre (MARE); Fundacao para a Ciencia e a Tecnologia (FCT) at the Biosystems and Integrative Sciences Institute (BioISI); Fundacao para a Ciencia e a Tecnologia (FCT) at the Centre for Structural Chemistry (CQE); Fundacao para a Ciencia e a Tecnologia (FCT) at the Centre for Environmental and Marine Studies (CESAM) (FCT/MCTES through national funds (PIDDAC)); FEDER(European Union (EU)Spanish Government); FCT(Fundacao para a Ciencia e a Tecnologia (FCT)); FCT(Fundacao para a Ciencia e a Tecnologia (FCT)); Compete 2020; Portuguese Polar Program; Comite Polar Espanol (CPE)</t>
  </si>
  <si>
    <t>The authors would like to thank to the Fundacao para a Ciencia e a Tecnologia (FCT) for funding the research at the Marine and Environmental Sciences Centre (MARE) through the project UID/MAR/04292/2013, at the Biosystems and Integrative Sciences Institute (BioISI) through the project UID/MULTI/04046/2013, at the Centre for Structural Chemistry (CQE) throughout the project UID/QUI/00100/2013 and at the Centre for Environmental and Marine Studies (CESAM) throughout the project UID/AMB/50017 - POCI-01-0145-FEDER007638 (FCT/MCTES through national funds (PIDDAC), and the co-funding by the FEDER, within the PT2020 Partnership Agreement and Compete 2020). B. Duarte investigation was supported by FCT throughout a Postdoctoral grant (SFRH/BPD/115162/2016). T. Vidal, J.L. Pereira and P. Pereira are recipients of individual post -Doctoral research grants by FCT (SFRH/BPD/94562/2013, SFRH/BPD/101971/2014, SFRH/BPD/107718/2015, respectively). We also thank Dr. Susana Gonsalves for the assistance. Authors gratefully acknowledge the Portuguese Polar Program, the Spanish Gabriel de Castilla station staff, and the Comite Polar Espanol (CPE) for providing logistic and support. This work was part of the Hg-Planktarctic project funded by FCT through Programa Polar Portugues.</t>
  </si>
  <si>
    <t>0141-1136</t>
  </si>
  <si>
    <t>1879-0291</t>
  </si>
  <si>
    <t>MAR ENVIRON RES</t>
  </si>
  <si>
    <t>Mar. Environ. Res.</t>
  </si>
  <si>
    <t>10.1016/j.marenvres.2018.07.014</t>
  </si>
  <si>
    <t>Environmental Sciences; Marine &amp; Freshwater Biology; Toxicology</t>
  </si>
  <si>
    <t>Environmental Sciences &amp; Ecology; Marine &amp; Freshwater Biology; Toxicology</t>
  </si>
  <si>
    <t>GX2VZ</t>
  </si>
  <si>
    <t>WOS:000447579500040</t>
  </si>
  <si>
    <t>Gao, YS; Yang, LJ; Xie, ZQ; Emmerson, L; Southwell, C; Wang, YH; Sun, LG</t>
  </si>
  <si>
    <t>Gao, Yuesong; Yang, Lianjiao; Xie, Zhouqing; Emmerson, Louise; Southwell, Colin; Wang, Yuhong; Sun, Liguang</t>
  </si>
  <si>
    <t>Last Millennium Adelie Penguin Mortality and Colony Abandonment Events on Long Peninsula, East Antarctica</t>
  </si>
  <si>
    <t>penguin carcass; precipitation; zonal wave number 3 pattern; the Vestfold Hills; rapid deposition</t>
  </si>
  <si>
    <t>RADIOCARBON AGE CALIBRATION; SEA-LEVEL HISTORY; SOUTHERN ROSS SEA; TERRA-NOVA BAY; CLIMATE-CHANGE; VICTORIA LAND; SNOW ACCUMULATION; LATE-HOLOCENE; ORNITHOGENIC SOILS; WINDMILL ISLANDS</t>
  </si>
  <si>
    <t>The Adelie penguin (Pygoscelis adeliae) is sensitive to climatic and environmental changes, and paleoecological studies of Adelie penguins and their response to climatic forcing in maritime Antarctica usually address changes on long time scales. However, on Long Peninsula, East Antarctica, we identified numerous mummified Adelie penguin carcasses and phases of rapid sediment deposition at similar to 750 and similar to 200 years BP, indicating two multidecadal mass mortality events. Based upon chronological and sedimentary evidence, we propose that the two events were caused by heavy regional precipitation, which led to the abandonment of numerous penguin subcolonies. The anomalous precipitation was likely associated with the intensification of regional meridional air transport under a zonal wave number 3 pattern. Since such atmospheric conditions correspond to present-day observations, and are expected to persist if climate change continues, the mortality events revealed in this study could become an increasing threat to penguins.</t>
  </si>
  <si>
    <t>[Gao, Yuesong; Yang, Lianjiao; Xie, Zhouqing; Wang, Yuhong; Sun, Liguang] Univ Sci &amp; Technol China, Sch Earth &amp; Space Sci, Inst Polar Environm, Hefei, Anhui, Peoples R China; [Gao, Yuesong; Yang, Lianjiao; Xie, Zhouqing; Wang, Yuhong; Sun, Liguang] Univ Sci &amp; Technol China, Sch Earth &amp; Space Sci, Anhui Prov Key Lab Polar Environm &amp; Global Change, Hefei, Anhui, Peoples R China; [Emmerson, Louise; Southwell, Colin] Australian Antarctic Div, Kingston, Tas, Australia</t>
  </si>
  <si>
    <t>Chinese Academy of Sciences; University of Science &amp; Technology of China, CAS; Chinese Academy of Sciences; University of Science &amp; Technology of China, CAS; Australian Antarctic Division</t>
  </si>
  <si>
    <t>Xie, ZQ; Sun, LG (corresponding author), Univ Sci &amp; Technol China, Sch Earth &amp; Space Sci, Inst Polar Environm, Hefei, Anhui, Peoples R China.;Xie, ZQ; Sun, LG (corresponding author), Univ Sci &amp; Technol China, Sch Earth &amp; Space Sci, Anhui Prov Key Lab Polar Environm &amp; Global Change, Hefei, Anhui, Peoples R China.</t>
  </si>
  <si>
    <t>zqxie@ustc.edu.cn; slg@ustc.edu.cn</t>
  </si>
  <si>
    <t>xie, zhouqing/P-9661-2019; Gao, Yuesong/GRE-7726-2022</t>
  </si>
  <si>
    <t>National Key R&amp;D Program of the MOST of China [2018YFC1406905]; Chinese Arctic and Antarctic Administration; Chinese Polar Environment Comprehensive Investigation &amp; Assessment Programs (CHINARE2011-2018); International Cooperation in Polar Research [IC201604]; External Cooperation Program of BIC, CAS [211134KYSB20130012]; Australian Antarctic program Australian Antarctica Science Projects [4087, 4088]</t>
  </si>
  <si>
    <t>National Key R&amp;D Program of the MOST of China; Chinese Arctic and Antarctic Administration; Chinese Polar Environment Comprehensive Investigation &amp; Assessment Programs (CHINARE2011-2018); International Cooperation in Polar Research; External Cooperation Program of BIC, CAS; Australian Antarctic program Australian Antarctica Science Projects</t>
  </si>
  <si>
    <t>We thank Steven Emslie for reviewing the manuscript. We thank Renbin Zhu for providing some of the photographs. This study was funded by National Key R&amp;D Program of the MOST of China (2018YFC1406905), the Chinese Arctic and Antarctic Administration, Chinese Polar Environment Comprehensive Investigation &amp; Assessment Programs (CHINARE2011-2018), the International Cooperation in Polar Research (IC201604), and the External Cooperation Program of BIC, CAS (211134KYSB20130012). This investigation was also supported by the Australian Antarctic program Australian Antarctica Science Projects 4087 and 4088. All field procedures were approved by the Australian Antarctic Animal Ethics Committee (AAAEC). Sample information and data were issued by the Resource Sharing Platform of Polar Samples (http://birds.chinare.org.cn) and were maintained by Polar Research Institute of China (PRIC) and Chinese National Arctic &amp; Antarctic Data Center (CN-NADC).</t>
  </si>
  <si>
    <t>10.1029/2018JG004550</t>
  </si>
  <si>
    <t>WOS:000447644800015</t>
  </si>
  <si>
    <t>Kirtsideli, IY; Vlasov, DY; Novozhilov, YK; Abakumov, EV; Barantsevich, EP</t>
  </si>
  <si>
    <t>Kirtsideli, I. Yu.; Vlasov, D. Yu.; Novozhilov, Yu. K.; Abakumov, E. V.; Barantsevich, E. P.</t>
  </si>
  <si>
    <t>Assessment of Anthropogenic Influence on Antarctic Mycobiota in Areas of Russian Polar Stations</t>
  </si>
  <si>
    <t>CONTEMPORARY PROBLEMS OF ECOLOGY</t>
  </si>
  <si>
    <t>HEAVY-METAL CONTAMINATION; KING GEORGE ISLAND; ROSS SEA REGION; OLIGONUCLEOTIDE ARRAY; KARA SEA; SOILS; IDENTIFICATION; HYDROCARBONS; DIVERSITY; BIOREMEDIATION</t>
  </si>
  <si>
    <t>This article presents the results of microscopic fungi complexes in the areas of five Russian polar stations in East Antarctica and the Subantarctic. A total of 104 microfungal species have been identified. Seventy-seven fungal species have been detected in samples of soils and anthropogenic materials from polar stations of East Antarctica (Progress, Mirny, Molodezhnaya, and Druzhnaya 4) using mycological methods while, in the Bellingshausen station (Subantarctic), we have isolated 87 micromycete species. The number of fungi in soils varies from individual propagules in control soils to 94000 per 1 g of soil in contaminated areas. The largest number of species is represented by the genus Penicillium (26 species). Fungal species that form the core of mycobiota in most of the studied habitats have been identified. For soils of East Antarctica, it is formed by species of the genera Aureobasidium, Cadophora, Pseudogymnoascus (Geomyces), Thelebolus, and Phoma. Significant differences are established between the mycobiota of East Antarctica and that of the Subantarctic. At the same time, a general trend towards an increase in fungal species diversity and number in the areas of polar stations compared to the control (clean) sites for all studied areas is recorded. These data indicate that a significant part of micro-mycetes is introduced into the Antarctic by humans (anthropogenic invasion).</t>
  </si>
  <si>
    <t>[Kirtsideli, I. Yu.; Vlasov, D. Yu.; Novozhilov, Yu. K.] Russian Acad Sci, Komarov Bot Inst, St Petersburg 197376, Russia; [Vlasov, D. Yu.; Abakumov, E. V.] St Petersburg State Univ, St Petersburg 199034, Russia; [Barantsevich, E. P.] Russian Federat Minist Hlth, Almazov Northwestern Fed Med Res Ctr, St Petersburg 197341, Russia</t>
  </si>
  <si>
    <t>Russian Academy of Sciences; Komarov Botanical Institute, Russian Academy of Sciences; Saint Petersburg State University; Almazov National Medical Research Centre; Ministry of Health of the Russian Federation</t>
  </si>
  <si>
    <t>Kirtsideli, IY (corresponding author), Russian Acad Sci, Komarov Bot Inst, St Petersburg 197376, Russia.</t>
  </si>
  <si>
    <t>microfungi@mail.ru</t>
  </si>
  <si>
    <t>Abakumov, e_abakumov@mail.ru/ADJ-1297-2022; Abakumov, Evgeny/AAO-8580-2020; Kirtsideli, Irina Yu/K-2072-2018; Vlasov, Dmitry/J-8866-2013</t>
  </si>
  <si>
    <t>Abakumov, e_abakumov@mail.ru/0000-0002-5248-9018; Abakumov, Evgeny/0000-0002-5248-9018; Vlasov, Dmitry/0000-0002-0455-1462; Vlasov, Dmitry/0000-0001-9763-9078</t>
  </si>
  <si>
    <t>Russian Foundation for Basic Research [16-04-01649]; Basic Research Program of the Presidium of the Russian Academy of Sciences</t>
  </si>
  <si>
    <t>Russian Foundation for Basic Research(Russian Foundation for Basic Research (RFBR)Spanish Government); Basic Research Program of the Presidium of the Russian Academy of Sciences(Russian Academy of Sciences)</t>
  </si>
  <si>
    <t>This study was carried out as part of the state assignment according to the thematic plan of the Botanical Institute of the Russian Academy of Sciences (theme no. 01201255604) and was supported by the Russian Foundation for Basic Research, project no. 16-04-01649 and the Basic Research Program of the Presidium of the Russian Academy of Sciences.</t>
  </si>
  <si>
    <t>1995-4255</t>
  </si>
  <si>
    <t>1995-4263</t>
  </si>
  <si>
    <t>CONTEMP PROBL ECOL+</t>
  </si>
  <si>
    <t>Contemp. Probl. Ecol.</t>
  </si>
  <si>
    <t>10.1134/S1995425518050074</t>
  </si>
  <si>
    <t>GX5TW</t>
  </si>
  <si>
    <t>WOS:000447814900002</t>
  </si>
  <si>
    <t>Shiryaev, AG; Zmitrovich, IV; Ezhov, ON</t>
  </si>
  <si>
    <t>Shiryaev, A. G.; Zmitrovich, I. V.; Ezhov, O. N.</t>
  </si>
  <si>
    <t>Taxonomic and Ecological Structure of Basidial Macromycetes Biota in Polar Deserts of the Northern Hemisphere</t>
  </si>
  <si>
    <t>Arctic; adaptation; biogeography; diversity; fungal ecology; extreme climate; Basidiomycota</t>
  </si>
  <si>
    <t>FRANZ-JOSEF LAND; DIVERSITY; FUNGI; ANTARCTICA; SVALBARD; TUNDRA; ZONE</t>
  </si>
  <si>
    <t>The results of a study of the more than century-long history of taxonomic and ecological structures of basidial macromycete biota in polar deserts of the Northern Hemisphere are discussed. Nowadays, 77 species of macromycetes are known from this region, 40 species of which are agaricoid fungi, 30 are aphyllophoroid, and 7 are gasteromycetes. The highest number of species is known for the Franz Josef Land archipelago and Severanya Zemlya. All the identified species of agaricoid and 86% of gasteroid fungi are native representatives from extremely high latitudes collected under natural conditions, whereas 80% of the aphyllophoroid fungi are alien elements. All alien species are able to exist in the region exclusively in human-modified habitats, colonizing anthropogenic woody and grass substrates, and they disappear with the depletion of these resources. Despite the existence of mycobiota at the limit of the global thermal gradient, a specific species complex of macromycetes that does not occur anywhere in the world is formed here. Symbiotrophic species (basidial lichens and mycorrhiza-formers) are the most adaptable to such extreme conditions. General features of the organization with Antarctic mycobiota are established. The possibility that new species will appear in the region is discussed in connection with the intensification of human economic activity and global climate change.</t>
  </si>
  <si>
    <t>[Shiryaev, A. G.] Russian Acad Sci, Ural Branch, Inst Plant &amp; Anim Ecol, Ekaterinburg 620144, Russia; [Zmitrovich, I. V.] Russian Acad Sci, Komarov Bot Garden, St Petersburg 197376, Russia; [Ezhov, O. N.] Russian Acad Sci, Laverov Fed Res Ctr Integrated Studies Arctic, Arkhangelsk 163000, Russia; [Ezhov, O. N.] Russian Arctic Natl Pk, Arkhangelsk 163000, Russia</t>
  </si>
  <si>
    <t>Russian Academy of Sciences; Institute of Plant &amp; Animal Ecology of the Russian Academy of Sciences; Russian Academy of Sciences; N. Laverov Federal Center for Integrated Arctic Research; Russian Academy of Sciences</t>
  </si>
  <si>
    <t>Shiryaev, AG (corresponding author), Russian Acad Sci, Ural Branch, Inst Plant &amp; Anim Ecol, Ekaterinburg 620144, Russia.</t>
  </si>
  <si>
    <t>anton.g.shiryaev@gmail.com</t>
  </si>
  <si>
    <t>Shiryaev, Anton/S-4395-2017; Ezhov, Oleg/AHE-6112-2022; Zmitrovich, Ivan/I-1523-2013</t>
  </si>
  <si>
    <t>Ezhov, Oleg/0000-0003-0634-0834; Zmitrovich, Ivan/0000-0002-3927-2527</t>
  </si>
  <si>
    <t>Russian Foundation for Basic Research [18-05-00398]</t>
  </si>
  <si>
    <t>We are grateful to O.G. Dobrovolskii (Norilsk), A.N. Shuman (Krasnoyarsk), S.V. Malen'kih (Yekaterinburg), H. Kotiranta (Helsinki), E. Okhenoiya (Oulu), H. Knudsen (Copenhagen), and M. Skierli (Tromso) for help in collecting material and information on the occurrence of some species. We are grateful to R.V. Ershova and M.V. Gavrilo for help in organizing research. The research by A.G. Shiryaev was supported by the Russian Foundation for Basic Research, project no. 18-05-00398. The study by I.V. Zmitrovich was carried out within the framework of the state task of the Komarov Botanical Institute, Russian Academy of Sciences Biodiversity and Spatial Structure of Fungi and Myxomycete Communities in Natural and Anthropogenic Ecosystems. The study by O.N. Ezhov was conducted as part of topic no. 0409-2015-0141 Structure and Variability of Populations of Forest Communities in the Northern Arctic Regions of the Russian Plain (state registration no. AAAA-A18-118011690221-0).</t>
  </si>
  <si>
    <t>10.1134/S1995425518050086</t>
  </si>
  <si>
    <t>WOS:000447814900003</t>
  </si>
  <si>
    <t>Flynn, DJH; Lynch, TP; Barrett, NS; Wong, LSC; Devine, C; Hughes, D</t>
  </si>
  <si>
    <t>Flynn, David J. H.; Lynch, Tim P.; Barrett, Neville S.; Wong, Lincoln S. C.; Devine, Carlie; Hughes, David</t>
  </si>
  <si>
    <t>Gigapixel big data movies provide cost-effective seascape scale direct measurements of open-access coastal human use such as recreational fisheries</t>
  </si>
  <si>
    <t>big data; coastal; CSIRO Ruggerdised Autonomous Gigapixel System; GigaPan; open-access fisheries; photomosaic; remote sensing; southern bluefin tuna; time interval count; time-lapse</t>
  </si>
  <si>
    <t>MARINE PROTECTED AREAS; CREEL SURVEY METHOD; FISHING EFFORT; EASTERN AUSTRALIA; ARTIFICIAL REEF; PILOT SURVEYS; SURVEY DESIGN; TIME-SERIES; MANAGEMENT; CAMERAS</t>
  </si>
  <si>
    <t>Collecting data on unlicensed open-access coastal activities, such as some types of recreational fishing, has often relied on telephone interviews selected from landline directories. However, this approach is becoming obsolete due to changes in communication technology such as a switch to unlisted mobile phones. Other methods, such as boat ramp interviews, are often impractical due to high labor cost. We trialed an autonomous, ultra-high-resolution photosampling method as a cost effect solution for direct measurements of a recreational fishery. Our sequential photosampling was batched processed using a novel software application to produce big data time series movies from a spatial subset of the fishery, and we validated this with a regional bus-route survey and interviews with participants at access points. We also compared labor costs between these two methods. Most trailer boat users were recreational fishers targeting tuna spp. Our camera system closely matched trends in temporal variation from the larger scale regional survey, but as the camera data were at much higher frequency, we could additionally describe strong, daily variability in effort. Peaks were normally associated with weekends, but consecutive weekend tuna fishing competitions led to an anomaly of high effort across the normal weekday lulls. By reducing field time and batch processing imagery, Monthly labor costs for the camera sampling were a quarter of the bus-route survey; and individual camera samples cost 2.5% of bus route samples to obtain. Gigapixel panoramic camera observations of fishing were representative of the temporal variability of regional fishing effort and could be used to develop a cost-efficient index. High-frequency sampling had the added benefit of being more likely to detect abnormal patterns of use. Combinations of remote sensing and on-site interviews may provide a solution to describing highly variable effort in recreational fisheries while also validating activity and catch.</t>
  </si>
  <si>
    <t>[Flynn, David J. H.; Lynch, Tim P.; Wong, Lincoln S. C.; Devine, Carlie; Hughes, David] CSIRO Oceans &amp; Atmosphere, Hobart, Tas 7000, Australia; [Flynn, David J. H.; Barrett, Neville S.; Wong, Lincoln S. C.] Univ Tasmania, Inst Marine &amp; Antarctic Studies, Hobart, Tas, Australia</t>
  </si>
  <si>
    <t>Commonwealth Scientific &amp; Industrial Research Organisation (CSIRO); University of Tasmania</t>
  </si>
  <si>
    <t>Lynch, TP (corresponding author), CSIRO Oceans &amp; Atmosphere, Hobart, Tas 7000, Australia.</t>
  </si>
  <si>
    <t>tim.lynch@csiro.au</t>
  </si>
  <si>
    <t>; Barrett, Neville/J-7593-2014</t>
  </si>
  <si>
    <t>, Carlie/0000-0003-1397-7446; Lynch, Tim/0000-0002-5346-8454; Barrett, Neville/0000-0002-6167-1356</t>
  </si>
  <si>
    <t>University of Tasmania: Part of the IMAS Honours Project; The Coasts Program; CSIRO CAPEX Gigapan ruggerdization MkII [2014/15]</t>
  </si>
  <si>
    <t>University of Tasmania: Part of the IMAS Honours Project; The Coasts Program; CSIRO CAPEX Gigapan ruggerdization MkII</t>
  </si>
  <si>
    <t>University of Tasmania: Part of the IMAS Honours Project; The Coasts Program; CSIRO CAPEX Gigapan ruggerdization MkII 2014/15</t>
  </si>
  <si>
    <t>10.1002/ece3.4301</t>
  </si>
  <si>
    <t>GX5BS</t>
  </si>
  <si>
    <t>WOS:000447756100021</t>
  </si>
  <si>
    <t>Lau, SCY; Grange, LJ; Peck, LS; Reed, AJ</t>
  </si>
  <si>
    <t>Lau, Sally C. Y.; Grange, Laura J.; Peck, Lloyd S.; Reed, Adam J.</t>
  </si>
  <si>
    <t>The reproductive ecology of the Antarctic bivalve Aequiyoldia eightsii (Protobranchia: Sareptidae) follows neither Antarctic nor taxonomic patterns</t>
  </si>
  <si>
    <t>Antarctic; Marine; Invertebrate; Bivalve; Interannual; Reproduction</t>
  </si>
  <si>
    <t>KING-GEORGE ISLAND; LATERNULA-ELLIPTICA; GAMETOGENIC ECOLOGY; INFAUNAL BIVALVE; YOLDIA-EIGHTSI; SEASONAL-VARIATION; PERICALYMMA LARVA; SIGNY ISLAND; MASS CYCLES; WEDDELL SEA</t>
  </si>
  <si>
    <t>The accepted paradigm for reproduction in Antarctic marine species is one where oogenesis takes 18 months to 2 years, and a bimodal egg-size distribution where two cohorts of eggs are present in female gonads throughout the year. These slow gametogenic traits are driven by low temperature and/or the restriction of resource availability because of extreme seasonality in the marine environment. Here we present data on the reproductive ecology of the common Antarctic bivalve Aequiyoldia eightsii (Jay, 1839) (Protobranchia: Sarepidae) from monthly samples collected between January 2013 and May 2014 at Hangar Cove, Rothera Point on the West Antarctic Peninsula. These data show that A. eightsii is unusual because it does not follow the typical pattern expected for reproduction in Antarctic marine invertebrates, and differs also from closely related nuculanid protobranch bivalves with respect to gametogenic duration and reproductive periodicity. Continuous oogenesis, evidenced by the year-round occurrence of previtellogenic, vitellogenic, and ripe oocytes in female gonads, is supplemented by a seasonal increase in reproductive intensity and spawning in Austral winter (April-May), evidenced by the loss of mature spermatozoa and ripe oocytes from males and females, respectively. The simultaneous occurrence of these contrasting traits in individuals is attributed to a flexible feeding strategy (suspension and deposit feeding) in response to seasonal changes in food supply characteristic of the Antarctic marine environment. Asynchrony between individual females is also notable. We hypothesise that the variability may represent a trade-off between somatic and reproductive growth, and previously reported internal interannual cycles in shell growth.</t>
  </si>
  <si>
    <t>[Lau, Sally C. Y.; Grange, Laura J.; Reed, Adam J.] Univ Southampton, Natl Oceanog Ctr Southampton, Ocean &amp; Earth Sci, European Way, Southampton SO14 3ZH, Hants, England; [Peck, Lloyd S.] British Antarctic Survey, Nat Environm Res Council, Madingley Rd, Cambridge CB3 0ET, England</t>
  </si>
  <si>
    <t>University of Southampton; NERC National Oceanography Centre; UK Research &amp; Innovation (UKRI); Natural Environment Research Council (NERC); NERC British Antarctic Survey</t>
  </si>
  <si>
    <t>Reed, AJ (corresponding author), Univ Southampton, Natl Oceanog Ctr Southampton, Ocean &amp; Earth Sci, European Way, Southampton SO14 3ZH, Hants, England.</t>
  </si>
  <si>
    <t>ajr104@soton.ac.uk</t>
  </si>
  <si>
    <t>Reed, Adam/Q-7276-2017</t>
  </si>
  <si>
    <t>Reed, Adam/0000-0003-2200-5067; Lau, Sally/0000-0002-4955-2530</t>
  </si>
  <si>
    <t>Natural Environment Research Council; NERC [bas0100036] Funding Source: UKRI</t>
  </si>
  <si>
    <t>Natural Environment Research Council(UK Research &amp; Innovation (UKRI)Natural Environment Research Council (NERC)); NERC(UK Research &amp; Innovation (UKRI)Natural Environment Research Council (NERC))</t>
  </si>
  <si>
    <t>We thank the Natural Environment Research Council for support via core resources to the British Antarctic Survey. We also thank the Rothera marine assistant and dive team for assistance with collection and preservation of specimens.</t>
  </si>
  <si>
    <t>10.1007/s00300-018-2309-2</t>
  </si>
  <si>
    <t>hybrid, Green Submitted, Green Accepted</t>
  </si>
  <si>
    <t>WOS:000447600600004</t>
  </si>
  <si>
    <t>Carlig, E; Di Blasi, D; Ghigliotti, L; Pisano, E; Faimali, M; O'Driscoll, R; Parker, S; Vacchi, M</t>
  </si>
  <si>
    <t>Carlig, Erica; Di Blasi, Davide; Ghigliotti, Laura; Pisano, Eva; Faimali, Marco; O'Driscoll, Richard; Parker, Steve; Vacchi, Marino</t>
  </si>
  <si>
    <t>Diversification of feeding structures in three adult Antarctic nototheniid fish</t>
  </si>
  <si>
    <t>Antarctic fishes; Nototheniidae; Ecomorphology; Jaw mechanics; Gill rakers; Feeding strategy</t>
  </si>
  <si>
    <t>TOOTHFISH DISSOSTICHUS-MAWSONI; TREMATOMUS-BERNACCHII PISCES; GILL RAKER MORPHOLOGY; ROSS SEA REGION; TERRA-NOVA BAY; CENTRARCHID FISHES; CLIMATE-CHANGE; EVOLUTION; ECOLOGY; DIET</t>
  </si>
  <si>
    <t>During their evolution and speciation in the Antarctic waters, notothenioid fish occupied a variety of habitats and ecological niches. The diversification led to important variations in several morphological features related to particular aspects of their ecologies. We investigated the feeding structures and biomechanics of three phylogenetically related species (family Nototheniidae) with different ecologies: the bentho-pelagic Antarctic toothfish Dissostichus mawsoni, the pelagic Antarctic silverfish Pleuragramma antarctica, and the benthic emerald rockcod Trematomus bernacchii. The suction index (SI), the mechanical advantage in jaw closing (MA), and 14 morphological traits related to their feeding activity were analyzed. Significant differences among the species were found for all the parameters considered, supporting a high level of specialization.</t>
  </si>
  <si>
    <t>[Carlig, Erica; Di Blasi, Davide; Ghigliotti, Laura; Pisano, Eva; Faimali, Marco; Vacchi, Marino] Natl Res Council CNR, Inst Marine Sci ISMAR, Via De Marini 6, I-16149 Genoa, Italy; [O'Driscoll, Richard; Parker, Steve] Natl Inst Water &amp; Atmospher Res Ltd, Private Bag 14901, Wellington, New Zealand</t>
  </si>
  <si>
    <t>Consiglio Nazionale delle Ricerche (CNR); Istituto di Scienze Marine (ISMAR-CNR); National Institute of Water &amp; Atmospheric Research (NIWA) - New Zealand</t>
  </si>
  <si>
    <t>Carlig, E (corresponding author), Natl Res Council CNR, Inst Marine Sci ISMAR, Via De Marini 6, I-16149 Genoa, Italy.</t>
  </si>
  <si>
    <t>ericacarlig@virgilio.it</t>
  </si>
  <si>
    <t>Ghigliotti, Laura/AAN-6843-2021; Faimali, Marco/AAK-5723-2021; Faimali, Marco/B-7191-2008; Ghigliotti, Laura/J-3076-2012; Di Blasi, Davide/AAV-5937-2021</t>
  </si>
  <si>
    <t>Ghigliotti, Laura/0000-0003-2139-1381; Faimali, Marco/0000-0001-5558-3555; Carlig, Erica/0000-0002-8537-8971</t>
  </si>
  <si>
    <t>Italian National Programme for Antarctic Research (PNRA) [2013/AZ1.18, 2015/B1.02]; Antarctica New Zealand; Australian Antarctic Division; NIWA; New Zealand Ministry for Business, Innovation and Employment; New Zealand Ministry for Primary Industries [ANT201501]</t>
  </si>
  <si>
    <t>Italian National Programme for Antarctic Research (PNRA); Antarctica New Zealand; Australian Antarctic Division; NIWA; New Zealand Ministry for Business, Innovation and Employment(New Zealand Ministry of Business, Innovation and Employment (MBIE)); New Zealand Ministry for Primary Industries</t>
  </si>
  <si>
    <t>The study was supported by the Italian National Programme for Antarctic Research (PNRA) projects 2013/AZ1.18 (RAISE) and 2015/B1.02 (DISMAS), and contributes to the SCAR Scientific Research Program AnT-ERA (Antarctic Thresholds - Ecosystem Resilience and Adaptation). The New Zealand-Australian Antarctic Ecosystems voyage on Tangaroa was jointly funded by Antarctica New Zealand, Australian Antarctic Division, NIWA, and the New Zealand Ministry for Business, Innovation and Employment. The voyage to collect D. mawsoni in the northern Ross Sea was funded by the New Zealand Ministry for Primary Industries under contract ANT201501.</t>
  </si>
  <si>
    <t>10.1007/s00300-018-2310-9</t>
  </si>
  <si>
    <t>WOS:000447600600005</t>
  </si>
  <si>
    <t>Ghigliotti, L; Ferrando, S; Di Blasi, D; Carlig, E; Gallus, L; Stevens, D; Vacchi, M; Parker, SJ</t>
  </si>
  <si>
    <t>Ghigliotti, Laura; Ferrando, Sara; Di Blasi, Davide; Carlig, Erica; Gallus, Lorenzo; Stevens, Darren; Vacchi, Marino; Parker, Steven J.</t>
  </si>
  <si>
    <t>Surface egg structure and early embryonic development of the Antarctic toothfish, Dissostichus mawsoni Norman 1937</t>
  </si>
  <si>
    <t>Chorion; SEM; Notothenioidei; Spawning; Reproduction</t>
  </si>
  <si>
    <t>FISH EGGS; EARLY ONTOGENY; LIFE-HISTORY; ROSS SEA; CHORION; BUOYANCY; ULTRASTRUCTURE; MORPHOLOGY; TELEOSTEI; BIOLOGY</t>
  </si>
  <si>
    <t>The Antarctic toothfish (Dissostichus mawsoni Norman 1937) is the largest notothenioid inhabiting high-latitude Antarctic waters, where it is an important fishery resource and plays a key ecological role at a high trophic level. Despite the considerable amount of data on D. mawsoni biology and distribution developed since the fishery began in 1997, crucial aspects of the life cycle, including spawning and early life history, remain undescribed. During the first winter longline survey to the northern Ross Sea region in 2016, ripe male and female D. mawsoni were collected for the first time, and in vitro fertilisation of eggs was performed. Here, we report on the first characterisation of D. mawsoni egg structure and initial embryonic development. The duration of the egg cleavage period was similar to that of other nototheniid species releasing pelagic eggs. The structural features of fertilised eggs, including chorion thickness and structure, support the hypothesis that eggs of D. mawsoni are pelagic. The data presented here contribute to the description of the potential habitat of the eggs of this species, and provide the first diagnostic information to recognise the eggs of D. mawsoni.</t>
  </si>
  <si>
    <t>[Ghigliotti, Laura; Di Blasi, Davide; Carlig, Erica; Vacchi, Marino] Natl Res Council Italy CNR, Inst Marine Sci ISMAR, Via de Marini 6, I-16149 Genoa, Italy; [Ferrando, Sara; Gallus, Lorenzo] Univ Genoa, Dept Earth Environm &amp; Life Sci DISTAV, Viale Benedetto XV 5, I-16132 Genoa, Italy; [Stevens, Darren] Natl Inst Water &amp; Atmospher Res, Private Bag 14901, Wellington, New Zealand; [Parker, Steven J.] Natl Inst Water &amp; Atmospher Res NIWA, POB 893, Nelson, New Zealand</t>
  </si>
  <si>
    <t>Consiglio Nazionale delle Ricerche (CNR); Istituto di Scienze Marine (ISMAR-CNR); University of Genoa; National Institute of Water &amp; Atmospheric Research (NIWA) - New Zealand</t>
  </si>
  <si>
    <t>Ghigliotti, L (corresponding author), Natl Res Council Italy CNR, Inst Marine Sci ISMAR, Via de Marini 6, I-16149 Genoa, Italy.</t>
  </si>
  <si>
    <t>laura.ghigliotti@ge.ismar.cnr.it</t>
  </si>
  <si>
    <t>Di Blasi, Davide/AAV-5937-2021; Ghigliotti, Laura/AAN-6843-2021; Ghigliotti, Laura/J-3076-2012; Ferrando, Sara/AAC-9934-2022</t>
  </si>
  <si>
    <t>Ghigliotti, Laura/0000-0003-2139-1381; Ferrando, Sara/0000-0002-5781-9709</t>
  </si>
  <si>
    <t>New Zealand Ministry for Primary Industries [ANT201501]; Italian National Programme for Antarctic Research (PNRA) [2015/B1.02]</t>
  </si>
  <si>
    <t>New Zealand Ministry for Primary Industries; Italian National Programme for Antarctic Research (PNRA)</t>
  </si>
  <si>
    <t>Toothfish egg collection was made possible by funding from the New Zealand Ministry for Primary Industries under contract ANT201501, and with excellent technical support by the Captain and crew of the FV Janas and Talleys fisheries, LTD. The study supported by the Italian National Programme for Antarctic Research (PNRA) project 2015/B1.02 contributes to the SCAR Scientific Research Program AnT-ERA (Antarctic Thresholds - Ecosystem Resilience and Adaptation).</t>
  </si>
  <si>
    <t>10.1007/s00300-018-2311-8</t>
  </si>
  <si>
    <t>WOS:000447600600006</t>
  </si>
  <si>
    <t>Dopchiz, LP; Ansaldo, M; Genovese, G</t>
  </si>
  <si>
    <t>Dopchiz, Laura P.; Ansaldo, Martin; Genovese, Griselda</t>
  </si>
  <si>
    <t>Gonadal histology and gametogenesis of the Antarctic limpet Nacella concinna (Patellogastropoda, Nacellidae) collected at Potter Cove, 25 de Mayo (King George) Island, during austral summer</t>
  </si>
  <si>
    <t>Nacella concinna; Gametogenesis; Internal fertilization; Meiosis</t>
  </si>
  <si>
    <t>SOUTH SHETLAND ISLANDS; DIGESTIVE GLAND; FERTILIZATION SUCCESS; REPRODUCTIVE-CYCLES; GASTROPODA; MOLLUSCA; STREBEL; PATELLA; BIOLOGY; SPERMATOGENESIS</t>
  </si>
  <si>
    <t>The limpet Nacella concinna is one of the most widely distributed gastropods along the Antarctic Peninsula. This species has been a useful tool in ecological and physiological studies for understanding Antarctic trophic interactions. Although the reproduction of limpets has been thoroughly studied, very little is known about gametogenesis in the genus Nacella. The purpose of this study is to describe the gonadal morphology and gametogenesis in N. concinna observed by light microscopy and to determine its chromosome complement. All the limpets were sexually mature at the time of sampling. Oocytes were separated by trabeculae with abundant glycogen reserves. There was a predominance of late vitellogenic oocytes. Many previtellogenic oocytes were pyriform in shape. Oogonia were clustered near the ovary wall or the trabeculae. Only two meiotic stages were found: metaphase I and anaphase I, both of which showed a regular arrangement of chromosomes. The oviduct contained mature oocytes surrounded by sperm. Testicular tubules were filled with spermatozoa. The elongated head of the spermatozoon resembles that of other Nacellidae members. One of the bivalents is heteropycnotic. The haploid complement is n=4 and the sex determination system is XO/XX. Although N. concinna has been commonly characterized as a broadcast-spawner, its unique spawning behavior, the presence of oocytes at anaphase I and spermatozoa within the oviduct suggests internal fertilization.</t>
  </si>
  <si>
    <t>[Dopchiz, Laura P.; Ansaldo, Martin] Inst Antartico Argentino, Lab Ecofisiol &amp; Ecotoxicol, 25 Mayo 1143,Gen San Martin,B1650HML, Buenos Aires, DF, Argentina; [Genovese, Griselda] Univ Buenos Aires, Fac Ciencias Exactas &amp; Nat, Dept Biodiversidad &amp; Biol Expt, Lab Ecotoxicol Acuat,CONICET,IBBEA, C1428EGA, RA-2160 Buenos Aires, DF, Argentina</t>
  </si>
  <si>
    <t>Instituto Antartico Argentino; University of Buenos Aires; Consejo Nacional de Investigaciones Cientificas y Tecnicas (CONICET)</t>
  </si>
  <si>
    <t>Ansaldo, M (corresponding author), Inst Antartico Argentino, Lab Ecofisiol &amp; Ecotoxicol, 25 Mayo 1143,Gen San Martin,B1650HML, Buenos Aires, DF, Argentina.;Genovese, G (corresponding author), Univ Buenos Aires, Fac Ciencias Exactas &amp; Nat, Dept Biodiversidad &amp; Biol Expt, Lab Ecotoxicol Acuat,CONICET,IBBEA, C1428EGA, RA-2160 Buenos Aires, DF, Argentina.</t>
  </si>
  <si>
    <t>martinansaldo@gmail.com; grigenovese@gmail.com</t>
  </si>
  <si>
    <t>FONCyT/DNA-IAA [PICTO 0091]</t>
  </si>
  <si>
    <t>FONCyT/DNA-IAA</t>
  </si>
  <si>
    <t>We thank the staff of the Instituto Antartico Argentino for sampling assistance. We acknowledge Dr. Silvia Pietrokovsky who helped in revising the language of the manuscript. Financial support by FONCyT/DNA-IAA under grant PICTO 0091 is gratefully acknowledged.</t>
  </si>
  <si>
    <t>10.1007/s00300-018-2314-5</t>
  </si>
  <si>
    <t>WOS:000447600600009</t>
  </si>
  <si>
    <t>Chong, CW; Silvaraj, S; Supramaniam, Y; Snapes, I; Tan, IKP</t>
  </si>
  <si>
    <t>Chong, C. W.; Silvaraj, S.; Supramaniam, Y.; Snapes, I.; Tan, I. K. P.</t>
  </si>
  <si>
    <t>Effect of temperature on bacterial community in petroleum hydrocarbon-contaminated and uncontaminated Antarctic soil</t>
  </si>
  <si>
    <t>Antarctic soil; Bacterial community plasticity; Functional gene abundance; Soil microcosm</t>
  </si>
  <si>
    <t>DRY VALLEY SOILS; MICROBIAL COMMUNITIES; DIVERSITY; BIOREMEDIATION; STATION; SPILLS; GENES; ENVIRONMENTS; BIODIVERSITY; DEGRADATION</t>
  </si>
  <si>
    <t>It is generally accepted that bacterial diversity in a community confers resistance to environmental perturbation. Communities with high bacterial diversity are less likely to be impacted by environmental changes such as warming. As such, hydrocarbon-contaminated Antarctic soil that are typically characterised by low bacterial diversity and highly selective taxonomic composition are expected to be more sensitive to changes in temperature than uncontaminated Antarctic soil. To test this hypothesis, we evaluated the response of bacterial community structure to warming of hydrocarbon-contaminated and uncontaminated soil collected from Casey Station, Windmill Island, East Antarctica by using microcosms incubated at 5, 10 and 15 degrees C over a period of 12 weeks. Our results showed that shifts occurred in the bacterial community in relation to the incubation temperatures in both the hydrocarbon-contaminated and uncontaminated soil, with a stronger response observed in the contaminated soil. Taxa referred as comprising hydrocarbon-degrading genera such as Rhodococcus, was the most prevalent genus in the contaminated soil after incubation at 15 degrees C, accounting for approximately 32-50% of the total detected genera. However, there were no significant differences in the selected functional genes, potentially suggesting high levels of metabolic plasticity in the studied soil bacterial communities. Overall, we showed that hydrocarbon contamination in soil might lead to lower bacterial community stability against environmental perturbation such as temperature variation.</t>
  </si>
  <si>
    <t>[Chong, C. W.] Int Med Univ, Sch Pharm, Dept Life Sci, Kuala Lumpur 57000, Malaysia; [Chong, C. W.] Int Med Univ, Inst Res Dev &amp; Innovat, Ctr Translat Res, Kuala Lumpur 57000, Malaysia; [Silvaraj, S.; Supramaniam, Y.; Tan, I. K. P.] Univ Malaya, Inst Grad Studies, Natl Antarctic Res Ctr, Kuala Lumpur 50603, Malaysia; [Supramaniam, Y.; Tan, I. K. P.] Univ Malaya, Inst Biol Sci, Fac Sci, Kuala Lumpur 50603, Malaysia; [Snapes, I.] Australian Antarctic Div, Kingston, Tas 7054, Australia</t>
  </si>
  <si>
    <t>International Medical University Malaysia; International Medical University Malaysia; Universiti Malaya; Universiti Malaya; Australian Antarctic Division</t>
  </si>
  <si>
    <t>Chong, CW (corresponding author), Int Med Univ, Sch Pharm, Dept Life Sci, Kuala Lumpur 57000, Malaysia.;Chong, CW (corresponding author), Int Med Univ, Inst Res Dev &amp; Innovat, Ctr Translat Res, Kuala Lumpur 57000, Malaysia.</t>
  </si>
  <si>
    <t>ChongChunWie@imu.edu.my</t>
  </si>
  <si>
    <t>Tan, Irene Kit Ping/B-8661-2010; Chong, Chun Wie/ABG-7676-2020</t>
  </si>
  <si>
    <t>Tan, Irene Kit Ping/0000-0001-9601-5810; Chong, Chun Wie/0000-0002-6881-8883</t>
  </si>
  <si>
    <t>Australian Antarctic Division through Australian Antarctic Science Project [4036]; UMRG [RP007-2012B]; YPASM [IMUR121/12]; University of Malaya; International Medical University</t>
  </si>
  <si>
    <t>Australian Antarctic Division through Australian Antarctic Science Project; UMRG; YPASM; University of Malaya(Universiti Malaya); International Medical University</t>
  </si>
  <si>
    <t>The HC and UC Antarctic soils were kindly provided by the Australian Antarctic Division through Australian Antarctic Science Project #4036 (Remediation of Petroleum Contaminants in the Antarctic and subantarctic). This work was funded by UMRG (RP007-2012B) and YPASM fellowship (IMUR121/12). The authors thank University of Malaya and International Medical University for providing research facility and support.</t>
  </si>
  <si>
    <t>10.1007/s00300-018-2316-3</t>
  </si>
  <si>
    <t>WOS:000447600600010</t>
  </si>
  <si>
    <t>La Mesa, M; Donato, F; Riginella, E; Mazzoldi, C</t>
  </si>
  <si>
    <t>La Mesa, Mario; Donato, Fortunata; Riginella, Emilio; Mazzoldi, Carlotta</t>
  </si>
  <si>
    <t>Life history traits of a poorly known pelagic fish, Aethotaxis mitopteryx (Perciformes, Notothenioidei) from the Weddell Sea</t>
  </si>
  <si>
    <t>Life strategies; Age and growth; Reproduction; Nototheniid; Weddell sea</t>
  </si>
  <si>
    <t>TOOTHFISH DISSOSTICHUS-MAWSONI; SOUTH SHETLAND ISLANDS; ANTARCTIC FISHES; ROSS SEA; PATAGONIAN TOOTHFISH; AGE; GROWTH; BUOYANCY; BIOLOGY; ECOLOGY</t>
  </si>
  <si>
    <t>Amongst the nototheniid subfamily Pleuragramminae, Aethotaxis mitopteryx is an infrequently collected high Antarctic species with an array of morphological and physiological adaptations supporting an evolutionarily derived benthopelagic lifestyle. The present study deals with some poorly known life history traits of this species, counting on 79 specimens collected in the Weddell Sea during 2014 and 2015 austral summer Annulation pattern in sagittal otoliths were used to assess population age structure and growth rate, while macroscopic and histological analyses of gonads were performed to estimate reproductive status and features of gametogenesis. The sex ratio of the sampled population was close to parity, with females significantly larger than males. Based on the von Bertalanffy growth model, females attained a larger maximum size (40 vs. 27 cm) at a lower rate (0.05 vs. 0.12 years(-1)) than males. Individual longevity was remarkable in both sexes, females and males attaining 62 and 32 years of age, respectively. Females showed group synchronous oocyte development and presumed high reproductive effort, as indicated by the large size of residual hydrated oocytes in regressing individuals (4.6-4.8 mm). Body sizes at sexual maturity were 33 and 19 cm in females and males, corresponding to 32 and 11 years of age, respectively. All specimens were caught far from the reproductive season. From an evolutionary perspective, it appears that the process of pelagization similarly influenced the life strategies of the species within the Glade Pleuragramminae, which shared high reproductive effort linked to early sexual maturity, slow somatic growth and long life span.</t>
  </si>
  <si>
    <t>[La Mesa, Mario; Donato, Fortunata] CNR, Inst Marine Sci, UOS Ancona, Largo Fiera Pesca 1, I-60125 Ancona, Italy; [Riginella, Emilio] Zool Stn Anton Dohrn, Dept Integrat Marine Ecol, I-80121 Naples, Italy; [Mazzoldi, Carlotta] Univ Padua, Dept Biol, Via U Bassi 58-B, I-35131 Padua, Italy</t>
  </si>
  <si>
    <t>La Mesa, M (corresponding author), CNR, Inst Marine Sci, UOS Ancona, Largo Fiera Pesca 1, I-60125 Ancona, Italy.</t>
  </si>
  <si>
    <t>Progetto Nazionale di Ricerche in Antartide (PNRA); Ministero dell'Istruzione, dell'Universita e della Ricerca (MIUR)</t>
  </si>
  <si>
    <t>Progetto Nazionale di Ricerche in Antartide (PNRA); Ministero dell'Istruzione, dell'Universita e della Ricerca (MIUR)(Ministry of Education, Universities and Research (MIUR))</t>
  </si>
  <si>
    <t>We are much indebted to the Alfred-WegenerInstitut, Helmholtz-Zentrum fur Polar- und Meeresforschung for providing the opportunity to collect samples during two RV Polarstern expeditions PS82 (ANT-XXIX/9) and PS96 (ANT-XXXI/2). We wish to thank for their invaluable contribution all the crew members and scientific staff aboard of the R/V Polarstern during the field activities. Finally, we would like to sincerely thank P. Cziko, M. Landaeta and M. Militelli for their valuable comments on the early version of the manuscript. This study was supported by the Progetto Nazionale di Ricerche in Antartide (PNRA) and by the Ministero dell'Istruzione, dell'Universita e della Ricerca (MIUR).</t>
  </si>
  <si>
    <t>10.1007/s00300-018-2318-1</t>
  </si>
  <si>
    <t>WOS:000447600600011</t>
  </si>
  <si>
    <t>Shcherbakova, V; Troshina, O</t>
  </si>
  <si>
    <t>Shcherbakova, Viktoria; Troshina, Olga</t>
  </si>
  <si>
    <t>Biotechnological perspectives of microorganisms isolated from the Polar Regions</t>
  </si>
  <si>
    <t>MICROBIOLOGY AUSTRALIA</t>
  </si>
  <si>
    <t>COLD; PERMAFROST; BACTERIUM; ENZYMES; PURIFICATION; ADAPTATION; ANTARCTICA; EXPRESSION; PROTEIN; LIPASE</t>
  </si>
  <si>
    <t>Polar permanently frozen grounds cover more than 20% of the earth's surface, and about 60% of the Russian territories are permafrost. In the permafrost environments, the combination of low temperature and poor availability of liquid water make these habitats extremely inhospitable for life. To date, both culture-dependent and culture-independent methods have shown that permafrost is a habitat for microorganisms of all three domains: Bacteria, Archaea and Eukarya. An overview of applying psychrophilic and psychrotolerant bacteria and archaea isolated from Arctic and Antarctic permafrost ecosystems in biotechnological processes of wastewater treatment, production of cold-adapted enzymes, etc. is discussed here. The study of existing collections of microorganisms isolated from permanently cold habitats, improved methods of sampling and enrichment will increase the potential biotechnological applications of permafrost bacteria and archaea producing unique biomolecules.</t>
  </si>
  <si>
    <t>[Shcherbakova, Viktoria] Russian Acad Sci, GK Skryabin Inst Biochem &amp; Physiol Microorganisms, VKM Dept, Lab Anaerob Microorganisms, Pushchino, Russia; [Troshina, Olga] Russian Acad Sci, GK Skryabin Inst Biochem &amp; Physiol Microorganisms, Pushchino, Russia</t>
  </si>
  <si>
    <t>Russian Academy of Sciences; Pushchino Scientific Center for Biological Research (PSCBI) of the Russian Academy of Sciences; Russian Academy of Sciences; Pushchino Scientific Center for Biological Research (PSCBI) of the Russian Academy of Sciences</t>
  </si>
  <si>
    <t>Shcherbakova, V (corresponding author), Russian Acad Sci, GK Skryabin Inst Biochem &amp; Physiol Microorganisms, VKM Dept, Lab Anaerob Microorganisms, Pushchino, Russia.</t>
  </si>
  <si>
    <t>vshakola@gmail.com; olgtroshina@gmail.com</t>
  </si>
  <si>
    <t>Troshina, Olga/AAC-4973-2022; Troshina, Olga/V-8941-2018</t>
  </si>
  <si>
    <t>Troshina, Olga/0000-0003-3319-043X</t>
  </si>
  <si>
    <t>CSIRO PUBLISHING</t>
  </si>
  <si>
    <t>CLAYTON</t>
  </si>
  <si>
    <t>UNIPARK, BLDG 1, LEVEL 1, 195 WELLINGTON RD, LOCKED BAG 10, CLAYTON, VIC 3168, AUSTRALIA</t>
  </si>
  <si>
    <t>1324-4272</t>
  </si>
  <si>
    <t>2201-9189</t>
  </si>
  <si>
    <t>MICROBIOL AUST</t>
  </si>
  <si>
    <t>Microbiol. Aust.</t>
  </si>
  <si>
    <t>10.1071/MA18042</t>
  </si>
  <si>
    <t>GX1RP</t>
  </si>
  <si>
    <t>WOS:000447496000009</t>
  </si>
  <si>
    <t>Valletta, RD; Willenbring, JK; Passchier, S; Elmi, C</t>
  </si>
  <si>
    <t>Valletta, Rachel D.; Willenbring, Jane K.; Passchier, Sandra; Elmi, Chiara</t>
  </si>
  <si>
    <t>10Be/9Be Ratios Reflect Antarctic Ice Sheet Freshwater Discharge During Pliocene Warming</t>
  </si>
  <si>
    <t>PALEOCEANOGRAPHY AND PALEOCLIMATOLOGY</t>
  </si>
  <si>
    <t>SOUTHERN-OCEAN; EAST-ANTARCTICA; SILICON ISOTOPES; ATLANTIC SECTOR; PARTICLE-FLUX; WEDDELL SEA; HALF-LIFE; SEDIMENT; BERYLLIUM; QUATERNARY</t>
  </si>
  <si>
    <t>Along glaciated margins, ratios of meteoric cosmogenic beryllium-10, Be-10, normalized to its stable isotope, Be-9, reflect an environmental signal, driven ultimately by climatic change. We explore the application of this isotopic pair as a proxy for East Antarctic Ice Sheet dynamics. We analyze Be-10/Be-9 in middle Pliocene glaciomarine sediments offshore the Wilkes Land Region (Integrated Ocean Drilling Program (IODP) Site U1361A) and examine our new record alongside existing biochemical/geochemical records (Ba/Al, opal %(wt), epsilon Nd, and Sr-87/Sr-86). Be-10/Be-9 ratios reach local maxima during pulsed, mild warming events and are strongly correlated with existing records that indicate concurrent ice sheet retraction and increased bioproductivity. We suggest climate change as the primary driver of the Be-10/Be-9 record near glaciated margins, whereby increased warming drives ice sheet retraction, discharging freshwaters and diluting the open ocean Be-10/Be-9 signal recorded in authigenic minerals. Plain Language Summary If the entire Antarctic Ice Sheet collapsed, it would raise global sea level by about 60m (200 feet). How sensitive is the ice sheet to warming temperatures? Should we expect extreme sea level rise by the middle to late century, when global average temperatures could warm by about 2 degrees C (3.6 degrees F) or more? To answer these questions, earth scientists design numerical models to simulate ice sheet behavior and improve those models using physical evidence. High-quality physical evidence is found in the marine sedimentary record deposited in the past under analogous warm conditions, such as during the Pliocene period (2.6-5.3 million years ago). The elemental and isotopic composition of these marine sediments gives clues as to how the ice sheet has reacted to warming temperatures. One such isotope is beryllium-10 (Be-10), which, in specific environments, fluctuates in tandem with glacial-interglacial transitions. As additional marine sediment records identify specific mechanisms of ice mass loss at work, we begin to strengthen predictions of sea level rise from numerical simulations.</t>
  </si>
  <si>
    <t>[Valletta, Rachel D.; Elmi, Chiara] Univ Penn, Earth &amp; Environm Sci Dept, Philadelphia, PA 19104 USA; [Valletta, Rachel D.] Franklin Inst, Philadelphia, PA 19103 USA; [Willenbring, Jane K.] Scripps Inst Oceanog, Geosci Res Div, La Jolla, CA USA; [Passchier, Sandra] Montclair State Univ, Dept Earth &amp; Environm Studies, Montclair, NJ USA; [Elmi, Chiara] Smithsonian Inst, Natl Museum Nat Hist, Dept Mineral Sci, Washington, DC 20560 USA</t>
  </si>
  <si>
    <t>University of Pennsylvania; The Franklin Institute; University of California System; University of California San Diego; Scripps Institution of Oceanography; Montclair State University; Smithsonian Institution; Smithsonian National Museum of Natural History</t>
  </si>
  <si>
    <t>Valletta, RD (corresponding author), Univ Penn, Earth &amp; Environm Sci Dept, Philadelphia, PA 19104 USA.;Valletta, RD (corresponding author), Franklin Inst, Philadelphia, PA 19103 USA.</t>
  </si>
  <si>
    <t>rvalletta@fi.edu</t>
  </si>
  <si>
    <t>Willenbring, Jane/ABG-1300-2020; Elmi, Chiara/AAZ-4969-2020; Passchier, Sandra/GYU-2381-2022; Passchier, Sandra/AAQ-2243-2021; Willenbring, Jane/B-6431-2011</t>
  </si>
  <si>
    <t>Elmi, Chiara/0000-0002-9973-712X; Passchier, Sandra/0000-0001-7204-7025; Valletta, Rachel/0000-0001-9536-7099; Willenbring, Jane/0000-0003-2722-9537</t>
  </si>
  <si>
    <t>NSF [1043554]; National Science Foundation CAREER grant [1651243]; Directorate For Geosciences; Division Of Earth Sciences [1651243] Funding Source: National Science Foundation; Office of Polar Programs (OPP); Directorate For Geosciences [1043554] Funding Source: National Science Foundation</t>
  </si>
  <si>
    <t>NSF(National Science Foundation (NSF)); National Science Foundation CAREER grant(National Science Foundation (NSF)); Directorate For Geosciences; Division Of Earth Sciences(National Science Foundation (NSF)NSF - Directorate for Geosciences (GEO)); Office of Polar Programs (OPP); Directorate For Geosciences(National Science Foundation (NSF)NSF - Directorate for Geosciences (GEO))</t>
  </si>
  <si>
    <t>We thank M. Frank and F. von Blanckenburg for thoughtful commentary that helped improve our interpretational framework and improve this manuscript greatly. We thank Texas AMU IODP core repository technicians and data librarians for their assistance obtaining sample material, J. Bryce and F. Fahnestock at the University of New Hampshire ICP-MS lab for their aid in analyses, and the Singh Center for Nanotechnology for use of their ESEM. NSF Collaborative Research grant 1043554 and National Science Foundation CAREER grant 1651243 provided funding for this project. The authors declare no real or perceived financial conflicts of interest. Data discussed are listed in the tables and figures of the main manuscript and supporting information.</t>
  </si>
  <si>
    <t>2572-4517</t>
  </si>
  <si>
    <t>2572-4525</t>
  </si>
  <si>
    <t>PALEOCEANOGR PALEOCL</t>
  </si>
  <si>
    <t>Paleoceanogr. Paleoclimatology</t>
  </si>
  <si>
    <t>10.1029/2017PA003283</t>
  </si>
  <si>
    <t>Geosciences, Multidisciplinary; Oceanography; Paleontology</t>
  </si>
  <si>
    <t>Geology; Oceanography; Paleontology</t>
  </si>
  <si>
    <t>GX2NO</t>
  </si>
  <si>
    <t>WOS:000447556200002</t>
  </si>
  <si>
    <t>Oppo, DW; Gebbie, G; Huang, KF; Curry, WB; Marchitto, TM; Pietro, KR</t>
  </si>
  <si>
    <t>Oppo, Delia W.; Gebbie, Geoffrey; Huang, Kuo-Fang; Curry, William B.; Marchitto, Thomas M.; Pietro, Kathryn R.</t>
  </si>
  <si>
    <t>Data Constraints on Glacial Atlantic Water Mass Geometry and Properties</t>
  </si>
  <si>
    <t>ANTARCTIC INTERMEDIATE WATER; MERIDIONAL OVERTURNING CIRCULATION; CARBON-ISOTOPE COMPOSITION; DEEP-OCEAN CIRCULATION; MID-DEPTH ATLANTIC; SOFT-TISSUE PUMP; NORTH-ATLANTIC; BENTHIC FORAMINIFERA; ATMOSPHERIC CO2; SOUTH-ATLANTIC</t>
  </si>
  <si>
    <t>The chemical composition of benthic foraminifera from marine sediment cores provides information on how glacial subsurface water properties differed from modern, but separating the influence of changes in the origin and end-member properties of subsurface water from changes in flows and mixing is challenging. Spatial gaps in coverage of glacial data add to the uncertainty. Here we present new data from cores collected from the Demerara Rise in the western tropical North Atlantic, including cores from the modern tropical phosphate maximum at Antarctic Intermediate Water (AAIW) depths. The results suggest lower phosphate concentration and higher carbonate saturation state within the phosphate maximum than modern despite similar carbon isotope values, consistent with less accumulation of respired nutrients and carbon, and reduced air-sea gas exchange in source waters to the region. An inversion of new and published glacial data confirms these inferences and further suggests that lower preformed nutrients in AAIW, and partial replacement of this still relatively high-nutrient AAIW with nutrient-depleted, carbonate-rich waters sourced from the region of the modern-day northern subtropics, also contributed to the observed changes. The results suggest that glacial preformed and remineralized phosphate were lower throughout the upper Atlantic, but deep phosphate concentration was higher. The inversion, which relies on the fidelity of the paleoceanographic data, suggests that the partial replacement of North Atlantic sourced deep water by Southern Ocean Water was largely responsible for the apparent deep North Atlantic phosphate increase, rather than greater remineralization. Plain Language Summary The Atlantic circulation system, characterized by northward upper ocean flow and deep southward flow, exerts tremendous influence on the distribution of salt, heat, nutrients, and carbon in the world's oceans, with consequences on surface climate, marine ecosystems, and atmospheric carbon dioxide levels. Reconstructing past ocean circulation and the distribution of ocean properties is challenging, in large part because paleoceanographic proxies may reflect changes in more than one oceanographic variable. We combine new data, published data, and a model to provide new insights into how and why the nutrient distribution of the Atlantic at the peak of the last ice age, approximately 23,000 to 19,000 years ago, was different from modern. The results indicate links between glacial properties of waters sinking in the high-latitude surface ocean, their pathways and subsurface mixtures, and the distribution of nutrients in the glacial ocean.</t>
  </si>
  <si>
    <t>[Oppo, Delia W.; Huang, Kuo-Fang; Curry, William B.; Pietro, Kathryn R.] Woods Hole Oceanog Inst, Dept Geol &amp; Geophys, Woods Hole, MA 02543 USA; [Gebbie, Geoffrey] Woods Hole Oceanog Inst, Dept Phys Oceanog, Woods Hole, MA 02543 USA; [Huang, Kuo-Fang] Acad Sinica, Inst Earth Sci, Taipei, Taiwan; [Curry, William B.] Bermuda Inst Ocean Sci, St Georges, Bermuda; [Marchitto, Thomas M.] Univ Colorado, Dept Geol Sci, Boulder, CO 80309 USA; [Marchitto, Thomas M.] Univ Colorado, Inst Arctic &amp; Alpine Res, Boulder, CO 80309 USA</t>
  </si>
  <si>
    <t>Woods Hole Oceanographic Institution; Woods Hole Oceanographic Institution; Academia Sinica - Taiwan; Bermuda Institute of Ocean Sciences; University of Colorado System; University of Colorado Boulder; University of Colorado System; University of Colorado Boulder</t>
  </si>
  <si>
    <t>Oppo, DW (corresponding author), Woods Hole Oceanog Inst, Dept Geol &amp; Geophys, Woods Hole, MA 02543 USA.</t>
  </si>
  <si>
    <t>doppo@whoi.edu</t>
  </si>
  <si>
    <t>Huang, Kuo-Fang/M-2740-2019</t>
  </si>
  <si>
    <t>Huang, Kuo-Fang/0000-0002-7858-4865; MARCHITTO, THOMAS/0000-0003-2397-8768; Oppo, Delia/0000-0003-2946-5904</t>
  </si>
  <si>
    <t>NSF [OCE-0750880, OCE-1335191, OCE-1558341, OCE-1536380]; WHOI's Joint Initiative Awards Fund from the Andrew W. Mellon Foundation; Investment in Science Fund at WHOI</t>
  </si>
  <si>
    <t>NSF(National Science Foundation (NSF)); WHOI's Joint Initiative Awards Fund from the Andrew W. Mellon Foundation; Investment in Science Fund at WHOI</t>
  </si>
  <si>
    <t>We thank the crew of R/V Knorr cruise 197-3, M. Jeglinski for laboratory assistance, and O. Marchal and S. Jaccard for helpful discussions and comments on the manuscript. Detailed, constructive comments from two reviewers also improved the manuscript. We are grateful for the rapid turnaround of our radiocarbon samples at the National Ocean Sciences Accelerator Mass Spectrometry facilities at WHOI. This work was funded by NSF grants OCE-0750880 (D. O. and W. C.), OCE-1335191 (D. O.), OCE-1558341 (D. O.), OCE-1536380 (G. G.); WHOI's Joint Initiative Awards Fund from the Andrew W. Mellon Foundation (D. O. and G. G.); a Columbus O'Donnell Iselin Senior Scientist Chair; and The Investment in Science Fund at WHOI. The Knorr 159 and 140 sediment cores are archived in the Sea Floor Samples Laboratory at WHOI. The authors declare no financial conflicts of interests. All supporting data will be archived at the NOAA/World Data Service for Paleoclimatology at the National Centers for Environmental Information (https://www.ncdc.noaa.gov/paleo/study/25010).</t>
  </si>
  <si>
    <t>10.1029/2018PA003408</t>
  </si>
  <si>
    <t>WOS:000447556200007</t>
  </si>
  <si>
    <t>Sakerin, SM; Golobokova, LP; Kabanov, DM; Pol'kin, VV; Radionov, VF</t>
  </si>
  <si>
    <t>Sakerin, S. M.; Golobokova, L. P.; Kabanov, D. M.; Pol'kin, V. V.; Radionov, V. F.</t>
  </si>
  <si>
    <t>Zonal Distribution of Aerosol Physicochemical Characteristics in the Eastern Atlantic</t>
  </si>
  <si>
    <t>ATMOSPHERIC AND OCEANIC OPTICS</t>
  </si>
  <si>
    <t>aerosol optical depth; concentrations of aerosol; black carbon; ions; gas admixtures; spatial distribution; Eastern Atlantic; Southern Ocean</t>
  </si>
  <si>
    <t>ATMOSPHERIC AEROSOL; OPTICAL DEPTH; MICROPHYSICAL CHARACTERISTICS; PARTICULATE MATTER; SUN PHOTOMETERS; ROUTE; OCEAN; SEA; ENVIRONMENTS; EXPEDITIONS</t>
  </si>
  <si>
    <t>Based on long-term (2004-2016) expedition studies, statistical generalization and zoning of aerosol physicochemical characteristics in the eastern Atlantic (from the English Channel to Antarctica) are performed. For six latitudinal zones of the Atlantic and Southern Oceans (&gt;45 degrees N; 20 degrees-45 degrees N; 0 degrees-20 degrees N; 0 degrees-20 degrees S; 20 degrees-55 degrees S; &gt;55 degrees S) the average values of the main aerosol characteristics are presented, i.e., atmospheric aerosol optical depth (AOD), fine and coarse AOD components, particle number concentrations, and mass concentrations of aerosol, black carbon, and water-soluble ions (Na+, Mg2+, Cl-, K+, Ca-2+,Ca- NH4+, NO3-, SO42-), as well as of gas admixtures (SO2, HCl, HNO3, NH3). It is shown that the zonal variability range of optical and microphysical aerosol characteristics is about an order of magnitude: the largest (minimal) average values are observed in the tropical zone (over Southern Ocean). The zonal differences (a factor of 1.3 to 4.3) in concentrations of ions and gas admixtures are much smaller and comparable to synoptic-scale variations. The concentrations of marine ions are maximal over the Southern Atlantic, and those of continental ions in the Northern hemisphere tropical and subtropical zones; the concentrations of all ions are minimal over the Southern Ocean. The specific features of geographic distribution of gas admixtures are noted: the maximal concentrations of HCl and NH3 are observed over the Southern Atlantic, those of SO2 and HNO3 near Europe, and the lowest level is observed in the tropical zone.</t>
  </si>
  <si>
    <t>[Sakerin, S. M.; Kabanov, D. M.; Pol'kin, V. V.] Russian Acad Sci, VE Zuev Inst Atmospher Opt, Siberian Branch, Tomsk 634055, Russia; [Golobokova, L. P.] Russian Acad Sci, Limnol Inst, Siberian Branch, Irkutsk 664033, Russia; [Radionov, V. F.] Arctic &amp; Antarctic Res Inst, St Petersburg 199397, Russia</t>
  </si>
  <si>
    <t>Zuev Institute of Atmospheric Optics, Siberian Branch of the Russian Academy of Sciences; Russian Academy of Sciences; Irkutsk Science Centre of the Russian Academy of Sciences; Russian Academy of Sciences; Limnological Institute SB RAS; Arctic &amp; Antarctic Research Institute</t>
  </si>
  <si>
    <t>Sakerin, SM (corresponding author), Russian Acad Sci, VE Zuev Inst Atmospher Opt, Siberian Branch, Tomsk 634055, Russia.</t>
  </si>
  <si>
    <t>sms@iao.ru; dkab@iao.ru</t>
  </si>
  <si>
    <t>Sakerin, Sergey/A-6508-2014; Kabanov, Dmitry/A-4871-2014; Kabanov, Dmitry M./A-5805-2014; Radionov, Vladimir F./O-3038-2017</t>
  </si>
  <si>
    <t>Complex Program of Basic Research, Siberian Branch, Russian Academy of Sciences [II.2P/IX.133-3]</t>
  </si>
  <si>
    <t>Complex Program of Basic Research, Siberian Branch, Russian Academy of Sciences</t>
  </si>
  <si>
    <t>The authors would like to thank the RAE leaders for support of the studies and.. Smirnov for supplying the Microtops II photometer; also our colleagues, who developed instruments and participated in measurements: N. I. Vlasov, A. V. Gubin, A. S. Kessel, K. E. Lubo-Lesnichenko, Vas. V. Pol'kin, A. N. Prakhov, D. E. Savkin, S. A. Terpugova, S. A. Turchinovich, Yu. S. Turchinovich, A. B. Tikhomirov, and V. P. Shmargunov. This work was supported by the Complex Program of Basic Research, Siberian Branch, Russian Academy of Sciences (project no. II.2P/IX.133-3).</t>
  </si>
  <si>
    <t>PLEIADES PUBLISHING INC</t>
  </si>
  <si>
    <t>PLEIADES PUBLISHING INC, MOSCOW, 00000, RUSSIA</t>
  </si>
  <si>
    <t>1024-8560</t>
  </si>
  <si>
    <t>2070-0393</t>
  </si>
  <si>
    <t>ATMOS OCEAN OPT</t>
  </si>
  <si>
    <t>Atmos. Ocean. Opt.</t>
  </si>
  <si>
    <t>10.1134/S1024856018050160</t>
  </si>
  <si>
    <t>Optics</t>
  </si>
  <si>
    <t>GW5KJ</t>
  </si>
  <si>
    <t>WOS:000446971600009</t>
  </si>
  <si>
    <t>Dodds, K</t>
  </si>
  <si>
    <t>Dodds, Klaus</t>
  </si>
  <si>
    <t>Two Years Below the Horn: Operation Tabarin, Field Science, and Antarctic Sovereignty, 1944-1946</t>
  </si>
  <si>
    <t>CANADIAN HISTORICAL REVIEW</t>
  </si>
  <si>
    <t>[Dodds, Klaus] Royal Holloway Univ London, London, England</t>
  </si>
  <si>
    <t>University of London; Royal Holloway University London</t>
  </si>
  <si>
    <t>Dodds, K (corresponding author), Royal Holloway Univ London, London, England.</t>
  </si>
  <si>
    <t>UNIV TORONTO PRESS INC</t>
  </si>
  <si>
    <t>TORONTO</t>
  </si>
  <si>
    <t>JOURNALS DIVISION, 5201 DUFFERIN ST, DOWNSVIEW, TORONTO, ON M3H 5T8, CANADA</t>
  </si>
  <si>
    <t>0008-3755</t>
  </si>
  <si>
    <t>1710-1093</t>
  </si>
  <si>
    <t>CAN HIST REV</t>
  </si>
  <si>
    <t>Can. Hist. Rev.</t>
  </si>
  <si>
    <t>FAL</t>
  </si>
  <si>
    <t>10.3138/chr.99.3.br16</t>
  </si>
  <si>
    <t>GW4PM</t>
  </si>
  <si>
    <t>WOS:000446899200020</t>
  </si>
  <si>
    <t>Safargaleev, VV; Blagoveshchenskaya, NF; Baddeley, LJ; Grigor'ev, VF; Borisova, TD</t>
  </si>
  <si>
    <t>Safargaleev, V. V.; Blagoveshchenskaya, N. F.; Baddeley, L. J.; Grigor'ev, V. F.; Borisova, T. D.</t>
  </si>
  <si>
    <t>Relation between Hertz Range Artificial Pulsations and the Dynamics of the Auroral Electrojet: Experiment at the SPEAR Facility</t>
  </si>
  <si>
    <t>GEOMAGNETISM AND AERONOMY</t>
  </si>
  <si>
    <t>IONOSPHERIC ALFVEN RESONATOR; COMBINATION FREQUENCIES; GENERATION; RADIATION; EXCITATION; PLASMA</t>
  </si>
  <si>
    <t>We have analyzed the artificial pulsations detected in several cases in the hertz range in terms of the eastern electrojet dynamics. The pulsations were detected in 30% cases of pulse HF wave impact on the ionosphere during an experiment on modulated ionosphere heating at the Space Plasma Exploration by Active Radar (SPEAR) facility (Spitsbergen Archipelago) in November 2013. The pulsations occur when the polar edge of the eastern electrojet approaches the assumed region of influence on the ionosphere due to the northward drift of the electrojet or its extension with increased intensity. The pulsations vanish when the electrojet moves away from the influenced region, drifting southward. The beginning of pulsations is delayed by several minutes with respect to the starting of the HF transmitter. The pulsations are observed only in one of the horizontal components of the geomagnetic field at a distance of 50 km from the SPEAR facility, and they vanished at a distance of about 1300 km.</t>
  </si>
  <si>
    <t>[Safargaleev, V. V.; Grigor'ev, V. F.] Russian Acad Sci, Polar Geophys Inst, Apatity 184209, Murmansk Oblast, Russia; [Blagoveshchenskaya, N. F.; Borisova, T. D.] Russian Acad Sci, Arctic &amp; Antarctic Res Inst, St Petersburg 199397, Russia; [Baddeley, L. J.] Univ Ctr Svalbard, Longyearbyen, Spitsbergen, Norway</t>
  </si>
  <si>
    <t>Russian Academy of Sciences; Polar Geophysical Institute; Russian Academy of Sciences; Arctic &amp; Antarctic Research Institute; University Centre Svalbard (UNIS)</t>
  </si>
  <si>
    <t>Safargaleev, VV (corresponding author), Russian Acad Sci, Polar Geophys Inst, Apatity 184209, Murmansk Oblast, Russia.</t>
  </si>
  <si>
    <t>Vladimir.safargaleev@pgia.ru</t>
  </si>
  <si>
    <t>Baddeley, Lisa/ABD-4414-2020; Borisova, Tatiana/AAK-7698-2020</t>
  </si>
  <si>
    <t>Baddeley, Lisa/0000-0003-1246-0488;</t>
  </si>
  <si>
    <t>SPEAR-UNIS-AARI project [ES446799]</t>
  </si>
  <si>
    <t>SPEAR-UNIS-AARI project</t>
  </si>
  <si>
    <t>The induction magnetometers were developed and installed at Barentsburg (Svalbard) and at the Kola Peninsula by an engineering team of the Polar Geophysical Institute (led by Yu. Fedorenko). Data from the IMAGE network and online procedure for calculation of the equivalent ionospheric currents are available at the site of the MIRACLE project. This work was supported by the SPEAR-UNIS-AARI project no. ES446799 in the framework of the Norwegian-Russian cooperation of the Program of Polar Research (PLORES) of 2010-2013.</t>
  </si>
  <si>
    <t>0016-7932</t>
  </si>
  <si>
    <t>1555-645X</t>
  </si>
  <si>
    <t>GEOMAGN AERONOMY+</t>
  </si>
  <si>
    <t>Geomagn. Aeron.</t>
  </si>
  <si>
    <t>10.1134/S0016793218050134</t>
  </si>
  <si>
    <t>GW9JW</t>
  </si>
  <si>
    <t>WOS:000447303000012</t>
  </si>
  <si>
    <t>Leitchenkov, GL; Dubinin, EP; Grokholsky, AL; Agranov, GD</t>
  </si>
  <si>
    <t>Leitchenkov, G. L.; Dubinin, E. P.; Grokholsky, A. L.; Agranov, G. D.</t>
  </si>
  <si>
    <t>Formation and Evolution of Microcontinents of the Kerguelen Plateau, Southern Indian Ocean</t>
  </si>
  <si>
    <t>GEOTECTONICS</t>
  </si>
  <si>
    <t>Antarctica; Indian Ocean; Kerguelen Plateau; structure and evolution of the lithosphere; passive margin; oceanic spreading; physical modeling</t>
  </si>
  <si>
    <t>LARGE IGNEOUS PROVINCE; EAST ANTARCTICA; DEEP-STRUCTURE; BROKEN RIDGE; HISTORY; BREAKUP</t>
  </si>
  <si>
    <t>The paper considers geological and geophysical data on the crustal structure of the volcanic Kerguelen Plateau and nearby Indian Ocean, as well as evolution of the Kerguelen Plateau during the Gondwana breakup. It is assumed that three isolated continental blocks (microcontinents) evolved within the Kerguelen Plateau. In order to provide insight into the mechanisms for the microcontinent formation, physical modeling under three different conditions has been carried out. The first experiment simulates a homogeneous lithosphere with two rift fractures propagating toward each one other; in the second experiment, the propagating rift fractures collide with a structural barrier having a stronger lithosphere; the third experiment simulated the effect of a local heat source (a hot spot). Based on these experiments and taking into account the available structural and geophysical data, it is suggested that isolation of continental block in the southern Kerguelen Plateau could have begun due to counterpropagation of rifting branches: oceanic from east to west and continental from west to east. The isolation of the southern block with attachment to the Antarctic Plate took place 120 Ma ago after extinction of the spreading ridge in the Princess Elizabeth Trough. Because of the structural inhomogeneity in the prebreakup lithosphere, which is represented by a zone of intracontinental Lambert-Mahanadi rifts, opening of the ocean could have developed in a more complex regime. Under the effect of a hot spot, a jump of the spreading axis occurred at the moment of its emplacement into the lithosphere.</t>
  </si>
  <si>
    <t>[Leitchenkov, G. L.] Gramberg Res Inst Geol &amp; Mineral Resources World, St Petersburg 190121, Russia; [Leitchenkov, G. L.] St Petersburg State Univ, Inst Earth Sci, St Petersburg 199034, Russia; [Dubinin, E. P.; Grokholsky, A. L.] Moscow MV Lomonosov State Univ, Museum Nat Hist, Moscow 119991, Russia; [Dubinin, E. P.; Agranov, G. D.] Moscow MV Lomonosov State Univ, Dept Geol, Moscow 119991, Russia</t>
  </si>
  <si>
    <t>Saint Petersburg State University; Lomonosov Moscow State University; Lomonosov Moscow State University</t>
  </si>
  <si>
    <t>Leitchenkov, GL (corresponding author), Gramberg Res Inst Geol &amp; Mineral Resources World, St Petersburg 190121, Russia.;Leitchenkov, GL (corresponding author), St Petersburg State Univ, Inst Earth Sci, St Petersburg 199034, Russia.</t>
  </si>
  <si>
    <t>german_l@mail.ru</t>
  </si>
  <si>
    <t>Russian Science Foundation [16-17-10139]; Russian Science Foundation [16-17-10139] Funding Source: Russian Science Foundation</t>
  </si>
  <si>
    <t>Russian Science Foundation(Russian Science Foundation (RSF)); Russian Science Foundation(Russian Science Foundation (RSF))</t>
  </si>
  <si>
    <t>We thank A.A. Peive and S.Yu. Sokolov for their comments. The study was supported by the Russian Science Foundation, project no. 16-17-10139.</t>
  </si>
  <si>
    <t>0016-8521</t>
  </si>
  <si>
    <t>1556-1976</t>
  </si>
  <si>
    <t>GEOTECTONICS+</t>
  </si>
  <si>
    <t>Geotectonics</t>
  </si>
  <si>
    <t>10.1134/S0016852118050035</t>
  </si>
  <si>
    <t>GW8LO</t>
  </si>
  <si>
    <t>WOS:000447230400001</t>
  </si>
  <si>
    <t>Pollard, D; Gomez, N; DeConto, RM; Han, HK</t>
  </si>
  <si>
    <t>Pollard, D.; Gomez, N.; DeConto, R. M.; Han, H. K.</t>
  </si>
  <si>
    <t>Estimating Modern Elevations of Pliocene Shorelines Using a Coupled Ice Sheet-Earth-Sea Level Model</t>
  </si>
  <si>
    <t>Pliocene; sea level; ice sheet model; Earth-sea level model</t>
  </si>
  <si>
    <t>DYNAMIC TOPOGRAPHY CHANGE; WARM PERIOD; INTERCOMPARISON PROJECT; ANTARCTIC CLIMATE; MANTLE VISCOSITY; GLACIAL ISOSTASY; RETREAT; RECONSTRUCTION; DEGLACIATION; VARIABILITY</t>
  </si>
  <si>
    <t>A coupled ice sheet-Earth-sea level model is used to estimate the modern elevations of shoreline features that were formed at high sea level stands during the warm mid Pliocene similar to 3 million years ago. Knowledge of global mean sea level during this period is important as an indicator of possible future ice sheet retreat and sea level rise. However, local shoreline elevations can deviate from the eustatic mean by various geologic processes over the last 3 million years, including glacial isostatic adjustment of the solid Earth and gravitational field due to both Pliocene ice-cover changes and more recent glacial cycles. Our coupled model includes glacial isostatic adjustment processes and simulates Antarctic ice sheet, global sea level, and solid Earth variations in the warmest mid-Pliocene and over the last 40,000 years. Global maps of estimated modern elevations of Pliocene shoreline markers are produced for a standard radial profile of Earth viscosity and lithospheric thickness. Results are compared to an earlier study with an uncoupled Earth-sea level model and a different methodology (Raymo et al., Nature Geoscience, 2011, https://doi.org:/10.1038/ngeo1118). As in that study, Pliocene shoreline elevations diverge significantly from the eustatic value in widespread regions, especially in the vicinity of present and former ice sheets. In some other regions, elevations are close to eustatic. The results emphasize that care should be taken in interpreting elevations of paleo-shoreline markers.</t>
  </si>
  <si>
    <t>[Pollard, D.] Penn State Univ, Earth &amp; Environm Syst Inst, University Pk, PA 16802 USA; [Gomez, N.; Han, H. K.] McGill Univ, Dept Earth &amp; Planetary Sci, Montreal, PQ, Canada; [DeConto, R. M.] Univ Massachusetts, Dept Geosci, Amherst, MA 01003 USA</t>
  </si>
  <si>
    <t>Pennsylvania Commonwealth System of Higher Education (PCSHE); Pennsylvania State University; Pennsylvania State University - University Park; McGill University; University of Massachusetts System; University of Massachusetts Amherst</t>
  </si>
  <si>
    <t>Pollard, D (corresponding author), Penn State Univ, Earth &amp; Environm Syst Inst, University Pk, PA 16802 USA.</t>
  </si>
  <si>
    <t>pollard@essc.psu.edu</t>
  </si>
  <si>
    <t>Gomez, Natalya/AAU-4323-2020</t>
  </si>
  <si>
    <t>Gomez, Natalya/0000-0002-2463-7917</t>
  </si>
  <si>
    <t>National Science Foundation [OCE-1202632, 1663693, GEO-1240507]; Natural Sciences and Engineering Research Council of Canada (NSERC); Canada Research Chairs program; Canadian Foundation for Innovation; McGill University</t>
  </si>
  <si>
    <t>National Science Foundation(National Science Foundation (NSF)); Natural Sciences and Engineering Research Council of Canada (NSERC)(Natural Sciences and Engineering Research Council of Canada (NSERC)); Canada Research Chairs program(Canada Research Chairs); Canadian Foundation for Innovation(Canada Foundation for Innovation); McGill University</t>
  </si>
  <si>
    <t>We thank Tim Naish, Alessio Rovere, and an anonymous reviewer for their careful reviews, and Maureen Raymo and Jerry Mitrovica for helpful discussions. This work was supported by National Science Foundation grants OCE-1202632 (PLIOMAX), 1663693 (PREEVENTS), and GEO-1240507. N. G. is funded by the Natural Sciences and Engineering Research Council of Canada (NSERC), the Canada Research Chairs program, the Canadian Foundation for Innovation, and McGill University. Selected output files, metadata, and ice sheet model code are available at Penn State's Data Commons, http://www.datacommons.psu.edu/commonswizard/MetadataDisplay.aspx?Dataset=6167, doi:10.18113/P8NH2J.</t>
  </si>
  <si>
    <t>10.1029/2018JF004745</t>
  </si>
  <si>
    <t>GW5QG</t>
  </si>
  <si>
    <t>WOS:000446990400012</t>
  </si>
  <si>
    <t>Wang, Q; Wang, YJ; Shao, QF; Liang, YJ; Zhang, ZQ; Kong, XG</t>
  </si>
  <si>
    <t>Wang, Quan; Wang, Yongjin; Shao, Qingfeng; Liang, Yijia; Zhang, Zhenqiu; Kong, Xinggong</t>
  </si>
  <si>
    <t>Millennial-scale Asian monsoon variability during the late Marine Isotope Stage 6 from Hulu Cave, China</t>
  </si>
  <si>
    <t>QUATERNARY RESEARCH</t>
  </si>
  <si>
    <t>Hulu Cave; Penultimate glaciation; Carbon isotopes; Asian monsoon; Stalagmite records; Millennial-scale variability</t>
  </si>
  <si>
    <t>GLACIAL CLIMATE; ICE-CORE; SUMMER MONSOON; STABLE-ISOTOPE; ANTARCTIC ICE; CHRONOLOGY AICC2012; SPELEOTHEM CALCITE; OXYGEN ISOTOPES; INDIAN MONSOON; SOREQ CAVE</t>
  </si>
  <si>
    <t>A precisely Th-230-dated stalagmite delta C-13 profile from Hulu Cave, China, is presented to characterize the frequency and pattern of millennial-scale Asian monsoon (AM) variability from 160.6 to 132.5 ka. Evidence for an antiphased relationship of the delta C-13 and delta O-18 on the millennial scale suggests that the delta C-13 is indicative of the local hydrological cycle associated with changes in AM strength. Owing to the delta C-13 responding to AM changes more sensitively than the delta O-18, we could identify 15 strong AM events that correlate to cold intervals recorded in Antarctic ice cores within Th-230 dating uncertainty. This result supports a dynamic link of AM strength and southern hemispheric climates via the cross-equatorial airflows. Power spectrum analysis shows a predominant periodicity of 1.5-2.5 ka for the delta C-13 profile, similar to the Dansgaard-Oeschger frequency during the last glacial period. Moreover, the AM events are characterized by rapid transitions at the onset, suggesting that the observed millennial-scale AM variability is likely forced by northern high-latitude climates via north-south shifts of the Intertropical Convergence Zone associated with the bipolar seesaw mechanism. As evidence for a common mechanism for ice age terminations, a strong AM event (similar to 134 ka) surrounding Termination II is analogous to the Bolling-Allerod warming interval.</t>
  </si>
  <si>
    <t>[Wang, Quan; Wang, Yongjin; Shao, Qingfeng; Liang, Yijia; Kong, Xinggong] Nanjing Normal Univ, Coll Geog Sci, Nanjing 210023, Jiangsu, Peoples R China; [Zhang, Zhenqiu] Shangrao Normal Univ, Sch Hist Geog &amp; Tourism, Shangrao 334001, Peoples R China</t>
  </si>
  <si>
    <t>Nanjing Normal University; Shangrao Normal University</t>
  </si>
  <si>
    <t>Wang, YJ (corresponding author), Nanjing Normal Univ, Coll Geog Sci, Nanjing 210023, Jiangsu, Peoples R China.</t>
  </si>
  <si>
    <t>yjwang@njnu.edu.cn</t>
  </si>
  <si>
    <t>Wang, Quan/JDX-0847-2023</t>
  </si>
  <si>
    <t>Zhang, Zhenqiu/0000-0002-5271-6938; Wang, Quan/0000-0002-7813-0863</t>
  </si>
  <si>
    <t>National Nature Science Fund of China [41571102, 41572151, 41672164, 41130210]; Priority Academic Program Development of Jiangsu Higher Education Institutions [164320H116]; Jiangsu Center for Collaborative Innovation in Geographical Information Resource Development and Application; Postgraduate Research and Practice Innovation Program of Jiangsu Province [KYCX17_1063, KYLX15_0750]</t>
  </si>
  <si>
    <t>National Nature Science Fund of China(National Natural Science Foundation of China (NSFC)); Priority Academic Program Development of Jiangsu Higher Education Institutions; Jiangsu Center for Collaborative Innovation in Geographical Information Resource Development and Application; Postgraduate Research and Practice Innovation Program of Jiangsu Province</t>
  </si>
  <si>
    <t>We are grateful to Ming Tan and Wu-hui Duan for their help in sampling the drip water in Hulu Cave. We are also grateful to the two anonymous reviewers for their detailed and very helpful comments, which have helped improve this paper substantially. This work was supported by grants from the National Nature Science Fund of China (grant no. 41571102, 41572151, 41672164, and 41130210), the Priority Academic Program Development of Jiangsu Higher Education Institutions (no. 164320H116), the Jiangsu Center for Collaborative Innovation in Geographical Information Resource Development and Application, and the Postgraduate Research and Practice Innovation Program of Jiangsu Province (nos. KYCX17_1063 and KYLX15_0750).</t>
  </si>
  <si>
    <t>0033-5894</t>
  </si>
  <si>
    <t>1096-0287</t>
  </si>
  <si>
    <t>QUATERNARY RES</t>
  </si>
  <si>
    <t>Quat. Res.</t>
  </si>
  <si>
    <t>10.1017/qua.2018.75</t>
  </si>
  <si>
    <t>GW5UB</t>
  </si>
  <si>
    <t>WOS:000447003200010</t>
  </si>
  <si>
    <t>Antipova, TV; Zhelifonova, VP; Baskunov, BP; Kochkina, GA; Ozerskaya, SM; Kozlovskii, AG</t>
  </si>
  <si>
    <t>Antipova, T. V.; Zhelifonova, V. P.; Baskunov, B. P.; Kochkina, G. A.; Ozerskaya, S. M.; Kozlovskii, A. G.</t>
  </si>
  <si>
    <t>Exometabolites the Penicillium Fungi Isolated from Various High-Latitude Ecosystems</t>
  </si>
  <si>
    <t>mycelial fungi; Penicillium; secondary metabolites; chemotaxonomy; Antarctica; Arctic</t>
  </si>
  <si>
    <t>Secondary metabolites of 25 Penicillium strains isolated from high-latitude ecosystems (upper layer of Antarctic soils and Arctic permafrost deposits) were analyzed. Out of the studied strains, 80% were found to produce secondary metabolites belonging to benzodiazepine alkaloids (anacin, cyclopenin, and cyclopeptin), quinoline alkaloids (viridicatin and 3-methoxyviridicatin), diketopiperazine alkaloids (aurantiamine, 3,12-dihydroroquefortine, roquefortine and rugulosuvin B), polycyclic indole alkaloids (communesin B and chaetoglobosine A), clavine ergot alkaloids (rugulovasins A and B, festuclavine, fumigaclavines A and B, and cyclopiazonic acid), polyketides (mycophenolic acid and citreoviridin), terpenes (andrastins A and B and phomenone), and N-acetyltriptamine. Most strains of the Penicillium subgenus isolated from anthropogenically impaired upper layers of Antarctic deposits and from subsurface Arctic deposits exhibited more complete spectra of secondary metabolites compared to three strains isolated from permafrost 15000 to 600000 years old. This is the first report on andrastins formation by a P. restrictum. Wide occurrence of rugulovasins in P. variabile strains was shown.</t>
  </si>
  <si>
    <t>[Antipova, T. V.; Zhelifonova, V. P.; Baskunov, B. P.; Kochkina, G. A.; Ozerskaya, S. M.; Kozlovskii, A. G.] Russian Acad Sci, Skryabin Inst Biochem &amp; Physiol Microorganisms, Pushchino, Russia</t>
  </si>
  <si>
    <t>Russian Academy of Sciences; Pushchino Scientific Center for Biological Research (PSCBI) of the Russian Academy of Sciences</t>
  </si>
  <si>
    <t>Kozlovskii, AG (corresponding author), Russian Acad Sci, Skryabin Inst Biochem &amp; Physiol Microorganisms, Pushchino, Russia.</t>
  </si>
  <si>
    <t>kozlovski@ibpm.pushchino.ru</t>
  </si>
  <si>
    <t>Ozerskaya, Svetlana/J-3821-2018; Zhelifonova, Valentina/AAE-3426-2020; KOCHKINA, GALINA/AAR-7765-2020; Antipova, Tatiana/P-5686-2018</t>
  </si>
  <si>
    <t>Ozerskaya, Svetlana/0000-0002-0373-7521; KOCHKINA, GALINA/0000-0002-5893-7782; Zhelifonova, Valentina/0000-0001-9213-9584; Baskunov, Boris/0000-0002-0342-2431; Antipova, Tatiana/0000-0002-4860-2647</t>
  </si>
  <si>
    <t>Russian Foundation for Basic Research [15-29-02629-ofi_m]</t>
  </si>
  <si>
    <t>The work was supported by the Russian Foundation for Basic Research, project no. 15-29-02629-ofi_m.</t>
  </si>
  <si>
    <t>10.1134/S002626171805003X</t>
  </si>
  <si>
    <t>WOS:000446336300005</t>
  </si>
  <si>
    <t>Charniauskaya, MI; Bukliarevich, AA; Delegan, YA; Akhremchuk, AE; Filonov, AE; Titok, MA</t>
  </si>
  <si>
    <t>Charniauskaya, M. I.; Bukliarevich, A. A.; Delegan, Ya. A.; Akhremchuk, A. E.; Filonov, A. E.; Titok, M. A.</t>
  </si>
  <si>
    <t>Biodiversity of Hydrocarbon-Oxidizing Soil Bacteria from Various Climatic Zones</t>
  </si>
  <si>
    <t>bacterial degraders; hydrocarbons; molecular genetic and physiological and biochemical analysis</t>
  </si>
  <si>
    <t>16S RIBOSOMAL-RNA; SP NOV.; SEQUENCE-ANALYSIS; IDENTIFICATION; RHODOCOCCUS; GENE; BIODEGRADATION; IMPACT; GYRB</t>
  </si>
  <si>
    <t>Hydrocarbon-oxidizing bacteria isolated from soil samples from different climatic zones (Belarus, Libya, Iraq, and Antarctica) were studied. Techniques of physiological, biochemical, and molecular genetic analysis were used to identify 18 strains, most of which belonged to nonmycelial actinomycetes. Informative genetic markers used for identification of bacteria of the genus Rhodococcus were the genes alkB (for R. pyridinivorans), rpoC and groES (for R. erythropolis), groEL (for R. opacus), and random chromosome fragments (for R. opacus and R. pyridinivorans). Bacteria isolated from Libyan sandy soil and Antarctic soil and identified as Dietzia sp. 10-15, Deinococcus sp. ?2-6, Alkanindiges sp. A36-1, and Alkanindiges sp. A36-3 exhibited low similarity of their 16S rRNA gene sequences to those of the closely related species and differed from them in a number of physiological and biochemical characteristics, which supported their identification as members of new species. Comparative physiological, biochemical, and fingerprint analysis of the strains belonging to the same species revealed intraspecific polymorphism. Strains capable of growth at high and low temperatures, resistant to UV-irradiation, elevated NaCl concentration, and acidic or alkaline conditions were revealed. This is the first report of oil degradation by R. pyridinivorans 5?? at elevated temperature (45 degrees C) and by R. erythropolis A2-h2 at 4 degrees C.</t>
  </si>
  <si>
    <t>[Charniauskaya, M. I.; Bukliarevich, A. A.; Akhremchuk, A. E.] Belarusian State Univ, Biol Fac, Dept Microbiol, Res Lab Biotechnol, Minsk, BELARUS; [Delegan, Ya. A.; Filonov, A. E.] Russian Acad Sci, Skryabin Inst Biochem &amp; Physiol Microorganisms, Pushchino 142290, Russia; [Titok, M. A.] Belarusian State Univ, Biol Fac, Dept Microbiol, Minsk, BELARUS</t>
  </si>
  <si>
    <t>Belarusian State University; Russian Academy of Sciences; Pushchino Scientific Center for Biological Research (PSCBI) of the Russian Academy of Sciences; Belarusian State University</t>
  </si>
  <si>
    <t>Charniauskaya, MI (corresponding author), Belarusian State Univ, Biol Fac, Dept Microbiol, Res Lab Biotechnol, Minsk, BELARUS.</t>
  </si>
  <si>
    <t>charnymi@bsu.by</t>
  </si>
  <si>
    <t>Mandryk (Charniauskaya), Maryia/W-5568-2019; Delegan, Yanina A./E-8256-2014; Titok, Marina/HKM-8053-2023</t>
  </si>
  <si>
    <t>Delegan, Yanina A./0000-0002-1561-0050; Filonov, Andrey/0000-0003-4800-7706</t>
  </si>
  <si>
    <t>Belarusian Republican Foundation for - Fundamental Research [B16R-082]; Russian Foundation for Basic Research [Bel_a 16-54-00200]</t>
  </si>
  <si>
    <t>Belarusian Republican Foundation for - Fundamental Research; Russian Foundation for Basic Research(Russian Foundation for Basic Research (RFBR)Spanish Government)</t>
  </si>
  <si>
    <t>The study was supported by the Belarusian Republican Foundation for - Fundamental Research (project no. B16R-082) and the Russian Foundation for Basic Research (project no. Bel_a 16-54-00200).</t>
  </si>
  <si>
    <t>10.1134/S0026261718050065</t>
  </si>
  <si>
    <t>WOS:000446336300011</t>
  </si>
  <si>
    <t>Dolatshah, A; Nelli, F; Bennetts, LG; Alberello, A; Meylan, MH; Monty, JP; Toffoli, A</t>
  </si>
  <si>
    <t>Dolatshah, A.; Nelli, F.; Bennetts, L. G.; Alberello, A.; Meylan, M. H.; Monty, J. P.; Toffoli, A.</t>
  </si>
  <si>
    <t>Letter: Hydroelastic interactions between water waves and floating freshwater ice</t>
  </si>
  <si>
    <t>PHYSICS OF FLUIDS</t>
  </si>
  <si>
    <t>IN-SITU MEASUREMENTS; OCEAN WAVES; SEA-ICE; MODEL; TRANSECTS; SURFACE; ZONE</t>
  </si>
  <si>
    <t>Hydroelastic interactions between regular water waves and floating freshwater ice are investigated using laboratory experiments for a range of incident wave periods and steepnesses. It is shown that only incident waves with sufficiently long period and large steepness break up the ice cover and that the extent of breakup increases with increasing period and steepness. Furthermore, it is shown that an increasing proportion of the incident wave propagates through the ice-covered water as the period and steepness increase, indicating the existence of a positive feedback loop between the ice breakup and increased wave propagation. Published by AIP Publishing.</t>
  </si>
  <si>
    <t>[Dolatshah, A.] Swinburne Univ Technol, Fac Sci Engn &amp; Technol, Melbourne, Vic 3122, Australia; [Dolatshah, A.; Nelli, F.; Toffoli, A.] Univ Melbourne, Dept Infrastruct Engn, Parkville, Vic 3010, Australia; [Bennetts, L. G.; Alberello, A.] Univ Adelaide, Sch Math Sci, Adelaide, SA 5005, Australia; [Meylan, M. H.] Univ Newcastle, Sch Math &amp; Phys Sci, Callaghan, NSW 2308, Australia; [Monty, J. P.] Univ Melbourne, Dept Mech Engn, Parkville, Vic 3010, Australia</t>
  </si>
  <si>
    <t>Melbourne Genomics Health Alliance; Swinburne University of Technology; University of Melbourne; University of Adelaide; University of Newcastle; University of Melbourne</t>
  </si>
  <si>
    <t>Dolatshah, A (corresponding author), Swinburne Univ Technol, Fac Sci Engn &amp; Technol, Melbourne, Vic 3122, Australia.;Dolatshah, A (corresponding author), Univ Melbourne, Dept Infrastruct Engn, Parkville, Vic 3010, Australia.</t>
  </si>
  <si>
    <t>azam.dolatshah@gmail.com</t>
  </si>
  <si>
    <t>Bennetts, Luke/N-1448-2019; Meylan, Michael/A-7341-2010</t>
  </si>
  <si>
    <t>Bennetts, Luke/0000-0001-9386-7882; Meylan, Michael/0000-0002-3164-1367; MONTY, JASON/0000-0003-4433-2640; Toffoli, Alessandro/0000-0003-3112-6856</t>
  </si>
  <si>
    <t>Australian Research Council [LE140100079]; Swinburne University; Nortek AS; EPSRC [EP/K032208/1]; Simons Foundation; Antarctic Circumnavigation Expedition Foundation; Ferring Pharmaceuticals; Air-Sea-Ice Lab Project; EPSRC [EP/R014604/1, EP/K032208/1] Funding Source: UKRI; Australian Research Council [LE140100079] Funding Source: Australian Research Council</t>
  </si>
  <si>
    <t>Australian Research Council(Australian Research Council); Swinburne University; Nortek AS; EPSRC(UK Research &amp; Innovation (UKRI)Engineering &amp; Physical Sciences Research Council (EPSRC)); Simons Foundation; Antarctic Circumnavigation Expedition Foundation; Ferring Pharmaceuticals(Ferring Pharmaceuticals); Air-Sea-Ice Lab Project; EPSRC(UK Research &amp; Innovation (UKRI)Engineering &amp; Physical Sciences Research Council (EPSRC)); Australian Research Council(Australian Research Council)</t>
  </si>
  <si>
    <t>The Australian Research Council funded the facility (No. LE140100079). A.D. was supported by Swinburne University Postgraduate Research Award and Nortek AS. L.G.B. and M.H.M. were supported by EPSRC Grant No. EP/K032208/1 and partially supported by Simons Foundation grants. A.A. and A.T. were funded by the Antarctic Circumnavigation Expedition Foundation and Ferring Pharmaceuticals. A.D., F.N., A.A., and A.T. acknowledge support from the Air-Sea-Ice Lab Project.</t>
  </si>
  <si>
    <t>AMER INST PHYSICS</t>
  </si>
  <si>
    <t>1305 WALT WHITMAN RD, STE 300, MELVILLE, NY 11747-4501 USA</t>
  </si>
  <si>
    <t>1070-6631</t>
  </si>
  <si>
    <t>1089-7666</t>
  </si>
  <si>
    <t>PHYS FLUIDS</t>
  </si>
  <si>
    <t>Phys. Fluids</t>
  </si>
  <si>
    <t>10.1063/1.5050262</t>
  </si>
  <si>
    <t>Mechanics; Physics, Fluids &amp; Plasmas</t>
  </si>
  <si>
    <t>Mechanics; Physics</t>
  </si>
  <si>
    <t>GV5QA</t>
  </si>
  <si>
    <t>WOS:000446155900002</t>
  </si>
  <si>
    <t>Gwynn-Jones, D; Dunne, H; Donnison, I; Robson, P; Sanfratello, GM; Schlarb-Ridley, B; Hughes, K; Convey, P</t>
  </si>
  <si>
    <t>Gwynn-Jones, Dylan; Dunne, Hannah; Donnison, Iain; Robson, Paul; Sanfratello, Giovanni Marco; Schlarb-Ridley, Beatrix; Hughes, Kevin; Convey, Peter</t>
  </si>
  <si>
    <t>Can the optimisation of pop-up agriculture in remote communities help feed the world?</t>
  </si>
  <si>
    <t>GLOBAL FOOD SECURITY-AGRICULTURE POLICY ECONOMICS AND ENVIRONMENT</t>
  </si>
  <si>
    <t>HIGH ELECTRICAL-CONDUCTIVITY; NUTRIENT SOLUTION; CLIMATE-CHANGE; NUTRITIONAL-STATUS; HIGH-PERFORMANCE; GROWTH; PLANT; WATER; HYDROPONICS; CULTIVATION</t>
  </si>
  <si>
    <t>Threats to global food security have generated the need for novel food production techniques to feed an ever-expanding population with ever-declining land resources. Hydroponic cultivation has been long recognised as a reliable, resilient and resource-use-efficient alternative to soil-based agricultural practices. The aspiration for highly efficient systems and even city-based vertical farms is starting to become realised using innovations such as aeroponics and LED lighting technology. However, the ultimate challenge for any crop production system is to be able to operate and help sustain human life in remote and extreme locations, including the polar regions on Earth, and in space. Here we explore past research and crop growth in such remote areas, and the scope to improve on the systems used in these areas to date. We introduce biointensive agricultural systems and 3D growing environments, intercropping in hydroponics and the production of multiple crops from single growth systems. To reflect the flexibility and adaptability of these approaches to different environments we have called this type of enclosed system 'pop-up agriculture'. The vision here is built on sustainability, maximising yield from the smallest growing footprint, adopting the principles of a circular economy, using local resources and eliminating waste. We explore plant companions in intercropping systems to supply a diversity of plant foods. We argue that it is time to consume all edible components of plants grown, highlighting that nutritious plant parts are often wasted that could provide vitamins and antioxidants. Supporting human life via crop production in remote and isolated communities necessitates new levels of efficiency, eliminating waste, minimising environmental impacts and trying to wean away from our dependence on fossil fuels. This aligns well with tandem research emerging from economically developing countries where lower technology hydroponic approaches are being trialled reinforcing the need for 'cross-pollination' of ideas and research development on pop-up agriculture that will see benefits across a range of environments.</t>
  </si>
  <si>
    <t>[Gwynn-Jones, Dylan; Dunne, Hannah; Donnison, Iain; Robson, Paul; Sanfratello, Giovanni Marco] Aberystwyth Univ, IBERS, Penglais Campus,F24 Cledwyn Bldg, Aberystwyth SY23 3DA, Ceredigion, Wales; [Schlarb-Ridley, Beatrix; Hughes, Kevin; Convey, Peter] British Antarctic Survey, NERC, Madingley Rd, Cambridge CB3 0ET, England</t>
  </si>
  <si>
    <t>UK Research &amp; Innovation (UKRI); Biotechnology and Biological Sciences Research Council (BBSRC); Institute of Biological, Environmental, Rural &amp; Sciences (IBERS); Aberystwyth University; UK Research &amp; Innovation (UKRI); Natural Environment Research Council (NERC); NERC British Antarctic Survey</t>
  </si>
  <si>
    <t>Gwynn-Jones, D (corresponding author), Aberystwyth Univ, IBERS, Penglais Campus,F24 Cledwyn Bldg, Aberystwyth SY23 3DA, Ceredigion, Wales.</t>
  </si>
  <si>
    <t>dyj@aber.ac.uk</t>
  </si>
  <si>
    <t>Convey, Peter/AAV-5728-2020; Donnison, Iain/K-6138-2014</t>
  </si>
  <si>
    <t>Convey, Peter/0000-0001-8497-9903; Robson, Paul/0000-0003-1841-3594; Donnison, Iain/0000-0001-6276-555X</t>
  </si>
  <si>
    <t>Biotechnology and Biological Sciences Research Council [BBS/E/W/0012843]; Welsh Assembly Government; European Union through the Welsh European Funding Office for the BEACON Project; NERC core funding; Aurora Innovation Centre; Higher Education Funding Council for Wales through the Ser Cymru National Research Network for Low Carbon, Energy and Environment for the Plants and Architecture Project; BBSRC [BBS/E/W/0012843A] Funding Source: UKRI; NERC [bas010011, bas0100036] Funding Source: UKRI</t>
  </si>
  <si>
    <t>Biotechnology and Biological Sciences Research Council(UK Research &amp; Innovation (UKRI)Biotechnology and Biological Sciences Research Council (BBSRC)); Welsh Assembly Government; European Union through the Welsh European Funding Office for the BEACON Project; NERC core funding; Aurora Innovation Centre; Higher Education Funding Council for Wales through the Ser Cymru National Research Network for Low Carbon, Energy and Environment for the Plants and Architecture Project; BBSRC(UK Research &amp; Innovation (UKRI)Biotechnology and Biological Sciences Research Council (BBSRC)); NERC(UK Research &amp; Innovation (UKRI)Natural Environment Research Council (NERC))</t>
  </si>
  <si>
    <t>The Institute of Biological Environmental and Rural Sciences receives strategic funding from the Biotechnology and Biological Sciences Research Council (BBS/E/W/0012843). The authors also acknowledge the financial support of the Welsh Assembly Government and Higher Education Funding Council for Wales through the Ser Cymru National Research Network for Low Carbon, Energy and Environment for the Plants and Architecture Project; and of the European Union through the Welsh European Funding Office for the BEACON Project.; PC, KH and BS-R are supported by NERC core funding to the BAS 'Biodiversity, Evolution and Adaptation' Team, BAS Environmental Office, and the Aurora Innovation Centre, respectively. We thank C.D. Martin (BAS) for helpful discussions.</t>
  </si>
  <si>
    <t>2211-9124</t>
  </si>
  <si>
    <t>GLOB FOOD SECUR-AGR</t>
  </si>
  <si>
    <t>Glob. Food Secur.-Agric.Policy</t>
  </si>
  <si>
    <t>10.1016/j.gfs.2018.07.003</t>
  </si>
  <si>
    <t>Food Science &amp; Technology</t>
  </si>
  <si>
    <t>GV2QQ</t>
  </si>
  <si>
    <t>WOS:000445936400005</t>
  </si>
  <si>
    <t>Núñez-Pons, L; Avila, C; Romano, G; Verde, C; Giordano, D</t>
  </si>
  <si>
    <t>Nunez-Pons, Laura; Avila, Conxita; Romano, Giovanna; Verde, Cinzia; Giordano, Daniela</t>
  </si>
  <si>
    <t>UV-Protective Compounds in Marine Organisms from the Southern Ocean</t>
  </si>
  <si>
    <t>antarctica; UV radiation; ozone hole; climate change; marine organisms; sunscreen; UV-absorbing molecules; antioxidants; DNA repair; cosmeceuticals</t>
  </si>
  <si>
    <t>AMINO-ACIDS MAAS; SOLAR ULTRAVIOLET-RADIATION; INDUCED DNA-DAMAGE; MICROALGAL-INVERTEBRATE SYMBIOSES; ANTIOXIDANT DEFENSE SYSTEM; PROGRAMMED CELL-DEATH; OXIDATIVE STRESS; ABSORBING COMPOUNDS; VITAMIN-E; ANTARCTIC PHYTOPLANKTON</t>
  </si>
  <si>
    <t>Solar radiation represents a key abiotic factor in the evolution of life in the oceans. In general, marine, biotaparticularly in euphotic and dysphotic zonesdepends directly or indirectly on light, but ultraviolet radiation (UV-R) can damage vital molecular machineries. UV-R induces the formation of reactive oxygen species (ROS) and impairs intracellular structures and enzymatic reactions. It can also affect organismal physiologies and eventually alter trophic chains at the ecosystem level. In Antarctica, physical drivers, such as sunlight, sea-ice, seasonality and low temperature are particularly influencing as compared to other regions. The springtime ozone depletion over the Southern Ocean makes organisms be more vulnerable to UV-R. Nonetheless, Antarctic species seem to possess analogous UV photoprotection and repair mechanisms as those found in organisms from other latitudes. The lack of data on species-specific responses towards increased UV-B still limits the understanding about the ecological impact and the tolerance levels related to ozone depletion in this region. The photobiology of Antarctic biota is largely unknown, in spite of representing a highly promising reservoir in the discovery of novel cosmeceutical products. This review compiles the most relevant information on photoprotection and UV-repair processes described in organisms from the Southern Ocean, in the context of this unique marine polar environment.</t>
  </si>
  <si>
    <t>[Nunez-Pons, Laura; Verde, Cinzia; Giordano, Daniela] Stn Zool Anton Dohrn SZN, Dept Biol &amp; Evolut Marine Organisms BEOM, I-80121 Naples, Italy; [Avila, Conxita] Univ Barcelona, Fac Biol, Dept Evolutionary Biol Ecol &amp; Environm Sci, Ave Diagonal 643, E-08028 Barcelona, Catalonia, Spain; [Avila, Conxita] Univ Barcelona, Fac Biol, Biodivers Res Inst IrBIO, Ave Diagonal 643, E-08028 Barcelona, Catalonia, Spain; [Romano, Giovanna] Stn Zool Anton Dohrn SZN, Dept Marine Biotechnol Biotech, I-80121 Naples, Italy; [Verde, Cinzia; Giordano, Daniela] CNR, Inst Biosci &amp; BioResources IBBR, Via Pietro Castellino 111, I-80131 Naples, Italy</t>
  </si>
  <si>
    <t>Stazione Zoologica Anton Dohrn di Napoli; University of Barcelona; University of Barcelona; Stazione Zoologica Anton Dohrn di Napoli; Consiglio Nazionale delle Ricerche (CNR); Istituto di Bioscienze e Biorisorse (IBBR-CNR)</t>
  </si>
  <si>
    <t>Giordano, D (corresponding author), Stn Zool Anton Dohrn SZN, Dept Biol &amp; Evolut Marine Organisms BEOM, I-80121 Naples, Italy.;Giordano, D (corresponding author), CNR, Inst Biosci &amp; BioResources IBBR, Via Pietro Castellino 111, I-80131 Naples, Italy.</t>
  </si>
  <si>
    <t>laura.nunezpons@szn.it; conxita.avila@ub.edu; giovanna.romano@szn.it; cinzia.verde@ibbr.cnr.it; daniela.giordano@ibbr.cnr.it</t>
  </si>
  <si>
    <t>Giordano, Daniela/AFK-7772-2022; Avila, Conxita/B-9466-2008; Romano, Giovanna/F-4561-2015</t>
  </si>
  <si>
    <t>Giordano, Daniela/0000-0002-8891-6245; Avila, Conxita/0000-0002-5489-8376; Romano, Giovanna/0000-0002-4898-7153; VERDE, Cinzia/0000-0001-6185-282X; Nunez Pons, Laura/0000-0001-8155-3798</t>
  </si>
  <si>
    <t>Italian National Programme for Antarctic Research (PNRA) (2016/AZ1.06) [PNRA16_00043]; Spanish Government through the BLUEBIO project [CTM2016-78901/ANT]</t>
  </si>
  <si>
    <t>Italian National Programme for Antarctic Research (PNRA) (2016/AZ1.06); Spanish Government through the BLUEBIO project</t>
  </si>
  <si>
    <t>This study grant support from the Italian National Programme for Antarctic Research (PNRA) (2016/AZ1.06-Project PNRA16_00043). Grant support was also provided by the Spanish Government through the BLUEBIO project (CTM2016-78901/ANT) to C.A. This study was carried out in the framework of the SCAR Programmes Antarctic Thresholds- Ecosystem Resilience and Adaptation (AnT-ERA) and State of the Antarctic Ecosystem (AntEco).</t>
  </si>
  <si>
    <t>10.3390/md16090336</t>
  </si>
  <si>
    <t>GU9AQ</t>
  </si>
  <si>
    <t>WOS:000445636600047</t>
  </si>
  <si>
    <t>Cornet, L; Bertrand, AR; Hanikenne, M; Javaux, EJ; Wilmotte, A; Baurain, D</t>
  </si>
  <si>
    <t>Cornet, Luc; Bertrand, Amandine R.; Hanikenne, Marc; Javaux, Emmanuelle J.; Wilmotte, Annick; Baurain, Denis</t>
  </si>
  <si>
    <t>Metagenomic assembly of new (sub)polar Cyanobacteria and their associated microbiome from non-axenic cultures</t>
  </si>
  <si>
    <t>MICROBIAL GENOMICS</t>
  </si>
  <si>
    <t>Cyanobacteria; Arctic; microbiome; metagenomics; phylogenomic analysis; Antarctic</t>
  </si>
  <si>
    <t>MULTIPLE SEQUENCE ALIGNMENT; PHOTOSYNTHETIC EUKARYOTES; HETEROTROPHIC BACTERIA; BIOACTIVE COMPOUNDS; GENOMES; DIVERSITY; TOOL; ORIGIN; ANNOTATION; CONSISTENT</t>
  </si>
  <si>
    <t>Cyanobacteria form one of the most diversified phyla of Bacteria. They are important ecologically as primary producers, for Earth evolution and biotechnological applications. Yet, Cyanobacteria are notably difficult to purify and grow axenically, and most strains in culture collections contain heterotrophic bacteria that were probably associated with Cyanobacteria in the environment. Obtaining cyanobacterial DNA without contaminant sequences is thus a challenging and time-consuming task. Here, we describe a metagenomic pipeline that enables the easy recovery of genomes from non-axenic cultures. We tested this pipeline on 17 cyanobacterial cultures from the BCCM/ULC public collection and generated novel genome sequences for 12 polar or subpolar strains and three temperate ones, including three early-branching organisms that will be useful for phylogenomics. In parallel, we assembled 31 co-cultivated bacteria (12 nearly complete) from the same cultures and showed that they mostly belong to Bacteroidetes and Proteobacteria, some of them being very closely related in spite of geographically distant sampling sites.</t>
  </si>
  <si>
    <t>[Cornet, Luc; Bertrand, Amandine R.; Baurain, Denis] Univ Liege, InBioS PhytoSYST, Eukaryot Phylogen, Liege, Belgium; [Cornet, Luc; Javaux, Emmanuelle J.] Univ Liege, UR Geol Palaeobiogeol Palaeobot Palaeopalynol, Liege, Belgium; [Bertrand, Amandine R.; Hanikenne, Marc] Univ Liege, InBioS PhytoSYST, Funct Genom &amp; Plant Mol Imaging, Liege, Belgium; [Wilmotte, Annick] Univ Liege, InBioS CIP, Ctr Prot Engn, Liege, Belgium</t>
  </si>
  <si>
    <t>University of Liege; University of Liege; University of Liege; University of Liege</t>
  </si>
  <si>
    <t>Baurain, D (corresponding author), Univ Liege, InBioS PhytoSYST, Eukaryot Phylogen, Liege, Belgium.</t>
  </si>
  <si>
    <t>denis.baurain@uliege.be</t>
  </si>
  <si>
    <t>Wilmotte, Annick/H-1686-2011; Baurain, Denis/S-4048-2019; Hanikenne, Marc/Y-4642-2019</t>
  </si>
  <si>
    <t>Baurain, Denis/0000-0003-2388-6185; Hanikenne, Marc/0000-0002-8964-9601; Cornet, Luc/0000-0002-3420-4488; Bertrand, Amandine/0000-0003-2278-1808; Wilmotte, Annick/0000-0003-3546-3489</t>
  </si>
  <si>
    <t>FRS-FNRS (National Fund for Scientific Research of Belgium); European Research Council Stg ELITE [FP7/308074]; BELSPO project CCAMBIO [SD/BA/03A]; BELSPO Interuniversity Attraction Pole Planet TOPERS; Walloon Region [1117545]; FRS-FNRS [2.5020.11, 2014' CDR J.0080.15]; University of Liege [2012' SFRD-12/04]</t>
  </si>
  <si>
    <t>FRS-FNRS (National Fund for Scientific Research of Belgium)(Fonds de la Recherche Scientifique - FNRS); European Research Council Stg ELITE(European Research Council (ERC)); BELSPO project CCAMBIO; BELSPO Interuniversity Attraction Pole Planet TOPERS; Walloon Region; FRS-FNRS(Fonds de la Recherche Scientifique - FNRS); University of Liege(University of Liege)</t>
  </si>
  <si>
    <t>This work was supported by operating funds from FRS-FNRS (National Fund for Scientific Research of Belgium) (AW), the European Research Council Stg ELITE FP7/308074 (EJJ), the BELSPO project CCAMBIO (SD/BA/03A) (AW), and the BELSPO Interuniversity Attraction Pole Planet TOPERS (EJJ and LC). LC was and ARB is a FRIA fellow of the FRS-FNRS, and LC is now an IAP Planet Topers PhD scholar. MH and AW are Research Associates of the FRS-FNRS. Computational resources were provided by the Federation Wallonie-Bruxelles (Tier-1; funded by Walloon Region, grant no. 1117545), the Consortium des Equipements de Calcul Intensif (CECI; funded by FRS-FNRS, grant no. 2.5020.11), and through two grants to DB (University of Liege 'Credit de demarrage 2012' SFRD-12/04; FRS-FNRS 'Credit de recherche 2014' CDR J.0080.15).</t>
  </si>
  <si>
    <t>CHARLES DARWIN HOUSE, 12 ROGER ST, LONDON WC1N 2JU, ERKS, ENGLAND</t>
  </si>
  <si>
    <t>2057-5858</t>
  </si>
  <si>
    <t>MICROB GENOMICS</t>
  </si>
  <si>
    <t>Microb. Genomics</t>
  </si>
  <si>
    <t>10.1099/mgen.0.000212</t>
  </si>
  <si>
    <t>Genetics &amp; Heredity; Microbiology</t>
  </si>
  <si>
    <t>GV3CD</t>
  </si>
  <si>
    <t>WOS:000445970000009</t>
  </si>
  <si>
    <t>Marinova, YG</t>
  </si>
  <si>
    <t>Marinova, Yu. G.</t>
  </si>
  <si>
    <t>Stratigraphic Hiatuses in the Sedimentary Cover of the Ninetyeast Ridge</t>
  </si>
  <si>
    <t>STRATIGRAPHY AND GEOLOGICAL CORRELATION</t>
  </si>
  <si>
    <t>Ninetyeast Ridge; hiatus; seismic stratigraphy; seismic complex; deep-water drilling; correlation</t>
  </si>
  <si>
    <t>NORTHEASTERN INDIAN-OCEAN; EARLY TERTIARY</t>
  </si>
  <si>
    <t>The Ninetyeast Ridge is one of the longest structures in the World Ocean. Owing to the seis-mostratigraphic analysis, three seismic complexes are distinguished in the sedimentary cover of this ridge, lower subaerial-shallow-water (SC3), transition (SC2), and upper deep-water (SC1), and nine reflectors: 0, 0a, 1, 1a, 2, 3, 4, 5, and E On the basis of the results of correlation of seismic sections with those of deep-water sites recording the entire period of formation of the sedimentary cover of the Ninetyeast Ridge (Late Cretaceous-Quaternary), several non depositional hiatuses are distinguished. The following reasons for these hiatuses are proposed. The hiatus in the beginning of the Early Paleocene coincides in time with the general decrease in the World Ocean level and is recorded only within the northern part of the ridge. The first soft collision of the Indian and Eurasian plates, as well as Paleocene-Eocene Thermal Maximum (PETM), could have been a reason for the most long-lasting hiatus in the Early-Middle Eocene in the northern and central parts of the Ninetyeast Ridge. The hiatus in the Early Oligocene is also distinguished in these parts of the ridge and is likely associated with underwater erosion. The formation of the Antarctic Circumpolar Current (ACC) and the change in the hydrodynamic regime of the Indian Ocean could have been reasons for the hiatus in the Middle Miocene, which is traced in the sedimentary cover throughout the entire Ninetyeast Ridge.</t>
  </si>
  <si>
    <t>[Marinova, Yu. G.] Russian Acad Sci, Shirshov Inst Oceanol, Nakhimovskii Pr 36, Moscow 117218, Russia</t>
  </si>
  <si>
    <t>Russian Academy of Sciences; Shirshov Institute of Oceanology</t>
  </si>
  <si>
    <t>Marinova, YG (corresponding author), Russian Acad Sci, Shirshov Inst Oceanol, Nakhimovskii Pr 36, Moscow 117218, Russia.</t>
  </si>
  <si>
    <t>marinova.ocean@gmail.com</t>
  </si>
  <si>
    <t>Marinova, Yulia G/J-5185-2018</t>
  </si>
  <si>
    <t>Marinova, Yulia/0009-0005-2591-3855</t>
  </si>
  <si>
    <t>RFBR [16-35-60023 mol_a_dk]</t>
  </si>
  <si>
    <t>RFBR(Russian Foundation for Basic Research (RFBR))</t>
  </si>
  <si>
    <t>This study was done in the framework of the state assignment of FASO, Russia (theme no. 0149-2018-0005; seismic data processing and interpretation) and supported by the RFBR grant (project no. 16-35-60023 mol_a_dk; seimostratigrafic analysis of the materials).</t>
  </si>
  <si>
    <t>0869-5938</t>
  </si>
  <si>
    <t>1555-6263</t>
  </si>
  <si>
    <t>STRATIGR GEO CORREL+</t>
  </si>
  <si>
    <t>Stratigr. Geol. Correl.</t>
  </si>
  <si>
    <t>10.1134/S0869593818050039</t>
  </si>
  <si>
    <t>Geology; Paleontology</t>
  </si>
  <si>
    <t>GU6EV</t>
  </si>
  <si>
    <t>WOS:000445401000005</t>
  </si>
  <si>
    <t>Ma, CY; Ma, HY; Xu, GD; Feng, CL; Ma, LB; Wang, LM</t>
  </si>
  <si>
    <t>Ma, Chunyan; Ma, Hongyu; Xu, Guodong; Feng, Chunlei; Ma, Lingbo; Wang, Lumin</t>
  </si>
  <si>
    <t>De novo sequencing of the Antarctic krill (Euphausia superba) transcriptome to identify functional genes and molecular markers</t>
  </si>
  <si>
    <t>JOURNAL OF GENETICS</t>
  </si>
  <si>
    <t>transcriptome resource; de novo assembly; gene annotation; molecular markers; Euphausia superba</t>
  </si>
  <si>
    <t>SOUTHERN-OCEAN; RESOURCE; DANA</t>
  </si>
  <si>
    <t>To provide massive genetic resources for the Antarctic krill (Euphausia superba), we sequenced and analysed the transcriptome by using high-throughput Illumina paired-end sequencing technology. A total of 77.1 million clean reads representing similar to 11.0 Gb data were generated. The average length of these reads was 142 bp. De novo assembly yielded 125,211 transcripts with a N50 of 690 bp. Further analysis produced 106,250 unigenes, of which 31,683 were annotated based on protein homology searches against protein databases. Gene ontology analysis showed that ion binding, organic substance, metabolic process, and cell part were the most abundantly used terms in molecular function, biological process and cellular component categories, respectively. In addition, 3067 unigenes were mapped onto 311 signal pathways by the Kyoto Encyclopedia of Genes and Genomes (KEGG) pathway analysis. Finally, 15,224 simple sequence repeats were identified from 13,535 transcripts, and 103,593 single-nucleotide polymorphisms were found from 21.6% of total transcripts. These genetic resources obtained in this study forms a good foundation for investigating gene function, and evaluating population genetic diversity for this important Southern Ocean fisheries resource, E. superba.</t>
  </si>
  <si>
    <t>[Ma, Chunyan; Ma, Hongyu; Xu, Guodong; Feng, Chunlei; Ma, Lingbo; Wang, Lumin] Chinese Acad Fishery Sci, East China Sea Fisheries Res Inst, Shanghai 200090, Peoples R China; [Ma, Hongyu] Shantou Univ, Guangdong Prov Key Lab Marine Biol, Shantou 515063, Peoples R China</t>
  </si>
  <si>
    <t>Chinese Academy of Fishery Sciences; East China Sea Fisheries Research Institute, CAFS; Shantou University</t>
  </si>
  <si>
    <t>Ma, LB; Wang, LM (corresponding author), Chinese Acad Fishery Sci, East China Sea Fisheries Res Inst, Shanghai 200090, Peoples R China.</t>
  </si>
  <si>
    <t>malingbo@vip.sina.com; lmwang@eastfishery.ac.cn</t>
  </si>
  <si>
    <t>Hongyu, Ma/AAG-8510-2020</t>
  </si>
  <si>
    <t>National Science and Technology Support Plan [2013BAD13B03]; National Programme for Support of Top-notch Young Professionals; National Natural Science Foundation of China [41406190]</t>
  </si>
  <si>
    <t>National Science and Technology Support Plan; National Programme for Support of Top-notch Young Professionals; National Natural Science Foundation of China(National Natural Science Foundation of China (NSFC))</t>
  </si>
  <si>
    <t>This work was supported by the National Science and Technology Support Plan (no. 2013BAD13B03), the National Programme for Support of Top-notch Young Professionals, and the National Natural Science Foundation of China (no. 41406190).</t>
  </si>
  <si>
    <t>INDIAN ACAD SCIENCES</t>
  </si>
  <si>
    <t>BANGALORE</t>
  </si>
  <si>
    <t>C V RAMAN AVENUE, SADASHIVANAGAR, P B #8005, BANGALORE 560 080, INDIA</t>
  </si>
  <si>
    <t>0022-1333</t>
  </si>
  <si>
    <t>0973-7731</t>
  </si>
  <si>
    <t>J GENET</t>
  </si>
  <si>
    <t>J. Genet.</t>
  </si>
  <si>
    <t>10.1007/s12041-018-0967-z</t>
  </si>
  <si>
    <t>Genetics &amp; Heredity</t>
  </si>
  <si>
    <t>GU7UC</t>
  </si>
  <si>
    <t>WOS:000445531200022</t>
  </si>
  <si>
    <t>Stuart-Smith, J; Pecl, G; Pender, A; Tracey, S; Villanueva, C; Smith-Vaniz, WF</t>
  </si>
  <si>
    <t>Stuart-Smith, Jemina; Pecl, Gretta; Pender, Andrew; Tracey, Sean; Villanueva, Cecilia; Smith-Vaniz, William F.</t>
  </si>
  <si>
    <t>Southernmost records of two Seriola species in an Australian ocean-warming hotspot</t>
  </si>
  <si>
    <t>MARINE BIODIVERSITY</t>
  </si>
  <si>
    <t>Range extension; Ocean warming; Spatial shift; Tasmania; South-east Australia; East Australian Current</t>
  </si>
  <si>
    <t>CLIMATE-CHANGE; RANGE SHIFTS</t>
  </si>
  <si>
    <t>Changes in marine species distributions in response to climate warming are being observed globally. However, there is great variation in the magnitude and rate of species responses. South-eastern Australia represents a global hotspot for ocean warming and, subsequently, numerous poleward extensions in marine species distributions are evident within the region. We report on two species of Carangid not previously found in this region, recorded through photo-verified observations by citizen scientists. This includes the first record of Amberjack (Seriola dumerili) in eastern Tasmania and an extension of the previously most southern reported observation of a similarly mobile congener, the Yellowtail kingfish (Seriola lalandi) along south-eastern Tasmania. Out-of-range observations may simply represent vagrant individuals; however, there is also evidence that they are often indicators of future colonisation potential. Moreover, the observations presented here are potentially representative of a range of climate-driven changes to marine biodiversity in this region and highlight the utility of community observations in acting as an effective early-warning system for reporting changes in the marine environment. Early detection and reporting of distributional changes are important for proactive environmental management, and is enhanced by establishing an informed community and mechanisms for conveying these observations to science and management authorities.</t>
  </si>
  <si>
    <t>[Stuart-Smith, Jemina; Pecl, Gretta; Pender, Andrew; Tracey, Sean; Villanueva, Cecilia] Univ Tasmania, Inst Marine &amp; Antarctic Studies, Private Bag 49, Hobart, Tas 7001, Australia; [Smith-Vaniz, William F.] Univ Florida, Florida Museum Nat Hist, Gainesville, FL 32611 USA</t>
  </si>
  <si>
    <t>University of Tasmania; State University System of Florida; University of Florida</t>
  </si>
  <si>
    <t>Stuart-Smith, J (corresponding author), Univ Tasmania, Inst Marine &amp; Antarctic Studies, Private Bag 49, Hobart, Tas 7001, Australia.</t>
  </si>
  <si>
    <t>Jemina.StuartSmith@utas.edu.au</t>
  </si>
  <si>
    <t>Pecl, Gretta/D-7267-2011; Tracey, Sean/J-7446-2014</t>
  </si>
  <si>
    <t>Pecl, Gretta/0000-0003-0192-4339; Tracey, Sean/0000-0002-6735-5899</t>
  </si>
  <si>
    <t>Institute for Marine and Antarctic Studies, University of Tasmania; Museum Victoria; Inspiring Australia; Australian National Data Service; ARC Future Fellowship [FT140100596]; Australian Research Council [FT140100596] Funding Source: Australian Research Council</t>
  </si>
  <si>
    <t>Institute for Marine and Antarctic Studies, University of Tasmania; Museum Victoria; Inspiring Australia; Australian National Data Service; ARC Future Fellowship(Australian Research Council); Australian Research Council(Australian Research Council)</t>
  </si>
  <si>
    <t>Redmap citizen scientists are vital to the reporting of marine species sightings around the country (see http://www.redmap.org.au), so, foremost, we would like to acknowledge their valuable contributions. We would also like to acknowledge the verification scientists who also volunteer their time, including Rick Stuart-Smith in this instance. This project is supported by the Institute for Marine and Antarctic Studies, University of Tasmania; Museum Victoria; Inspiring Australia; and the Australian National Data Service. Thanks also go to support staff, including Yvette Barry and Elsa Gartner. Redmap obtained the expressed permission for releasing exact GPS coordinates for the Seriola dumerili sighting by Ron Walker and Simon Turner. GP is supported by an ARC Future Fellowship (FT140100596).</t>
  </si>
  <si>
    <t>1867-1616</t>
  </si>
  <si>
    <t>1867-1624</t>
  </si>
  <si>
    <t>MAR BIODIVERS</t>
  </si>
  <si>
    <t>Mar. Biodivers.</t>
  </si>
  <si>
    <t>10.1007/s12526-016-0580-4</t>
  </si>
  <si>
    <t>Biodiversity Conservation; Marine &amp; Freshwater Biology</t>
  </si>
  <si>
    <t>Biodiversity &amp; Conservation; Marine &amp; Freshwater Biology</t>
  </si>
  <si>
    <t>GT2EH</t>
  </si>
  <si>
    <t>WOS:000444295600031</t>
  </si>
  <si>
    <t>Zabin, CJ; Davidson, IC; Holzer, KK; Smith, G; Ashton, GV; Tamburri, MN; Ruiz, GM</t>
  </si>
  <si>
    <t>Zabin, Chela J.; Davidson, Ian C.; Holzer, Kimberly K.; Smith, George; Ashton, Gail, V; Tamburri, Mario N.; Ruiz, Gregory M.</t>
  </si>
  <si>
    <t>How will vessels be inspected to meet emerging biofouling regulations for the prevention of marine invasions?</t>
  </si>
  <si>
    <t>MANAGEMENT OF BIOLOGICAL INVASIONS</t>
  </si>
  <si>
    <t>biofouling management; biosecurity; maritime shipping; biological invasions; ROVs; divers; in-water inspections</t>
  </si>
  <si>
    <t>NEW-ZEALAND; WATER; SHIP; MANAGEMENT; PAINTS; IMPACT; RISKS</t>
  </si>
  <si>
    <t>International and national guidelines and regulations to limit the inadvertent transfer of non-native species on the submerged surfaces of vessels and mobile infrastructure are progressing. However, methods to assess compliance must be developed to assist both regulators and industry. While there is a history of biofouling inspections in maritime industries, including commercial shipping and infrastructure, such surveys are tailored for vessel safety and performance rather than being driven by biosecurity purposes. Thus, these inspections are likely inadequate for confirming compliance with biosecurity regulations. To determine regulatory compliance, agencies will likely rely on a combination of risk profiling, assessment of documentation of biofouling management, archival data and images, and real-time in-water surveys made by divers or remotely operated vehicles (ROVs) specific to biosecurity regulations. Divers may exceed ROVs at finding organisms in recesses and other topographically complex areas, and when regulations require confirmation of species identity or viability. In contrast, ROVs may be well suited for regulations that establish upper thresholds on biofouling levels with little concern for organism identity or condition. Several factors will inform how a survey is conducted, including cost, the type of data required by regulations, environmental conditions, safety, and logistics. Survey designs and requirements should be transparent to manage industry's expectations of border procedures, to increase the efficiency with which industry and agencies manage biofouling and potentially align the evaluation of best practices in hull and niche area maintenance across jurisdictions.</t>
  </si>
  <si>
    <t>[Zabin, Chela J.; Ashton, Gail, V; Ruiz, Gregory M.] Smithsonian Environm Res Ctr, 3152 Paradise Dr, Tiburon, CA 94920 USA; [Davidson, Ian C.; Holzer, Kimberly K.; Smith, George; Ruiz, Gregory M.] Smithsonian Environm Res Ctr, 647 Contees Wharf Rd, Edgewater, MD 21037 USA; [Ashton, Gail, V] NERC, British Antarctic Survey, Madingley Rd, Cambridge CB3 0ET, England; [Tamburri, Mario N.] Univ Maryland, Ctr Environm Sci, Chesapeake Biol Lab, 146 Williams St, Solomons, MD 20688 USA</t>
  </si>
  <si>
    <t>Smithsonian Institution; Smithsonian Environmental Research Center; Smithsonian Institution; Smithsonian Environmental Research Center; UK Research &amp; Innovation (UKRI); Natural Environment Research Council (NERC); NERC British Antarctic Survey; University System of Maryland; University of Maryland Center for Environmental Science</t>
  </si>
  <si>
    <t>Zabin, CJ (corresponding author), Smithsonian Environm Res Ctr, 3152 Paradise Dr, Tiburon, CA 94920 USA.</t>
  </si>
  <si>
    <t>zabinc@si.edu; davidsoni@si.edu; holzerk@si.edu; smithgeo@si.edu; ashtong@si.edu; ruizg@si.edu</t>
  </si>
  <si>
    <t>Tamburri, Mario N/F-7193-2013</t>
  </si>
  <si>
    <t>Davidson, Ian/0000-0002-8729-6048; Ashton, Gail/0000-0001-5884-3383</t>
  </si>
  <si>
    <t>US Maritime Administration through the Maritime Environmental Resource Center, Maryland USA; NERC [bas0100036] Funding Source: UKRI</t>
  </si>
  <si>
    <t>US Maritime Administration through the Maritime Environmental Resource Center, Maryland USA; NERC(UK Research &amp; Innovation (UKRI)Natural Environment Research Council (NERC))</t>
  </si>
  <si>
    <t>This work was funded by the US Maritime Administration through the Maritime Environmental Resource Center, Maryland USA. This manuscript was greatly improved with the assistance of four anonymous reviewers. We thank our colleagues at various regulatory agencies for their patience in explaining the details of regulations and approaches to compliance, Lina Ceballos for assisting with translation of the Galapagos Marine Reserve inspection regulations, and Blu Forman for figure preparation.</t>
  </si>
  <si>
    <t>REGIONAL EURO-ASIAN BIOLOGICAL INVASIONS CENTRE-REABIC</t>
  </si>
  <si>
    <t>HELSINKI</t>
  </si>
  <si>
    <t>PO BOX 3, HELSINKI, 00981, FINLAND</t>
  </si>
  <si>
    <t>1989-8649</t>
  </si>
  <si>
    <t>MANAG BIOL INVASION</t>
  </si>
  <si>
    <t>Manag. Biol. Invasion</t>
  </si>
  <si>
    <t>10.3391/mbi.2018.9.3.03</t>
  </si>
  <si>
    <t>Biodiversity Conservation</t>
  </si>
  <si>
    <t>Biodiversity &amp; Conservation</t>
  </si>
  <si>
    <t>GT8OD</t>
  </si>
  <si>
    <t>WOS:000444796900003</t>
  </si>
  <si>
    <t>Lu, LH; Xu, LL; Yang, JX; Li, Z; Guo, JS; Xiao, Y; Yao, JJ</t>
  </si>
  <si>
    <t>Lu, Lunhui; Xu, Linlin; Yang, Jixiang; Li, Zhe; Guo, Jinsong; Xiao, Yan; Yao, Juanjuan</t>
  </si>
  <si>
    <t>Contribution of heterotrophic bacterioplankton to cyanobacterial bloom formation in a tributary backwater area of the Three Gorges Reservoir, China</t>
  </si>
  <si>
    <t>ENVIRONMENTAL SCIENCE AND POLLUTION RESEARCH</t>
  </si>
  <si>
    <t>Phytoplankton; Bacterioplankton; Flow cytometer; Three Gorges Reservoir; Cyanobacterial bloom</t>
  </si>
  <si>
    <t>NUCLEIC-ACID CONTENT; BACTERIAL PRODUCTION; COASTAL WATERS; PHYTOPLANKTON BLOOMS; SEASONAL DYNAMICS; ANTARCTIC LAKES; FLOW-CYTOMETRY; COMMUNITY; ABUNDANCE; PICOPLANKTON</t>
  </si>
  <si>
    <t>This study investigated phytoplankton and bacterioplankton communities by flow cytometer in a tributary backwater area of the Three Gorges Reservoir, China. Samplings were conducted in two cyanobacterial bloom periods (May and August) and no algal-blooms period (November) of 2014, representing three different operational stages of the reservoir, i.e., reservoir discharge period, fluctuating period in the summer flood season, and high water level in the impoundment period. Phyto- and bacterioplankton exhibit a wide range of variability along the depth profiles of the water column. In the investigated two cyanobacterial bloom periods, prokaryotes accounted for over 50% of the total phytoplankton. As for bacterioplankton, low nucleic acid bacteria were dominant in August and November. A positive correlation was observed between phytoplankton (pico- and nanophytoplankton), Chl a, and bacterioplankton. High nucleic acid groups and prokaryotes were highly coupled in May and August, which indicated that this high nucleic acid group could probably contribute to the explanation of cyanobacterial bloom formation in this area.</t>
  </si>
  <si>
    <t>[Lu, Lunhui; Yang, Jixiang; Li, Zhe; Guo, Jinsong; Xiao, Yan] Chinese Acad Sci, Chongqing Inst Green &amp; Intelligent Technol, Key Lab Reservoir Aquat Environm CAS, Chongqing 400714, Peoples R China; [Xu, Linlin; Li, Zhe; Guo, Jinsong; Yao, Juanjuan] Chongqing Univ, Key Lab Three Gorges Reservoir Reg Ecoenvironm, Minist Educ, Chongqing 400045, Peoples R China</t>
  </si>
  <si>
    <t>Chinese Academy of Sciences; Chongqing Institute of Green &amp; Intelligent Technology, CAS; Chongqing University</t>
  </si>
  <si>
    <t>Li, Z (corresponding author), Chinese Acad Sci, Chongqing Inst Green &amp; Intelligent Technol, Key Lab Reservoir Aquat Environm CAS, Chongqing 400714, Peoples R China.;Li, Z (corresponding author), Chongqing Univ, Key Lab Three Gorges Reservoir Reg Ecoenvironm, Minist Educ, Chongqing 400045, Peoples R China.</t>
  </si>
  <si>
    <t>lizhe@cigit.ac.cn</t>
  </si>
  <si>
    <t>haibin, tang/JVO-0925-2024; xu, Linlin/JCF-2403-2023; XU, Lin/HZL-5726-2023; yang, jixiang/AAC-5223-2019; XU, Lin/JDM-5554-2023; Li, Zhe/J-4626-2016</t>
  </si>
  <si>
    <t>yang, jixiang/0000-0003-4462-9575; XU, Lin/0000-0003-1781-1638; Li, Zhe/0000-0003-1743-7906</t>
  </si>
  <si>
    <t>National Key Research and Development Plan of China [2017YFC0404705]; National Natural Science Foundation of China [51509233, 51679226, 51861125204]; Chongqing Science and Technology Commission [cstc2017jcyjAX0243]; National Key S&amp;T Project on Water Pollution Control and Treatment [2015ZX07103-007]; Key Research Program of Frontier Sciences, CAS [QYZDJSSWDQC008]</t>
  </si>
  <si>
    <t>National Key Research and Development Plan of China; National Natural Science Foundation of China(National Natural Science Foundation of China (NSFC)); Chongqing Science and Technology Commission(Natural Science Foundation Project of CQ CSTC); National Key S&amp;T Project on Water Pollution Control and Treatment; Key Research Program of Frontier Sciences, CAS</t>
  </si>
  <si>
    <t>This study was supported by the National Key Research and Development Plan of China (No. 2017YFC0404705), the National Natural Science Foundation of China (Nos. 51509233, 51679226, and 51861125204), the Chongqing Science and Technology Commission (No. cstc2017jcyjAX0243), the National Key S&amp;T Project on Water Pollution Control and Treatment (2015ZX07103-007), and Key Research Program of Frontier Sciences, CAS (QYZDJSSWDQC008).</t>
  </si>
  <si>
    <t>0944-1344</t>
  </si>
  <si>
    <t>1614-7499</t>
  </si>
  <si>
    <t>ENVIRON SCI POLLUT R</t>
  </si>
  <si>
    <t>Environ. Sci. Pollut. Res.</t>
  </si>
  <si>
    <t>10.1007/s11356-018-2790-8</t>
  </si>
  <si>
    <t>GT1EP</t>
  </si>
  <si>
    <t>WOS:000444202800063</t>
  </si>
  <si>
    <t>Dharwadkar, A; Shrivastava, PK; Srivastava, HB</t>
  </si>
  <si>
    <t>Dharwadkar, Amit; Shrivastava, Prakash K.; Srivastava, Hari B.</t>
  </si>
  <si>
    <t>Tectonometamorphic Evolution of Jutulsessen, Gjelsvikfjella, cDML, East Antarctica</t>
  </si>
  <si>
    <t>DRONNING MAUD LAND; SCHIRMACHER OASIS; AFRICAN OROGEN; ROCK SERIES; EVENTS; METAMORPHISM; GRANULITES; EXTENSION; BELT; FE</t>
  </si>
  <si>
    <t>The Jutulsessen area, can provide a vital clue to the supercontinent assembly of Gondwana Land as it is situated within the Circum East Antarctic Mobile Belt just east of the Penksockett rift marking the divide between the central Dronning Maud Land from the Western Dronning Maud Land. This landmass is dominated by migmatitic quartzo-feldspathic rocks intruded by syn to post-tectonic granites. The work highlights the data from western part cDML area with a view to arrive at a more comprehensive model for the cDML and subsequently to the super continent assembly. Granitic and migmatitic gneisses comprising of amphibolitic and biotite rich enclaves. The gneisses show variations from quartzo-felspathic gneiss to amphibolitic gneiss. The area has witnessed complex geological history involving at different deformational episodes with concomitant metamorphism. The pervasive dominant foliation trends NW-SE with shallow to medium dips towards SW. In the Stabben area, a nonfoliated intrusive syenite-gabbro pluton limits the gneissic exposures. Compositionally, the orthogneisses plot in the monzogranitegranodiorite field where as the mafic dykes/enclaves plot in the basalt-andesite-rhyodacite field. The bulk geochemical characteristics suggest significant crustal contamination. Garnet-biotite Fe-Mg exchange thermometry gives peak metamorphic temperature of 483 degrees C for the gneisses and 628 degrees C for the dioritic enclave within gneisses. A peak metamorphic grade of upper amphibolite to granulite facies is deduced from the mineral assemblages. Widespread anatexis has led to extensive occurrence of migmatites in the area. Recent geochronological studies assign an age of 1170 Ma to 970 Ma for the migmatites/gneisses and an emplacement age of 501 Ma for the Stabben gabbro and syenite. The discriminant plots of the Jutulsessen rocks indicate diverse origin ranging from pre-plate collision to post-collision orogenic tectonic setting. The mafic enclaves/dykes show ocean island arc to MORB affinities. Voluminous addition of juvenile crust during the Pan-African orogeny strongly overprints earlier structures.</t>
  </si>
  <si>
    <t>[Dharwadkar, Amit] Geol Survey India, Polar Studies Div, Faridabad 121001, India; [Shrivastava, Prakash K.] Geol Survey India, State Unit Sikkim, Gangtok 737101, India; [Srivastava, Hari B.] Banaras Hindu Univ, Dept Geol, Varanasi 221005, Uttar Pradesh, India</t>
  </si>
  <si>
    <t>Geological Survey India; Geological Survey India; Banaras Hindu University (BHU)</t>
  </si>
  <si>
    <t>Shrivastava, PK (corresponding author), Geol Survey India, State Unit Sikkim, Gangtok 737101, India.</t>
  </si>
  <si>
    <t>pks.shri@gmail.com</t>
  </si>
  <si>
    <t>10.1007/s12594-018-1003-x</t>
  </si>
  <si>
    <t>GT4TP</t>
  </si>
  <si>
    <t>WOS:000444497600003</t>
  </si>
  <si>
    <t>Musto, RA</t>
  </si>
  <si>
    <t>Musto, Ryan A.</t>
  </si>
  <si>
    <t>Cold Calculations: The United States and the Creation of Antarctica's Atom-Free Zone</t>
  </si>
  <si>
    <t>DIPLOMATIC HISTORY</t>
  </si>
  <si>
    <t>Even tho [sic.] I was born an American I know this country has a naturalization law, and so have many other countries, but what I want to know is how to become a penguin. Penguins evidently are more important than people, because I 2 nations have agreed not to have any nuclear wars in the Antarctic. Penguins will need no shelters, need fear no fill-out, and wear nice clothes, too. Where can I learn to speak penguinese?</t>
  </si>
  <si>
    <t>0145-2096</t>
  </si>
  <si>
    <t>1467-7709</t>
  </si>
  <si>
    <t>DIPLOMATIC HIST</t>
  </si>
  <si>
    <t>Dipl. Hist.</t>
  </si>
  <si>
    <t>10.1093/dh/dhx045</t>
  </si>
  <si>
    <t>GS3XE</t>
  </si>
  <si>
    <t>WOS:000443559400023</t>
  </si>
  <si>
    <t>Costa, MDD; Mills, M; Richardson, AJ; Fuller, RA; Muelbert, JH; Possingham, HP</t>
  </si>
  <si>
    <t>de Paula Costa, Micheli Duarte; Mills, Morena; Richardson, Anthony J.; Fuller, Richard A.; Muelbert, Jose H.; Possingham, Hugh P.</t>
  </si>
  <si>
    <t>Efficiently enforcing artisanal fisheries to protect estuarine biodiversity</t>
  </si>
  <si>
    <t>ECOLOGICAL APPLICATIONS</t>
  </si>
  <si>
    <t>artisanal fisheries; climate variability; enforcement; ENSO events; estuaries; marine spatial planning; seasonal closures</t>
  </si>
  <si>
    <t>COMMUNITY-BASED MANAGEMENT; PATOS LAGOON; SOUTHERN BRAZIL; CONSERVATION; COMANAGEMENT; AREAS; RESOURCES</t>
  </si>
  <si>
    <t>Artisanal fisheries support millions of livelihoods worldwide, yet ineffective enforcement can allow for continued environmental degradation due to overexploitation. Here, we use spatial planning to design an enforcement strategy for a pre-existing spatial closure for artisanal fisheries considering climate variability, existing seasonal fishing closures, representative conservation targets and enforcement costs. We calculated enforcement cost in three ways, based on different assumptions about who could be responsible for monitoring the fishery. We applied this approach in the Patos Lagoon estuary (Brazil), where we found three important results. First, spatial priorities for enforcement were similar under different climate scenarios. Second, we found that the cost and percentage of area enforced varied among scenarios tested by the conservation planning analysis, with only a modest increase in budget needed to incorporate climate variability. Third, we found that spatial priorities for enforcement depend on whether enforcement is carried out by a central authority or by the community itself. Here, we demonstrated a method that can be used to efficiently design enforcement plans, resulting in the conservation of biodiversity and estuarine resources. Also, cost of enforcement can be potentially reduced when fishers are empowered to enforce management within their fishing grounds.</t>
  </si>
  <si>
    <t>[de Paula Costa, Micheli Duarte; Mills, Morena; Fuller, Richard A.; Possingham, Hugh P.] Univ Queensland, Sch Biol Sci, Brisbane, Qld 4072, Australia; [de Paula Costa, Micheli Duarte; Muelbert, Jose H.] Univ Fed Rio Grande, Inst Oceanog, Lab Ecol Ictioplancton, Campus Carreiros,Ave Italia Km 8,CP 474, BR-96203900 Rio Grande, RS, Brazil; [Mills, Morena] Imperial Coll London, Dept Life Sci, Silwood Pk Campus, Ascot SL5 7PY, Berks, England; [Richardson, Anthony J.] Commonwealth Sci &amp; Ind Res Org CSIRO Oceans &amp; Atm, QBP, St Lucia, Qld 4072, Australia; [Richardson, Anthony J.] Univ Queensland, Sch Math &amp; Phys, St Lucia, Qld 4072, Australia; [Muelbert, Jose H.] Univ Tasmania, Inst Marine &amp; Antarctic Studies, Hobart, Tas, Australia; [Possingham, Hugh P.] Nature Conservancy, South Brisbane, Qld 4101, Australia</t>
  </si>
  <si>
    <t>University of Queensland; Universidade Federal do Rio Grande; Imperial College London; Commonwealth Scientific &amp; Industrial Research Organisation (CSIRO); University of Queensland; University of Tasmania; Nature Conservancy</t>
  </si>
  <si>
    <t>Costa, MDD (corresponding author), Univ Queensland, Sch Biol Sci, Brisbane, Qld 4072, Australia.;Costa, MDD (corresponding author), Univ Fed Rio Grande, Inst Oceanog, Lab Ecol Ictioplancton, Campus Carreiros,Ave Italia Km 8,CP 474, BR-96203900 Rio Grande, RS, Brazil.</t>
  </si>
  <si>
    <t>m.duartedepaulacost@uq.edu.au</t>
  </si>
  <si>
    <t>Muelbert, Jose H/J-5110-2014; Possingham, Hugh/B-1337-2008; POSSINGHAM, HUGH/R-8310-2019; Fuller, Richard/B-7971-2008; Richardson, Anthony J/B-3649-2010; Mills, Morena/AAD-8916-2019</t>
  </si>
  <si>
    <t>Muelbert, Jose H/0000-0002-2319-2469; Possingham, Hugh/0000-0001-7755-996X; POSSINGHAM, HUGH/0000-0001-7755-996X; Fuller, Richard/0000-0001-9468-9678; Richardson, Anthony J/0000-0002-9289-7366; Duarte de Paula Costa, Micheli/0000-0002-4849-2628</t>
  </si>
  <si>
    <t>Brazilian National Council for Scientific and Technological Development (CNPq); Centre for Biodiversity and Conservation Science (The University of Queensland); CNPq [234037/2014-8, 310047/2016-1]</t>
  </si>
  <si>
    <t>Brazilian National Council for Scientific and Technological Development (CNPq)(Conselho Nacional de Desenvolvimento Cientifico e Tecnologico (CNPQ)); Centre for Biodiversity and Conservation Science (The University of Queensland); CNPq(Conselho Nacional de Desenvolvimento Cientifico e Tecnologico (CNPQ))</t>
  </si>
  <si>
    <t>This research was funded by the Brazilian National Council for Scientific and Technological Development (CNPq) and supported by the Centre for Biodiversity and Conservation Science (The University of Queensland). We are thankful to our colleagues from the Federal University of Rio Grande for collaborating with our dataset. M. D. de Paula Costa was supported by a CNPq International Postdoctoral Fellowship (234037/2014-8) and J. H. Muelbert by a CNPq Fellowship (310047/2016-1). M. D. de Paula Costa and J. H. Muelbert conceived the study; M. D. de Paula Costa, M. Mills, A. J. Richardson, R. A. Fuller and H. P. Possingham designed the study methodology; M. D. de Paula Costa analysed the data with the input from all other authors; M. D. de Paula Costa led the writing of the manuscript with the contribution from all other authors.</t>
  </si>
  <si>
    <t>1051-0761</t>
  </si>
  <si>
    <t>1939-5582</t>
  </si>
  <si>
    <t>ECOL APPL</t>
  </si>
  <si>
    <t>Ecol. Appl.</t>
  </si>
  <si>
    <t>10.1002/eap.1744</t>
  </si>
  <si>
    <t>GS3VZ</t>
  </si>
  <si>
    <t>WOS:000443555100006</t>
  </si>
  <si>
    <t>Qasim, M; Ding, L; Khan, MA; Umar, M; Jadoon, IAK; Haneef, M; Baral, U; Cai, FL; Shah, A; Yao, W</t>
  </si>
  <si>
    <t>Qasim, Muhammad; Ding, Lin; Khan, Muhammad Asif; Umar, Muhammad; Jadoon, Ishtiaq A. K.; Haneef, Muhammad; Baral, Upendra; Cai, Fulong; Shah, Azeem; Yao, Wei</t>
  </si>
  <si>
    <t>Late Neoproterozoic-Early Palaeozoic stratigraphic succession, Western Himalaya, North Pakistan: Detrital zircon provenance and tectonic implications</t>
  </si>
  <si>
    <t>GEOLOGICAL JOURNAL</t>
  </si>
  <si>
    <t>detrital zircon provenance; Gondwana assembly; Neoproterozoic-Early Palaeozoic succession; Pakistan; U-Pb geochronology; Western Himalaya</t>
  </si>
  <si>
    <t>SHRIMP U-PB; PRINCE-CHARLES MOUNTAINS; EAST ANTARCTIC SHIELD; ARABIAN-NUBIAN SHIELD; LESSER HIMALAYA; HF-ISOTOPES; INDIA IMPLICATIONS; ND ISOTOPES; MC-ICPMS; GONDWANA</t>
  </si>
  <si>
    <t>This paper presents the first ever detrital zircon U-Pb-Hf isotopic study for the Late Neoproterozoic-Early Palaeozoic stratigraphic succession exposed in the Hazara Basin, Western Himalaya, North Pakistan. This time span represents the break-up of the supercontinent Rodinia and final assembly of Gondwana. The detrital record of the Late Neoproterozoic succession indicates well-mixed detritus shed from within the Indian Craton, especially the Central Indian provenance (including the Delhi Fold Belt, Aravalli Orogen, and Bundlekhand Craton). The epsilon Hf(t) values are mostly negative, and Hf TDMC ages are clustered at 2.0-2.4Ga, which indicates the derivation from an ancient reworked crustal source. In addition, the presence of a few positive epsilon Hf(t) values in the Late Neoproterozoic sequence indicates addition of the juvenile crust that corresponds to the period of the Rodinia break-up. However, dissimilarities with detrital signatures from the Australian continent may indicate break-up of the Rodinia supercontinent and detachment of Australia from India prior to similar to 754Ma, which is the depositional age of the Hazara Formation. In addition, the angular unconformity at the base of the Abbottabad Formation represents the compressional tectonics that might be associated with the Pan-African (Indo-Antarctic Craton collision with the East African Orogen during 800-700Ma) orogeny. The presence of the metamorphism and deformation in the rocks below the unconformity supports such an event prior to deposition of the Early Palaeozoic Abbottabad Formation. Similarly, the appearance of the Pan-African detritus in the Early Palaeozoic Abbottabad Formation could be due to closure of the ocean basin between Eastern and Western Gondwana along the Mozambique Suture. This provenance change may indicate the final assembly of supercontinent Gondwana.</t>
  </si>
  <si>
    <t>[Qasim, Muhammad; Ding, Lin; Baral, Upendra; Cai, Fulong; Yao, Wei] Chinese Acad Sci, Inst Tibetan Plateau Res, Key Lab Continental Collis &amp; Plateau Uplift, Beijing, Peoples R China; [Qasim, Muhammad; Ding, Lin; Baral, Upendra; Cai, Fulong; Yao, Wei] Chinese Acad Sci, Ctr Excellence Tibetan Plateau Earth Sci, Beijing, Peoples R China; [Qasim, Muhammad; Ding, Lin; Baral, Upendra; Cai, Fulong; Yao, Wei] Univ Chinese Acad Sci, Beijing, Peoples R China; [Qasim, Muhammad; Umar, Muhammad; Jadoon, Ishtiaq A. K.; Haneef, Muhammad] COMSATS Inst Informat Technol, Dept Earth Sci, Abbottabad, Khyber Pakhtunk, Pakistan; [Khan, Muhammad Asif] Karakorum Int Univ, Gilgit, Gilgit Baltista, Pakistan; [Shah, Azeem] Univ Haripur, Dept Geol, Haripur, Khyber Pakhtunk, Pakistan</t>
  </si>
  <si>
    <t>Chinese Academy of Sciences; Institute of Tibetan Plateau Research, CAS; Chinese Academy of Sciences; Chinese Academy of Sciences; University of Chinese Academy of Sciences, CAS; COMSATS University Islamabad (CUI)</t>
  </si>
  <si>
    <t>Qasim, M (corresponding author), COMSATS Inst Informat Technol, Dept Earth Sci, Abbottabad, Khyber Pakhtunk, Pakistan.</t>
  </si>
  <si>
    <t>qasimtanoli@itpcas.ac.cn</t>
  </si>
  <si>
    <t>Khan, Muhammad Asif/A-5487-2017; Umar, Muhammad/IVU-9943-2023; Jadoon, Ishtiaq Ahmed Khan/GLN-6422-2022; Qasim, Muhammad/ABG-6488-2021; Qasim, Muhammad/GQA-9483-2022; Baral, Upendra/P-3601-2019</t>
  </si>
  <si>
    <t>Umar, Muhammad/0000-0003-4310-2448; Qasim, Muhammad/0000-0002-3340-1463; Qasim, Muhammad/0000-0002-3340-1463; Baral, Upendra/0000-0002-0679-0950; Cai, Fulong/0000-0003-4843-680X</t>
  </si>
  <si>
    <t>National Natural Science Foundation of China [41490610]; National Research and Development Plan [2016YFC0600303]; Chinese Academy of Sciences [XDB03010401]</t>
  </si>
  <si>
    <t>National Natural Science Foundation of China(National Natural Science Foundation of China (NSFC)); National Research and Development Plan; Chinese Academy of Sciences(Chinese Academy of Sciences)</t>
  </si>
  <si>
    <t>National Natural Science Foundation of China, Grant/Award Number: 41490610; National Research and Development Plan, Grant/Award Number: 2016YFC0600303; Chinese Academy of Sciences, Grant/Award Number: XDB03010401</t>
  </si>
  <si>
    <t>0072-1050</t>
  </si>
  <si>
    <t>1099-1034</t>
  </si>
  <si>
    <t>GEOL J</t>
  </si>
  <si>
    <t>Geol. J.</t>
  </si>
  <si>
    <t>10.1002/gj.3063</t>
  </si>
  <si>
    <t>GS3YD</t>
  </si>
  <si>
    <t>WOS:000443563400038</t>
  </si>
  <si>
    <t>Kleimenova, NG</t>
  </si>
  <si>
    <t>Kleimenova, N. G.</t>
  </si>
  <si>
    <t>V. A. Troitskaya: the Founder of the Russian School of Geomagnetic Pulsations</t>
  </si>
  <si>
    <t>IZVESTIYA-PHYSICS OF THE SOLID EARTH</t>
  </si>
  <si>
    <t>INTERPLANETARY MAGNETIC-FIELD; DAYTIME CASP; ELECTROMAGNETIC-FIELD; HIGH ATMOSPHERE; CONNECTION; MICROPULSATIONS; DIAGNOSTICS; EMISSIONS; POINTS; MAGNETOSPHERE</t>
  </si>
  <si>
    <t>A thorough investigation of short-period oscillations in the Earth's magnetic field as a fundamental natural process of the magnetospheric plasma began in Russia after V.A. Troitskaya established two oscillatory regimes in the geomagnetic field, namely, the regimes of continuous (Pc) and irregular pulsations (Pi). For studying these pulsations, 19 stations recording the telluric currents were installed during the International Geophysical Year (IGY, 1957-1959) on Troitskaya's initiative. One of these stations was the Borok station. Subsequently, Borok has become the basic site for investigating geomagnetic pulsations and the main center for studying the short-period pulsations (SPPs) in the Earth's magnetic field. This is the Borok scientific station where the key fundamental regularities of different types of geomagnetic pulsations were established. Troitskaya led and actively participated these works. Troitskaya organized and conducted the first complex geomagnetic observations in the world at the conjugate points Sogra (Arkhangelsk region, Russia) and Kerguelen (Indian Ocean). These studies were initially tested at the Borok observatory, where it was established that the wave packets of Pc1 geomagnetic pulsations are alternately observed in the northern and southern hemispheres in contrast to the other pulsation types which simultaneously occur in both hemispheres. The studies carried out at Borok promoted the establishment of a new direction in geophysicsdiagnostics of the state of the magnetosphere based on the ground observations of geomagnetic pulsations. The analysis of simultaneous observations of the geomagnetic pulsations at polar latitudes of the Arctic and Antarctic was also for the first time conducted at the Borok observatory. This analysis revealed the main characteristics of wave phenomena at the geomagnetic poles and in the vicinity of the projection of the dayside polar cusp. Thus, for the first time in the world, Troitskaya and her Borok colleagues established the key patterns of the oscillatory regimes in the geomagnetic field of the Earth. This laid the basis for the further experimental and theoretical investigations which have shown that SPPs play a leading role in the dynamics of the magnetospheric plasma. In this paper we also list of 60 of Troitskaya's main publications.</t>
  </si>
  <si>
    <t>[Kleimenova, N. G.] Russian Acad Sci, Schmidt Inst Phys Earth, Moscow 123242, Russia</t>
  </si>
  <si>
    <t>Russian Academy of Sciences; Schmidt Institute of Physics of the Earth of the Russian Academy of Sciences</t>
  </si>
  <si>
    <t>Kleimenova, NG (corresponding author), Russian Acad Sci, Schmidt Inst Phys Earth, Moscow 123242, Russia.</t>
  </si>
  <si>
    <t>kleimen@ifz.ru</t>
  </si>
  <si>
    <t>1069-3513</t>
  </si>
  <si>
    <t>1555-6506</t>
  </si>
  <si>
    <t>IZV-PHYS SOLID EART+</t>
  </si>
  <si>
    <t>Izv.-Phys. Solid Earth</t>
  </si>
  <si>
    <t>10.1134/S1069351318050087</t>
  </si>
  <si>
    <t>GS7AI</t>
  </si>
  <si>
    <t>WOS:000443851200001</t>
  </si>
  <si>
    <t>Guglielmi, AV</t>
  </si>
  <si>
    <t>Guglielmi, A. V.</t>
  </si>
  <si>
    <t>Geoelectromagnetic Oscillations</t>
  </si>
  <si>
    <t>magnetosphere; radiation belt; solar wind; interplanetary magnetic field; hydromagnetic diagnostics; magnetotelluric sounding; helioseismology</t>
  </si>
  <si>
    <t>SOLAR-WIND; MAGNETOSPHERE; WAVES; DIAGNOSTICS; PULSATIONS</t>
  </si>
  <si>
    <t>A hundred years have passed since the outstanding scientist Professor V.A. Troitskaya was born. This paper is dedicated to her centenary. It discusses her scientific contributions to studying ultralow frequency oscillations of the Earth's electromagnetic field. The discussion covers permanent and sporadic oscillations, pearl necklace, pulsations of increasing frequency, specific oscillations observed in the Arctic and Antarctic. The paper also describes the current state of the scientific problems that were Professor Troitskaya's focus of interest. Particular attention is given to the key role of the interplanetary magnetic field in forming the spatial-temporal structure of oscillations.</t>
  </si>
  <si>
    <t>[Guglielmi, A. V.] Russian Acad Sci, Schmidt Inst Phys Earth, Moscow 123242, Russia</t>
  </si>
  <si>
    <t>Guglielmi, AV (corresponding author), Russian Acad Sci, Schmidt Inst Phys Earth, Moscow 123242, Russia.</t>
  </si>
  <si>
    <t>guglielmi@mail.ru</t>
  </si>
  <si>
    <t>Russian Academy of Sciences [28]; Russian Foundation for Basic Research [16-05-00056]</t>
  </si>
  <si>
    <t>Russian Academy of Sciences(Russian Academy of Sciences); Russian Foundation for Basic Research(Russian Foundation for Basic Research (RFBR)Spanish Government)</t>
  </si>
  <si>
    <t>I am grateful to my colleagues B.V. Dobvnya, O.D. Zotov, A.L. Kalisher, J. Kangas, B.I. Klain, R. Lundin, E.T. Matveeva, K. Mursula, O.A. Pokhotelov, A.S. Potapov, V.F. Rouban, M.G. Savin, I.O. Solntseva, I.V. Sterlikova, and F.Z. Feygin for sharing their memories of Valeriya Alexeevna Troitskaya over the years. All of us, and many others, were her disciples and friends. This paper is supported by Program 28 of the Presidium of the Russian Academy of Sciences and the Russian Foundation for Basic Research (project 16-05-00056).</t>
  </si>
  <si>
    <t>10.1134/S1069351318050063</t>
  </si>
  <si>
    <t>WOS:000443851200002</t>
  </si>
  <si>
    <t>Viglione, GA; Thompson, AF; Flexas, MM; Sprintall, J; Swart, S</t>
  </si>
  <si>
    <t>Viglione, Giuliana A.; Thompson, Andrew F.; Flexas, M. Mar; Sprintall, Janet; Swart, Sebastiaan</t>
  </si>
  <si>
    <t>Abrupt Transitions in Submesoscale Structure in Southern Drake Passage: Glider Observations and Model Results</t>
  </si>
  <si>
    <t>Antarctica; Atmosphere-ocean interaction; Instability; Potential vorticity; Mixed layer; Oceanic mixed layer</t>
  </si>
  <si>
    <t>ANTARCTIC CIRCUMPOLAR CURRENT; WEDDELL-SCOTIA CONFLUENCE; MIXED-LAYER DEPTH; SLOPE FRONT; UPPER-OCEAN; BOUNDARY-LAYER; WATER MASSES; HEAT-BUDGET; PART I; MESOSCALE</t>
  </si>
  <si>
    <t>Enhanced vertical velocities associated with submesoscale motions may rapidly modify mixed layer depths and increase exchange between the mixed layer and the ocean interior. These dynamics are of particular importance in the Southern Ocean, where the ventilation of many density classes occurs. Here we present results from an observational field program in southern Drake Passage, a region preconditioned for submesoscale instability owing to its strong mesoscale eddy field, persistent fronts, strong down-front winds, and weak vertical stratification. Two gliders sampled from December 2014 through March 2015 upstream and downstream of the Shackleton Fracture Zone (SFZ). The acquired time series of mixed layer depths and buoyancy gradients enabled calculations of potential vorticity and classifications of submesoscale instabilities. The regions flanking the SFZ displayed remarkably different characteristics despite similar surface forcing. Mixed layer depths were nearly twice as deep, and horizontal buoyancy gradients were larger downstream of the SFZ. Upstream of the SFZ, submesoscale variability was confined to the edges of topographically steered fronts, whereas downstream these motions were more broadly distributed. Comparisons to a one-dimensional (1D) mixing model demonstrate the role of submesoscale instabilities in generating mixed layer variance. Numerical output from a submesoscale-resolving simulation indicates that submesoscale instabilities are crucial for correctly reproducing upper-ocean stratification. These results show that bathymetry can play a key role in generating dynamically distinct submesoscale characteristics over short spatial scales and that submesoscale motions can be locally active during summer months.</t>
  </si>
  <si>
    <t>[Viglione, Giuliana A.; Thompson, Andrew F.; Flexas, M. Mar] CALTECH, Pasadena, CA 91125 USA; [Sprintall, Janet] Scripps Inst Oceanog, La Jolla, CA USA; [Swart, Sebastiaan] Univ Gothenburg, Gothenburg, Sweden; [Swart, Sebastiaan] Univ Cape Town, Cape Town, South Africa</t>
  </si>
  <si>
    <t>California Institute of Technology; University of California System; University of California San Diego; Scripps Institution of Oceanography; University of Gothenburg; University of Cape Town</t>
  </si>
  <si>
    <t>Viglione, GA (corresponding author), CALTECH, Pasadena, CA 91125 USA.</t>
  </si>
  <si>
    <t>giuliana@caltech.edu</t>
  </si>
  <si>
    <t>Flexas, Mar/GOV-3308-2022; Swart, Sebastiaan/U-5498-2017</t>
  </si>
  <si>
    <t>Flexas, Mar/0000-0002-0617-3004; Swart, Sebastiaan/0000-0002-2251-8826</t>
  </si>
  <si>
    <t>NSF [OPP-1246460, OPP-1246160]; Wallenberg Academy Fellowship [WAF 2015.0186]; South African National Research Foundation (NRF) [SNA14071475720]</t>
  </si>
  <si>
    <t>NSF(National Science Foundation (NSF)); Wallenberg Academy Fellowship; South African National Research Foundation (NRF)(National Research Foundation - South Africa)</t>
  </si>
  <si>
    <t>GAV and AFT were supported by NSF Award OPP-1246460. JS was supported by NSF Award OPP-1246160. SS thanks the following funding agencies: a Wallenberg Academy Fellowship (WAF 2015.0186) and the South African National Research Foundation (NRF), Grant SNA14071475720. The Group for High Resolution Sea Surface Temperature (GHRSST) Multiscale Ultra-High-Resolution (MUR) SST data were obtained from the NASA EOSDIS Physical Oceanography Distributed Active Archive Center (PO.DAAC) at the Jet Propulsion Laboratory, Pasadena, California (https://doi.org/10.5067/GHGMR-4FJ01). The ERA-Interim data were obtained from ECMWF. The authors thank the Antarctic Support Contract staff as well as the captains and crews of the ARSV Laurence M. Gould and the RRS Ernest Shackleton for their support during the deployment and recovery cruises.</t>
  </si>
  <si>
    <t>10.1175/JPO-D-17-0192.1</t>
  </si>
  <si>
    <t>GS6JL</t>
  </si>
  <si>
    <t>WOS:000443799500001</t>
  </si>
  <si>
    <t>Mancilla, A</t>
  </si>
  <si>
    <t>Mancilla, Alejandra</t>
  </si>
  <si>
    <t>The Moral Limits of Territorial Claims in Antarctica</t>
  </si>
  <si>
    <t>ETHICS &amp; INTERNATIONAL AFFAIRS</t>
  </si>
  <si>
    <t>Antarctica; Antarctic Treaty System; imperialism; international law; natural resources; territorial claim; sovereignty</t>
  </si>
  <si>
    <t>By virtue of the Antarctic Treaty, signed in 1959, the territorial claims to Antarctica of seven of the original signatories were held in abeyance or frozen. Considered by many as an exemplar of international law, the Antarctic Treaty System has come to be increasingly questioned, however, in a very much changed global scenario that presents new challenges to the governance of the White Continent. In this context, it is necessary to gain a clearer understanding of the moral weight of those initial claims, which stand (despite being frozen) as a cornerstone of the treaty. The aim of this article is to offer an appraisal of such claims, which may be divided into two main kinds: those grounded on some relevant link to the territory, and those grounded on official documents and geographical doctrines. After pointing to the limitations and challenges that they face, I conclude with some remarks about how this assessment ought to serve as a starting point to rethink the territorial status of Antarctica.</t>
  </si>
  <si>
    <t>[Mancilla, Alejandra] Univ Oslo, Fac Humanities, Pract Philosophy, Oslo, Norway</t>
  </si>
  <si>
    <t>University of Oslo</t>
  </si>
  <si>
    <t>Mancilla, A (corresponding author), Univ Oslo, Fac Humanities, Pract Philosophy, Oslo, Norway.</t>
  </si>
  <si>
    <t>m.a.mancilla@ifikk.uio.no</t>
  </si>
  <si>
    <t>NorLARNet; Research Council of Norway, as part of the research project Political Philosophy Looks to Antarctica</t>
  </si>
  <si>
    <t>I am very grateful to Alfonso Donoso for extensive comments on previous versions of this article. I would also like to thank Megan Blomfield, Kerstin Reibold, Chris Armstrong, and Andreas Follesdal for written feedback, Jose Retamales for the illuminating conversations on the topic, and the audiences at the following venues: the Territorial Rights and Rivers Workshop, University of Cork; the Territorial Challenges Conference, Universite du Quebec a Montreal; the CSMN Final Conference and Political Philosophy Looks to Antarctica Workshop, University of Oslo; and the Political Science Seminar and Seminar on International Legal and Political Theory, University of Oslo. I also thank NorLARNet for financing the Workshop Norway, Chile, and Argentina as Original Claimants and Current Guardians of Peace, Science, and Environmental Protection in Antarctica, University of Tromso, where an earlier version of this article was presented. Finally, I thank the editors and anonymous reviewers of Ethics &amp; International Affairs for giving me substantial feedback, and Hannah Monsrud Sandvik for her research assistance. This work has been financially supported by the Research Council of Norway, as part of the research project Political Philosophy Looks to Antarctica.</t>
  </si>
  <si>
    <t>0892-6794</t>
  </si>
  <si>
    <t>1747-7093</t>
  </si>
  <si>
    <t>ETHICS INT AFF</t>
  </si>
  <si>
    <t>Ethics Int. Aff.</t>
  </si>
  <si>
    <t>10.1017/S0892679418000527</t>
  </si>
  <si>
    <t>Ethics; International Relations; Political Science</t>
  </si>
  <si>
    <t>Social Sciences - Other Topics; International Relations; Government &amp; Law</t>
  </si>
  <si>
    <t>GS0YD</t>
  </si>
  <si>
    <t>WOS:000443235700008</t>
  </si>
  <si>
    <t>Song, YK; Song, L; Yin, FW; Zhang, JR; Zhang, J; Zhou, DY; Wang, T</t>
  </si>
  <si>
    <t>Song, Yukun; Song, Liang; Yin, Fawen; Zhang, Jianrun; Zhang, Jing; Zhou, Dayong; Wang, Tong</t>
  </si>
  <si>
    <t>Kinetics of Astaxanthin Degradation in Three Types of Antarctic Krill (Euphausia superba) Oil during Storage</t>
  </si>
  <si>
    <t>JOURNAL OF THE AMERICAN OIL CHEMISTS SOCIETY</t>
  </si>
  <si>
    <t>Astaxanthin kinetics; Degradation; Antarctic krill oil; Storage</t>
  </si>
  <si>
    <t>NONENZYMATIC BROWNING REACTIONS; HAEMATOCOCCUS-PLUVIALIS; OXIDATIVE-DEGRADATION; SHRIMP; EXTRACTION; STABILITY; MODEL; CAROTENOIDS; ESTERS; TOCOPHEROL</t>
  </si>
  <si>
    <t>Three types of Antarctic krill oil (KO), namely, phospholipid-type krill oil (PKO), whole krill oil (WKO), and triacylglycerol-rich krill oil (TKO), were stored at three different temperatures (-20, 4, and 25 degrees C) with or without oxygen to investigate the effects of temperature and oxygen on astaxanthin (AST) degradation during storage. Additionally, the influence of fatty acid composition on AST degradation in the three types of KO was compared. The results revealed that the degradation of AST followed first-order kinetics, and the temperature dependence of the reaction was well explained by the Arrhenius relationship. A high storage temperature led to faster AST degradation. AST degradation rates under nitrogen were lower than those under an oxygen atmosphere. The higher degradation rate of AST in PKO is ascribed to its higher level of polyunsaturated fatty acids (PUFA) in comparison to WKO and TKO. This is the first time the energy of activation of AST degradation was evaluated to determine how the fatty acid composition of the oil matrix and storage atmosphere affect the reaction kinetics.</t>
  </si>
  <si>
    <t>[Song, Yukun; Song, Liang; Yin, Fawen; Zhang, Jianrun; Zhang, Jing; Zhou, Dayong] Dalian Polytech Univ, Sch Food Sci &amp; Technol, 1 Qinggongyuan, Dalian 116034, Liaoning, Peoples R China; [Song, Yukun; Song, Liang; Yin, Fawen; Zhang, Jianrun; Zhang, Jing; Zhou, Dayong] Dalian Polytech Univ, Natl Engn Res Ctr Seafood, Minist Sci &amp; Technol, 1 Qinggongyuan, Dalian 116034, Liaoning, Peoples R China; [Wang, Tong] Iowa State Univ, Dept Food Sci &amp; Human Nutr, 2312 Food Sci Bldg,536 Farm House Lane, Ames, IA 50011 USA</t>
  </si>
  <si>
    <t>Dalian Polytechnic University; Dalian Polytechnic University; Iowa State University</t>
  </si>
  <si>
    <t>Song, L (corresponding author), Dalian Polytech Univ, Sch Food Sci &amp; Technol, 1 Qinggongyuan, Dalian 116034, Liaoning, Peoples R China.;Song, L (corresponding author), Dalian Polytech Univ, Natl Engn Res Ctr Seafood, Minist Sci &amp; Technol, 1 Qinggongyuan, Dalian 116034, Liaoning, Peoples R China.</t>
  </si>
  <si>
    <t>ryo.song@foxmail.com; zdyf1@163.com</t>
  </si>
  <si>
    <t>wang, tong/HTR-5412-2023; Song, Yukun/GZK-5353-2022; Zhang, Jian/K-2595-2019</t>
  </si>
  <si>
    <t>Zhang, Jian/0000-0003-0201-2331</t>
  </si>
  <si>
    <t>Project of Distinguished Professor of Liaoning Province [2015-153]; Program for Liaoning Excellent Talents in University [LR2015006]; Liaoning Provincial Natural Science Foundation of China [2015020781]; Program for Dalian High-Level Innovative Talent [2015R0007]</t>
  </si>
  <si>
    <t>Project of Distinguished Professor of Liaoning Province; Program for Liaoning Excellent Talents in University; Liaoning Provincial Natural Science Foundation of China; Program for Dalian High-Level Innovative Talent</t>
  </si>
  <si>
    <t>This work was financially supported by Project of Distinguished Professor of Liaoning Province (2015-153), Program for Liaoning Excellent Talents in University (LR2015006), Liaoning Provincial Natural Science Foundation of China (2015020781), and Program for Dalian High-Level Innovative Talent (2015R0007).</t>
  </si>
  <si>
    <t>0003-021X</t>
  </si>
  <si>
    <t>1558-9331</t>
  </si>
  <si>
    <t>J AM OIL CHEM SOC</t>
  </si>
  <si>
    <t>J. Am. Oil Chem. Soc.</t>
  </si>
  <si>
    <t>10.1002/aocs.12129</t>
  </si>
  <si>
    <t>Chemistry, Applied; Food Science &amp; Technology</t>
  </si>
  <si>
    <t>Chemistry; Food Science &amp; Technology</t>
  </si>
  <si>
    <t>GS0WZ</t>
  </si>
  <si>
    <t>WOS:000443231900005</t>
  </si>
  <si>
    <t>Simone, LRL</t>
  </si>
  <si>
    <t>Simone, Luiz Ricardo L.</t>
  </si>
  <si>
    <t>Convergence with naticids: phenotypic phylogenetic study on some Antarctic littorinoideans, with description of the zerotulid new genus Pseudonatica, and its presence in Brazil (Mollusca, Caenogastropoda)</t>
  </si>
  <si>
    <t>JOURNAL OF THE MARINE BIOLOGICAL ASSOCIATION OF THE UNITED KINGDOM</t>
  </si>
  <si>
    <t>Littorinidae; Zerotulidae; Antarctica; Brazil; anatomy; phylogeny; morphology</t>
  </si>
  <si>
    <t>GASTROPODA; LITTORINIDAE; REPRODUCTION; EVOLUTION; BIVALVIA; MARTENS; ISLANDS; GROWTH; SEA</t>
  </si>
  <si>
    <t>Some Antarctic littorinoideans have a remarkable convergence with Naticoidea in shell and operculum features. Two naticid-like species of that group are studied in their phenotypic features in order to improve their taxonomy and to discuss the meaning of that convergence, as the former are herbivore-detritivore and the latter active predatory organisms. One of the studied species is the littorinid Laevilacunaria antarctica (Martens, 1885). The other belongs to a new genus - Pseudonatica, with the type species also newly described: P. antarctica, the genus is tentatively placed in Zerotulidae. Another Pseudonatica is also described, P. ampullarica, based only on shells collected by Marion-Dufresne French expedition off Brazilian coast, this finding expands the occurrence of zerotulids northwards. Besides the similarities of shell and operculum, other structures of these Antarctic species also show singular similarities with naticoideans, such as the wide foot, the complexity of opercular attachment in pedal opercular pad, the wide oesophageal gland, and the coiled arrangement of the pallial oviduct. The phenotypic characters were coded and inserted in a previous large phylogenetic analysis on Caenogastropoda (Simone, 2011), furnishing a wide basis for discussion on the characters, taxonomic position, evolution and adaptations of these organisms.</t>
  </si>
  <si>
    <t>[Simone, Luiz Ricardo L.] Univ Sao Paulo, Museu Zool, Caixa Postal 42494, BR-04299970 Sao Paulo, SP, Brazil</t>
  </si>
  <si>
    <t>Simone, LRL (corresponding author), Univ Sao Paulo, Museu Zool, Caixa Postal 42494, BR-04299970 Sao Paulo, SP, Brazil.</t>
  </si>
  <si>
    <t>lrsimone@usp.br</t>
  </si>
  <si>
    <t>Simone, Luiz Ricardo L./E-9919-2012</t>
  </si>
  <si>
    <t>FAPESP (Fundacao de amparo a Pesquisa do Estado de Sao Paulo) [2010/11253-9]</t>
  </si>
  <si>
    <t>FAPESP (Fundacao de amparo a Pesquisa do Estado de Sao Paulo)(Fundacao de Amparo a Pesquisa do Estado de Sao Paulo (FAPESP))</t>
  </si>
  <si>
    <t>This project is part supported by FAPESP (Fundacao de amparo a Pesquisa do Estado de Sao Paulo), proc. #2010/11253-9.</t>
  </si>
  <si>
    <t>0025-3154</t>
  </si>
  <si>
    <t>1469-7769</t>
  </si>
  <si>
    <t>J MAR BIOL ASSOC UK</t>
  </si>
  <si>
    <t>J. Mar. Biol. Assoc. U.K.</t>
  </si>
  <si>
    <t>10.1017/S002531541700025X</t>
  </si>
  <si>
    <t>GP8CS</t>
  </si>
  <si>
    <t>WOS:000441138100012</t>
  </si>
  <si>
    <t>Herbert, T</t>
  </si>
  <si>
    <t>Herbert, Timothy</t>
  </si>
  <si>
    <t>PALAEOCLIMATE Into the ice age</t>
  </si>
  <si>
    <t>News Item</t>
  </si>
  <si>
    <t>ANTARCTIC GLACIATION; EOCENE; TRANSITION; EVOLUTION; CO2</t>
  </si>
  <si>
    <t>[Herbert, Timothy] Brown Univ, Dept Earth Environm &amp; Planetary Sci, Providence, RI 02912 USA</t>
  </si>
  <si>
    <t>Brown University</t>
  </si>
  <si>
    <t>Herbert, T (corresponding author), Brown Univ, Dept Earth Environm &amp; Planetary Sci, Providence, RI 02912 USA.</t>
  </si>
  <si>
    <t>timothy_herbert@brown.edu</t>
  </si>
  <si>
    <t>10.1038/s41561-018-0189-2</t>
  </si>
  <si>
    <t>WOS:000443302900005</t>
  </si>
  <si>
    <t>Liu, ZH; He, YX; Jiang, YQ; Wang, HY; Liu, WG; Bohaty, SM; Wilson, PA</t>
  </si>
  <si>
    <t>Liu, Zhonghui; He, Yuxin; Jiang, Yiqing; Wang, Huanye; Liu, Weiguo; Bohaty, Steven M.; Wilson, Paul A.</t>
  </si>
  <si>
    <t>Transient temperature asymmetry between hemispheres in the Palaeogene Atlantic Ocean</t>
  </si>
  <si>
    <t>EOCENE-OLIGOCENE TRANSITION; MERIDIONAL OVERTURNING CIRCULATION; ANTARCTIC GLACIATION; THERMOHALINE CIRCULATION; CLIMATE TRANSITION; ATMOSPHERIC CO2; SOUTH ATLANTIC; PACIFIC-OCEAN; DRAKE PASSAGE; ICE SHEETS</t>
  </si>
  <si>
    <t>During the Late Palaeogene between similar to 40 and 23 million years ago (Ma), Earth transitioned from a warm non-glaciated climate state and developed large dynamic ice sheets on Antarctica. This transition is largely inferred from the deep-sea oxygen isotope record because records from independent temperature proxies are sparse. Here we present a 25-million-year-long alkenone-based record of surface temperature change from the North Atlantic Ocean. Our long temperature record documents peak warmth (similar to 29 degrees C) during the middle Eocene, a slow overall decline to the Eocene/Oligocene transition (EOT, similar to 34 Ma) and high-amplitude variability (between similar to 28 and 24 degrees C) during the Oligo-Miocene. The overall structure of the record is similar to that of the deep-sea record, but a distinct anomaly is also evident. We find no evidence of surface cooling in the North Atlantic directly coinciding with the EOT when Antarctica first became cold enough to sustain large ice sheets and subantarctic waters cooled substantially. Surface ocean cooling during the EOT was therefore strongly asymmetric between hemispheres. This transient thermal decoupling of the North Atlantic Ocean from the southern high latitudes suggests that Antarctic glaciation triggered changes in ocean circulation-driven heat transport and influenced the far-field climate response.</t>
  </si>
  <si>
    <t>[Liu, Zhonghui; Jiang, Yiqing] Univ Hong Kong, Dept Earth Sci, Hong Kong, Hong Kong, Peoples R China; [Liu, Zhonghui; Wang, Huanye; Liu, Weiguo] Chinese Acad Sci, Inst Earth Environm, State Key Lab Loess &amp; Quaternary Geol, Xian, Shaanxi, Peoples R China; [He, Yuxin] Zhejiang Univ, Sch Earth Sci, Hangzhou, Zhejiang, Peoples R China; [Bohaty, Steven M.; Wilson, Paul A.] Univ Southampton, Nat Oceanog Ctr Southampton, Southampton, Hants, England</t>
  </si>
  <si>
    <t>University of Hong Kong; Chinese Academy of Sciences; Institute of Earth Environment, CAS; Zhejiang University; University of Southampton; NERC National Oceanography Centre</t>
  </si>
  <si>
    <t>Liu, ZH (corresponding author), Univ Hong Kong, Dept Earth Sci, Hong Kong, Hong Kong, Peoples R China.;Liu, ZH (corresponding author), Chinese Acad Sci, Inst Earth Environm, State Key Lab Loess &amp; Quaternary Geol, Xian, Shaanxi, Peoples R China.;Wilson, PA (corresponding author), Univ Southampton, Nat Oceanog Ctr Southampton, Southampton, Hants, England.</t>
  </si>
  <si>
    <t>zhliu@hku.hk; paul.wilson@noc.soton.ac.uk</t>
  </si>
  <si>
    <t>wang, zhenhui/JMQ-0550-2023; Li, Zilong/JEZ-8642-2023; Wang, Xuezhen/IUN-6267-2023; Liu, Zhonghui/D-3163-2009; wang, huan ye/I-4001-2015</t>
  </si>
  <si>
    <t>Liu, Zhonghui/0000-0002-2168-8305; wang, huan ye/0000-0003-2149-3097; Wilson, Paul/0000-0001-6425-8906</t>
  </si>
  <si>
    <t>US National Science Foundation; National Key Research and Development Program of China [2016YFE0109500]; National Natural Science Foundation of China [41420104008]; Chinese Academy of Sciences [QYZDY-SSW-DQC001, ZDBS-SSW-DQC001]; Hong Kong Research Grant Council Grant [17303614]; UK Natural Environment Research Council (NERC) Grant [NE/L007452/1]; NERC Grant [NE/K014137/1]; Royal Society Wolfson award; Natural Environment Research Council [NE/K014137/1, NE/K006800/1, NE/G009376/1, NE/I006168/1, NE/K008390/1] Funding Source: researchfish; NERC [NE/K006800/1, NE/K014137/1, NE/G009376/1, NE/I006168/1, NE/K008390/1, NE/L007452/1] Funding Source: UKRI</t>
  </si>
  <si>
    <t>US National Science Foundation(National Science Foundation (NSF)); National Key Research and Development Program of China; National Natural Science Foundation of China(National Natural Science Foundation of China (NSFC)); Chinese Academy of Sciences(Chinese Academy of Sciences); Hong Kong Research Grant Council Grant(Hong Kong Research Grants Council); UK Natural Environment Research Council (NERC) Grant(UK Research &amp; Innovation (UKRI)Natural Environment Research Council (NERC)); NERC Grant(UK Research &amp; Innovation (UKRI)Natural Environment Research Council (NERC)); Royal Society Wolfson award(Royal Society); Natural Environment Research Council(UK Research &amp; Innovation (UKRI)Natural Environment Research Council (NERC)); NERC(UK Research &amp; Innovation (UKRI)Natural Environment Research Council (NERC))</t>
  </si>
  <si>
    <t>We dedicate this contribution to M. Pagani. This research used samples provided by the Integrated Ocean Drilling Program (IODP), which is sponsored by the US National Science Foundation and participating countries under management of Joint Oceanographic Institutions, Inc. We thank the scientists, technicians and support staff of IODP Expedition 342, IODP China and IODP UK for support. This research was supported by National Key Research and Development Program of China (2016YFE0109500), National Natural Science Foundation of China (41420104008), Chinese Academy of Sciences (QYZDY-SSW-DQC001, ZDBS-SSW-DQC001) (to W.L and Z.L.), Hong Kong Research Grant Council Grant 17303614 (to Z.L.), UK Natural Environment Research Council (NERC) Grant NE/L007452/1 (to S.M.B), NERC Grant NE/K014137/1 (to P.A.W.) and a Royal Society Wolfson award (to P.A.W.). We thank H. Coxall for a thorough and constructive review.</t>
  </si>
  <si>
    <t>10.1038/s41561-018-0182-9</t>
  </si>
  <si>
    <t>WOS:000443302900012</t>
  </si>
  <si>
    <t>Saluga, M; Ochyra, R; Zarnowiec, J; Ronikier, M</t>
  </si>
  <si>
    <t>Saluga, Marta; Ochyra, Ryszard; Zarnowiec, Jan; Ronikier, Michal</t>
  </si>
  <si>
    <t>Do Antarctic populations represent local or widespread phylogenetic and ecological lineages? Complicated fate of bipolar moss concepts with Drepanocladus longifolius as a case study</t>
  </si>
  <si>
    <t>ORGANISMS DIVERSITY &amp; EVOLUTION</t>
  </si>
  <si>
    <t>Adaptation; Antarctic biogeography; Bipolar moss species; Bryophytes; Drepanocladus longifolius; Drepanocladus capillifolius; Last glacial maximum (LGM); Phylogeography</t>
  </si>
  <si>
    <t>AMBLYSTEGIACEAE BRYOPSIDA; CHLOROPLAST RIBOSOME; SOUTHERN-HEMISPHERE; BRYUM-ARGENTEUM; SEQUENCE DATA; EVOLUTION; ISLANDS; BIOGEOGRAPHY; DISPERSAL; BRYOPHYTA</t>
  </si>
  <si>
    <t>Bipolar moss species, extreme examples of large and disjunctive geographical ranges, belong to the most important components of the vegetation cover in Antarctica. Their appropriate taxonomic interpretations are essential for fine-scale biogeographical considerations but our knowledge on their phylogenetic affinities still remains limited. Here, we address the history of the Antarctic populations of Drepanocladus longifolius, a moss species widely considered a bipolar taxon. First, based on a worldwide sampling, we verify its assumed bipolar status. Then, we ask whether its current Antarctic populations have persisted throughout at least the last major glaciation in situ or, alternatively, are they a recent, postglacial element. Phylogenetic analyses together with investigation of morphological characters were used to infer relationships among accessions representing the whole distribution range of the taxon. Morphological and phylogenetic data strictly segregated specimens from the Southern and the Northern Hemisphere, with an exception of Australian populations that were included in the latter group. The Antarctic, sub-Antarctic and South American populations belong to a single clade and are treated as D. longifolius s. str., which consequently is not a bipolar taxon. All Northern Hemisphere populations and the ones from Australia represent D. capillifolius, a lately neglected taxon, which thus displays a true bipolar distribution pattern but not comprising the Antarctic and South American populations. These results provide a sound example of key importance of a detailed taxonomical and phylogenetic treatment as a basis for biogeographical studies. In D. longifolius s. str., a homogeneity in all non-coding nuclear and plastid regions was observed throughout the whole range. It contrasted with the presence of one missense mutation in the rps4 gene in all examined Antarctic populations, which correlated with their distinct ecological situation. While identity of non-coding sequences in D. longifolius populations indicates a postglacial recruitment of extant Antarctic populations from extra-regional locations rather than a long-term in situ survival, the mutation in the rps4 gene may be hypothesised to reflect an adaptive response of plants to the Antarctic environment.</t>
  </si>
  <si>
    <t>[Saluga, Marta; Ochyra, Ryszard; Ronikier, Michal] Polish Acad Sci, W Szafer Inst Bot, Lubicz 46, PL-31512 Krakow, Poland; [Zarnowiec, Jan] Univ Bielsko Biala, Inst Environm Protect &amp; Engn, Willowa 2, PL-43309 Bielsko Biala, Poland</t>
  </si>
  <si>
    <t>Polish Academy of Sciences; W. Szafer Institute of Botany of the Polish Academy of Sciences; University of Bielsko-Biala</t>
  </si>
  <si>
    <t>Saluga, M (corresponding author), Polish Acad Sci, W Szafer Inst Bot, Lubicz 46, PL-31512 Krakow, Poland.</t>
  </si>
  <si>
    <t>m.saluga@botany.pl</t>
  </si>
  <si>
    <t>Saługa, Marta/ABG-9944-2021</t>
  </si>
  <si>
    <t>Ronikier, Michal/0000-0001-7652-6787; Zarnowiec, Jan/0000-0002-9662-7531; Ochyra, Ryszard/0000-0002-2541-0722; Saluga, Marta/0000-0002-2236-816X</t>
  </si>
  <si>
    <t>National Science Centre, Poland [NCN 2015/17/B/N28/02475/]; W. Szafer Institute of Botany of the Polish Academy of Sciences</t>
  </si>
  <si>
    <t>National Science Centre, Poland(National Science Centre, Poland); W. Szafer Institute of Botany of the Polish Academy of Sciences</t>
  </si>
  <si>
    <t>This study was funded by the National Science Centre, Poland, grant number: NCN 2015/17/B/N28/02475/ and, partly, through the statutory fund of the W. Szafer Institute of Botany of the Polish Academy of Sciences.</t>
  </si>
  <si>
    <t>1439-6092</t>
  </si>
  <si>
    <t>1618-1077</t>
  </si>
  <si>
    <t>ORG DIVERS EVOL</t>
  </si>
  <si>
    <t>Org. Divers. Evol.</t>
  </si>
  <si>
    <t>10.1007/s13127-018-0372-8</t>
  </si>
  <si>
    <t>Evolutionary Biology; Zoology</t>
  </si>
  <si>
    <t>GS2OQ</t>
  </si>
  <si>
    <t>WOS:000443390900001</t>
  </si>
  <si>
    <t>Chen, QS; Ming, J</t>
  </si>
  <si>
    <t>Chen, Qingshan; Ming, Ju</t>
  </si>
  <si>
    <t>The Multilevel Monte Carlo Method for Simulations of Turbulent Flows</t>
  </si>
  <si>
    <t>MONTHLY WEATHER REVIEW</t>
  </si>
  <si>
    <t>Ocean circulation; Turbulence; Differential equations; Numerical analysis; modeling; Ocean models; Stochastic models</t>
  </si>
  <si>
    <t>FINITE-VOLUME METHODS; CENTROIDAL VORONOI TESSELLATIONS; OCEAN CIRCULATION MODELS; SHALLOW-WATER EQUATIONS; BETA-PLANE CHANNEL; CIRCUMPOLAR CURRENT; TRACER TRANSPORTS; CONSERVATION-LAWS; ELEMENT METHODS; DRAKE PASSAGE</t>
  </si>
  <si>
    <t>In this paper, the application of the multilevel Monte Carlo (MLMC) method to numerical simulations of turbulent flows with uncertain parameters is investigated. Several strategies for setting up the MLMC method are presented, and the advantages and disadvantages of each strategy are also discussed. A numerical experiment is carried out using an idealized model for the Antarctic Circumpolar Current (ACC) with uncertain, small-scale bottom topographic features. It is demonstrated that unlike the pointwise solutions, the averaged volume transports are correlated across grid resolutions, and the MLMC method can increase simulation efficiency without losing accuracy in uncertainty assessments.</t>
  </si>
  <si>
    <t>[Chen, Qingshan] Clemson Univ, Dept Math Sci, Clemson, SC USA; [Ming, Ju] Huazhong Univ Sci &amp; Technol, Sch Math &amp; Stat, Wuhan, Hubei, Peoples R China</t>
  </si>
  <si>
    <t>Clemson University; Huazhong University of Science &amp; Technology</t>
  </si>
  <si>
    <t>Ming, J (corresponding author), Huazhong Univ Sci &amp; Technol, Sch Math &amp; Stat, Wuhan, Hubei, Peoples R China.</t>
  </si>
  <si>
    <t>jming@hust.edu.cn</t>
  </si>
  <si>
    <t>Simons Foundation [319070]; NSF of China [91330104]</t>
  </si>
  <si>
    <t>Simons Foundation; NSF of China(National Natural Science Foundation of China (NSFC))</t>
  </si>
  <si>
    <t>This work was in part supported by Simons Foundation (319070 to Qingshan Chen) and NSF of China (91330104 to Ju Ming).</t>
  </si>
  <si>
    <t>0027-0644</t>
  </si>
  <si>
    <t>1520-0493</t>
  </si>
  <si>
    <t>MON WEATHER REV</t>
  </si>
  <si>
    <t>Mon. Weather Rev.</t>
  </si>
  <si>
    <t>10.1175/MWR-D-18-0053.1</t>
  </si>
  <si>
    <t>GR4HS</t>
  </si>
  <si>
    <t>Green Submitted, hybrid</t>
  </si>
  <si>
    <t>WOS:000442564500001</t>
  </si>
  <si>
    <t>Sleight, VA; Peck, LS; Dyrynda, EA; Smith, VJ; Clark, MS</t>
  </si>
  <si>
    <t>Sleight, Victoria A.; Peck, Lloyd S.; Dyrynda, Elisabeth A.; Smith, Valerie J.; Clark, Melody S.</t>
  </si>
  <si>
    <t>Cellular stress responses to chronic heat shock and shell damage in temperate Mya truncata</t>
  </si>
  <si>
    <t>CELL STRESS &amp; CHAPERONES</t>
  </si>
  <si>
    <t>Mollusc; Bivalve; Transcriptomics; Heat shock proteins; Reactive oxygen species; Immunology; Biomineralisation</t>
  </si>
  <si>
    <t>DIFFERENTIAL EXPRESSION ANALYSIS; SEASTARS LEPTASTERIAS-POLARIS; MUSSEL MYTILUS-EDULIS; MOLECULAR CHAPERONES; RAPID ACCLIMATION; ASTERIAS-VULGARIS; NORTHERN GULF; PROTEIN; TRANSCRIPTOME; REGENERATION</t>
  </si>
  <si>
    <t>Acclimation, via phenotypic flexibility, is a potential means for a fast response to climate change. Understanding the molecular mechanisms underpinning phenotypic flexibility can provide a fine-scale cellular understanding of how organisms acclimate. In the last 30 years, Mya truncata populations around the UK have faced an average increase in sea surface temperature of 0.7 degrees C and further warming of between 1.5 and 4 degrees C, in all marine regions adjacent to the UK, is predicted by the end of the century. Hence, data are required on the ability of M. truncata to acclimate to physiological stresses, and most notably, chronic increases in temperature. Animals in the present study were exposed to chronic heat-stress for 2 months prior to shell damage and subsequently, only 3, out of 20 damaged individuals, were able to repair their shells within 2 weeks. Differentially expressed genes (between control and damaged animals) were functionally enriched with processes relating to cellular stress, the immune response and biomineralisation. Comparative transcriptomics highlighted genes, and more broadly molecular mechanisms, that are likely to be pivotal in this lack of acclimation. This study demonstrates that discovery-led transcriptomic profiling of animals during stress-response experiments can shed light on the complexity of biological processes and changes within organisms that can be more difficult to detect at higher levels of biological organisation.</t>
  </si>
  <si>
    <t>[Sleight, Victoria A.] Univ Cambridge, Dept Zool, Downing St, Cambridge CB2 3EJ, England; [Sleight, Victoria A.; Peck, Lloyd S.; Clark, Melody S.] British Antarctic Survey, Nat Environm Res Council, Madingley Rd, Cambridge CB3 0ET, England; [Dyrynda, Elisabeth A.] Heriot Watt Univ, Inst Life &amp; Earth Sci, Ctr Marine Biodivers &amp; Biotechnol, Edinburgh EH14 4AS, Midlothian, Scotland; [Smith, Valerie J.] Univ St Andrews, Sch Biol, Scottish Oceans Inst, St Andrews KY16 8LB, Fife, Scotland</t>
  </si>
  <si>
    <t>University of Cambridge; UK Research &amp; Innovation (UKRI); Natural Environment Research Council (NERC); NERC British Antarctic Survey; Heriot Watt University; University of St Andrews</t>
  </si>
  <si>
    <t>Sleight, VA (corresponding author), Univ Cambridge, Dept Zool, Downing St, Cambridge CB2 3EJ, England.;Sleight, VA (corresponding author), British Antarctic Survey, Nat Environm Res Council, Madingley Rd, Cambridge CB3 0ET, England.</t>
  </si>
  <si>
    <t>vas45@cam.ac.uk</t>
  </si>
  <si>
    <t>Clark, Melody S/D-7371-2014; Sleight, Victoria A./AHE-7337-2022</t>
  </si>
  <si>
    <t>Sleight, Victoria A./0000-0003-0550-8500</t>
  </si>
  <si>
    <t>NERC DTG [NE/J500173/1]; NERC; NERC [bas0100036, dml011000] Funding Source: UKRI</t>
  </si>
  <si>
    <t>NERC DTG; NERC(UK Research &amp; Innovation (UKRI)Natural Environment Research Council (NERC)); NERC(UK Research &amp; Innovation (UKRI)Natural Environment Research Council (NERC))</t>
  </si>
  <si>
    <t>VAS was funded by a NERC DTG studentship (Project Reference: NE/J500173/1) to the British Antarctic Survey. MSC and LSP were financed by NERC core funding to the British Antarctic Survey. We would like to thank Elizabeth M. Harper for advice on M. truncata distributions, shell structure and repair processes; the dive team, and many associated helpers, at the NERC National Facility for Scientific Diving at Oban for animal collection; both Andrew Mogg and Kim Last at the Scottish Association of Marine Sciences for kindly overseeing animal husbandry during animal holding and acclimation.</t>
  </si>
  <si>
    <t>1355-8145</t>
  </si>
  <si>
    <t>1466-1268</t>
  </si>
  <si>
    <t>CELL STRESS CHAPERON</t>
  </si>
  <si>
    <t>Cell Stress Chaperones</t>
  </si>
  <si>
    <t>10.1007/s12192-018-0910-5</t>
  </si>
  <si>
    <t>Cell Biology</t>
  </si>
  <si>
    <t>GR7HQ</t>
  </si>
  <si>
    <t>WOS:000442860300019</t>
  </si>
  <si>
    <t>Gil-Durán, C; Ravanal, MC; Ubilla, P; Vaca, I; Chávez, R</t>
  </si>
  <si>
    <t>Gil-Duran, Carlos; Ravanal, Maria-Cristina; Ubilla, Pamela; Vaca, Inmaculada; Chavez, Renato</t>
  </si>
  <si>
    <t>Heterologous expression, purification and characterization of a highly thermolabile endoxylanase from the Antarctic fungus Cladosporium sp.</t>
  </si>
  <si>
    <t>FUNGAL BIOLOGY</t>
  </si>
  <si>
    <t>Antarctica; Cold-active enzyme; Cold-adapted fungus; Low thermostability; Pichia pastoris; Xylan</t>
  </si>
  <si>
    <t>COLD; XYLANASE; ENZYMES; MARINE; DEGRADATION</t>
  </si>
  <si>
    <t>Numerous endoxylanases from mesophilic fungi have been purified and characterized. However, endoxylanases from cold-adapted fungi, especially those from Antarctica, have been less studied. In this work, a cDNA from the Antarctic fungus Cladosporium sp. with similarity to endoxylanases from glycosyl hydrolase family 10, was cloned and expressed in Pichia pastoris. The pure recombinant enzyme (named XynA) showed optimal activity on xylan at 50 degrees C and pH 6-7. The enzyme releases xylooligosaccharides but not xylose, indicating that XynA is a classical endoxylanase. The enzyme was most active on xylans with high content of arabinose (rye arabinoylan and wheat arabinoxylan) than on xylans with low content of arabinose (oat spelts xylan, birchwood xylan and beechwood xylan). Finally, XynA showed a very low thermostability. After 20-30 min of incubation at 40 degrees C, the enzyme was completely inactivated, suggesting that XynA would be the most thermolabile endoxylanase described so far in filamentous fungi. This is one of the few reports describing the heterologous expression and characterization of a xylanase from a fungus isolated from Antarctica. (C) 2018 British Mycological Society. Published by Elsevier Ltd. All rights reserved.</t>
  </si>
  <si>
    <t>[Gil-Duran, Carlos; Ubilla, Pamela; Chavez, Renato] Univ Santiago Chile USACH, Fac Quim &amp; Biol, Dept Biol, Estn Cent, Alameda 3363, Santiago 9170022, Chile; [Ravanal, Maria-Cristina] Univ Andres Bello, Fac Ciencias Biol, Ctr Bioinformat &amp; Integrat Biol, Ave Republ 239, Santiago, Chile; [Ravanal, Maria-Cristina] Univ Austral Chile, Fac Ciencias Agr, Inst Ciencia &amp; Tecnol Alimentos ICYTAL, Avda Julio Sarrazin S-N, Valdivia, Chile; [Vaca, Inmaculada] Univ Chile, Fac Ciencias, Dept Quim, Las Palmeras 3425, Santiago 7800003, Chile</t>
  </si>
  <si>
    <t>Universidad Andres Bello; Universidad Austral de Chile; Universidad de Chile</t>
  </si>
  <si>
    <t>Chávez, R (corresponding author), Univ Santiago Chile USACH, Fac Quim &amp; Biol, Dept Biol, Estn Cent, Alameda 3363, Santiago 9170022, Chile.;Ravanal, MC (corresponding author), Univ Austral Chile, Fac Ciencias Agr, Inst Ciencia &amp; Tecnol Alimentos ICYTAL, Avda Julio Sarrazin S-N, Valdivia, Chile.</t>
  </si>
  <si>
    <t>cristina.ravanal@gmail.com; renato.chavez@usach.cl</t>
  </si>
  <si>
    <t>Ravanal, Maria Cristina/G-8682-2018; Vaca, Inmaculada/I-2758-2013</t>
  </si>
  <si>
    <t>Chavez, Renato/0000-0003-1754-3610; Vaca, Inmaculada/0000-0002-8952-9036; Ravanal, Maria Cristina/0000-0003-2462-6270; Gil-Duran, Carlos Andres/0000-0001-9638-6902</t>
  </si>
  <si>
    <t>project INACH [RG_03-14]; DICYT-USACH; Universidad de Santiago de Chile [Basal USA 1555 - Vridei 021743CR_PUBLIC]; [PMIUAB1301]; [CONICYT-PFCHA/Doctorado National/2014-63140056]; [FA9550-16-1-0384]</t>
  </si>
  <si>
    <t>project INACH; DICYT-USACH; Universidad de Santiago de Chile; ; ;</t>
  </si>
  <si>
    <t>This work was financed by project INACH RG_03-14. R.C. acknowledges the support of DICYT-USACH and Proyectos Basal USA 1555 - Vridei 021743CR_PUBLIC, Universidad de Santiago de Chile. M.-C.R. acknowledges the support of projects PMIUAB1301 and Neuromorphics Inspired Science (grant number FA9550-16-1-0384). C.G.-D. has received a doctoral fellowship CONICYT-PFCHA/Doctorado National/2014-63140056. The authors thank Pablo Dahech, Carolina Faimdez and Juan F. Rojas (Universidad de Santiago, Chile) for their technical assistance. The authors are grateful to Dr. Jaime Eyzaguirre (Universidad Andres Bello, Chile) for his experimental support.</t>
  </si>
  <si>
    <t>1878-6146</t>
  </si>
  <si>
    <t>1878-6162</t>
  </si>
  <si>
    <t>FUNGAL BIOL-UK</t>
  </si>
  <si>
    <t>Fungal Biol.</t>
  </si>
  <si>
    <t>10.1016/j.funbio.2018.05.002</t>
  </si>
  <si>
    <t>Mycology</t>
  </si>
  <si>
    <t>GR8KU</t>
  </si>
  <si>
    <t>WOS:000442973600005</t>
  </si>
  <si>
    <t>Petlicki, M</t>
  </si>
  <si>
    <t>Petlicki, Michal</t>
  </si>
  <si>
    <t>Subglacial Topography of an Icefall Inferred From Repeated Terrestrial Laser Scanning</t>
  </si>
  <si>
    <t>IEEE GEOSCIENCE AND REMOTE SENSING LETTERS</t>
  </si>
  <si>
    <t>Antarctica; cryosphere; glacier; ice thickness; lidar; terrestrial laser scanning (TLS)</t>
  </si>
  <si>
    <t>KING-GEORGE-ISLAND; ICE CAP; MASS-BALANCE; ANTARCTIC PENINSULA; SURFACE VELOCITIES; LIVINGSTON ISLAND; GLACIER; THICKNESS; VOLUME; GEOMETRY</t>
  </si>
  <si>
    <t>Information about ice thickness and subglacial topography is a key element for ice dynamics modeling and, consequently, for better understanding of current response of glaciers to climatic forcing. While there has been a substantial progress in the measurements of glacial surface, ice thickness measurements still suffer from limited coverage and strong interpolation. Furthermore, there are some glaciated areas where typical remote sensing techniques provide only limited data due to unfavorable climatic conditions and steep topography. A perfect example of such a feature is icefalls dominating landscapes of the maritime Antarctic. In order to close that gap, this letter presents a simple method of inferring the subglacial topography based on repeated terrestrial laser scanning of the ice surface and inverse shallow ice approximation modeling. Emerald Icefalls, King George Island, were surveyed twice within eight-day period, allowing to derive ice surface velocity field by feature tracking analysis and to estimate ice thickness and the subglacial topography. Calculated ice thickness is low, with the mean value of 72 +/- 18 m. Therefore, in line with former studies, the overall ice flux of Emerald Icefalls is small despite their relatively high surface ice flow velocities.</t>
  </si>
  <si>
    <t>[Petlicki, Michal] Polish Acad Sci, Inst Geophys, PL-01452 Warsaw, Poland</t>
  </si>
  <si>
    <t>Polish Academy of Sciences; Institute of Geophysics of the Polish Academy of Sciences</t>
  </si>
  <si>
    <t>michal@cecs.cl</t>
  </si>
  <si>
    <t>Petlicki, Michal/GPC-5755-2022; Petlicki, Michal/H-7901-2016</t>
  </si>
  <si>
    <t>Petlicki, Michal/0000-0003-3383-2586</t>
  </si>
  <si>
    <t>FONDECYT Project [11170937]</t>
  </si>
  <si>
    <t>FONDECYT Project(Comision Nacional de Investigacion Cientifica y Tecnologica (CONICYT)CONICYT FONDECYT)</t>
  </si>
  <si>
    <t>This work was supported by the FONDECYT Project under Grant 11170937.</t>
  </si>
  <si>
    <t>IEEE-INST ELECTRICAL ELECTRONICS ENGINEERS INC</t>
  </si>
  <si>
    <t>PISCATAWAY</t>
  </si>
  <si>
    <t>445 HOES LANE, PISCATAWAY, NJ 08855-4141 USA</t>
  </si>
  <si>
    <t>1545-598X</t>
  </si>
  <si>
    <t>1558-0571</t>
  </si>
  <si>
    <t>IEEE GEOSCI REMOTE S</t>
  </si>
  <si>
    <t>IEEE Geosci. Remote Sens. Lett.</t>
  </si>
  <si>
    <t>10.1109/LGRS.2018.2845342</t>
  </si>
  <si>
    <t>Geochemistry &amp; Geophysics; Engineering, Electrical &amp; Electronic; Remote Sensing; Imaging Science &amp; Photographic Technology</t>
  </si>
  <si>
    <t>Geochemistry &amp; Geophysics; Engineering; Remote Sensing; Imaging Science &amp; Photographic Technology</t>
  </si>
  <si>
    <t>GR9FB</t>
  </si>
  <si>
    <t>WOS:000443051700031</t>
  </si>
  <si>
    <t>Jordan, TA; Becker, D</t>
  </si>
  <si>
    <t>Jordan, Tom A.; Becker, David</t>
  </si>
  <si>
    <t>Investigating the distribution of magmatism at the onset of Gondwana breakup with novel strapdown gravity and aeromagnetic data</t>
  </si>
  <si>
    <t>PHYSICS OF THE EARTH AND PLANETARY INTERIORS</t>
  </si>
  <si>
    <t>Maflc intrusion; Antarctica; Jurassic; Mantle plume; Volcanic rifted margin; Karoo</t>
  </si>
  <si>
    <t>DRONNING MAUD LAND; LARGE IGNEOUS PROVINCE; LONG-DISTANCE TRANSPORT; BUSHVELD COMPLEX; DUFEK INTRUSION; 3 DIMENSIONS; WEDDELL SEA; ANTARCTICA; FERRAR; KAROO</t>
  </si>
  <si>
    <t>Massive volumes of mafic magmatism forming the Karoo-Ferrar Large Igneous Province (LIP) in Southern Africa and Antarctica preceded Jurassic breakup of the Gondwana Supercontinent. This widespread LIP magmatism is attributed to a major mantle plume, or plumes, impacting an area thousands of kilometres across. Magmas in lava flows and shallow sills, which flowed laterally hundreds to thousands of kilometres, form most of the exposed LIP. Hence, the distribution of shallow level mafic rocks may not reflect the location of mantle melting. In contrast, large deep-seated mafic intrusions such as gabbros likely more directly overlie areas of mantle melting. Antarctic exposures of such intrusions are limited to the Dufek Intrusion and outcrops &gt; 1000 km to the north, hence the true pattern of mantle melting is poorly constrained. Regional aeromagnetic and aerogravity data suggest other Jurassic mafic intrusions are present, but detailed analysis of these bodies is lacking. To define more precisely the distribution of mafic intrusions we use data from the first stand-alone strapdown gravity survey in Antarctica. This innovative technique allows collection of aerogravity data during draped flight, resolving anomalies with a wavelength of similar to 6 km and a root-mean-square error of 1.8 mGal. Combining this new gravity data with coincident aeromagnetic data we investigate a similar to 50 mGal gravity and associated &gt; 1000 nT magnetic high in Coats Land, East Antarctica. Our interpretation is that the so called 'Halley High' reflects a large gabbroic body similar to 80 km long, 30 km wide and similar to 6 km thick, equivalent to the inferred total size to the better known Stillwater layered mafic intrusion in the US. Our interpretation of a large mafic intrusion supports the suggestion from reconnaissance aeromagnetic data that this and other similar anomalies are Jurassic mafic intrusions. These large mafic intrusions, and hence underlying mantle melting, appear restricted to a linear band parallel to the continental margin. This structured pattern of mantle melting is consistent with shallow mantle convection and lithospheric extension playing a significant role in the later stages of the Karoo-Ferrar magmatism. An apparent 650 km gap in mafic intrusions adjacent to the continental Weddell Sea Rift System suggests different mantle processes were occurring here. Future joint magnetic and strapdown gravity surveying presents a key opportunity to fully constrain the location and extent of mantle melting during Gondwana breakup.</t>
  </si>
  <si>
    <t>[Jordan, Tom A.] British Antarctic Survey, Madingley Rd, Cambridge CB3 0ET, England; [Becker, David] Tech Univ Darmstadt, Chair Phys &amp; Satellite Geodesy, Franziska Braun Str 7, D-64287 Darmstadt, Germany</t>
  </si>
  <si>
    <t>UK Research &amp; Innovation (UKRI); Natural Environment Research Council (NERC); NERC British Antarctic Survey; Technical University of Darmstadt</t>
  </si>
  <si>
    <t>Jordan, TA (corresponding author), British Antarctic Survey, Madingley Rd, Cambridge CB3 0ET, England.</t>
  </si>
  <si>
    <t>tomj@bas.ac.uk</t>
  </si>
  <si>
    <t>NERC [bas0100029] Funding Source: UKRI</t>
  </si>
  <si>
    <t>0031-9201</t>
  </si>
  <si>
    <t>1872-7395</t>
  </si>
  <si>
    <t>PHYS EARTH PLANET IN</t>
  </si>
  <si>
    <t>Phys. Earth Planet. Inter.</t>
  </si>
  <si>
    <t>10.1016/j.pepi.2018.07.007</t>
  </si>
  <si>
    <t>GR8MH</t>
  </si>
  <si>
    <t>WOS:000442977500007</t>
  </si>
  <si>
    <t>Rochette, P; Braucher, R; Folco, L; Horng, CS; Aumaître, G; Bourles, DL; Keddadouche, K</t>
  </si>
  <si>
    <t>Rochette, P.; Braucher, R.; Folco, L.; Horng, C. S.; Aumaitre, G.; Bourles, D. L.; Keddadouche, K.</t>
  </si>
  <si>
    <t>10Be in Australasian microtektites compared to tektites: Size and geographic controls</t>
  </si>
  <si>
    <t>LOCATION; CONSTRAINTS; EVENT; MODEL; AGE</t>
  </si>
  <si>
    <t>High Be-10 contents in tektites reported in literature are taken as evidence of a source material, melted at the impact site, enriched in atmospheric Be-10; i.e., a soil or sediment. In 0.8 Ma Australasian tektites, Be-10 content increases with distance from the putative impact location in Indochina, with geographic averages from 69 x 10(6) atoms/g (Indochina) to 136 x 10(6) atoms/g (Australia). Here we report, for the first time, Be-10 contents in microtektites collected from Antarctica and the South China Sea. We show that microtektites are similar to 30 x 10(6) atoms/g richer in Be-10 than tektites from the same geographic areas. Antarctic microtektites, with an average Be-10 content of 184 x 10(6) atoms/g after correction for in situ production, are the richest impact glass ever measured. The simplest explanation for such systematic size and geographic trends is that the source depth of the melt within the target surface decreases with ejection velocity. Indeed, higher initial kinetic energy implies higher launch distances and higher fragmentation of the ejecta. Antarctic microtektite source depth may tentatively be restricted to the upper tens of centimeters at the impact site. Alternative models invoking a marine or loessic sediment source, or a secondary enrichment in the microtektite (either by atmospheric scavenging, selective fractionation by volatilization, or post-depositional contamination) fail to reproduce the observed relationships.</t>
  </si>
  <si>
    <t>[Rochette, P.; Braucher, R.; Aumaitre, G.; Bourles, D. L.; Keddadouche, K.] Aix Marseille Univ, CNRS, IRD, INRA,Coll France,UM CEREGE 34, Technopole Environm Arbois Mediterranee,BP80, F-13545 Aix En Provence, France; [Folco, L.] Univ Pisa, Dipartimento Sci Terra, Via S Maria 53, I-56126 Pisa, Italy; [Horng, C. S.] Acad Sinica, Inst Earth Sci, POB 1-55, Taipei 11529, Taiwan</t>
  </si>
  <si>
    <t>Institut de Recherche pour le Developpement (IRD); Centre National de la Recherche Scientifique (CNRS); Universite PSL; College de France; Aix-Marseille Universite; INRAE; University of Pisa; Academia Sinica - Taiwan</t>
  </si>
  <si>
    <t>Rochette, P (corresponding author), Aix Marseille Univ, CNRS, IRD, INRA,Coll France,UM CEREGE 34, Technopole Environm Arbois Mediterranee,BP80, F-13545 Aix En Provence, France.</t>
  </si>
  <si>
    <t>Folco, Luigi/AAB-8586-2021; , Braucher/Q-5971-2017; Folco, Luigi/AAA-6351-2020; , B/HZK-8896-2023; Rochette, Pierre/O-4612-2019</t>
  </si>
  <si>
    <t>, Braucher/0000-0002-4637-4302; Rochette, Pierre/0000-0002-7362-0660; Folco, Luigi/0000-0002-7276-3483</t>
  </si>
  <si>
    <t>Programma Nazionale di Ricerche in Antartide grant [PNRA16_0029]; Taiwan Ocean Research Institute [MD97-2142]; INSU/CNRS; Agence Nationale de la Recherche through Projets thematiques d'excellence program for the Equipements d'excellence ASTER-CEREGE action; Institut de recherche pour le developpement; A*MIDEX fundation Pepiniere d'excellence program</t>
  </si>
  <si>
    <t>Programma Nazionale di Ricerche in Antartide grant; Taiwan Ocean Research Institute; INSU/CNRS(Centre National de la Recherche Scientifique (CNRS)); Agence Nationale de la Recherche through Projets thematiques d'excellence program for the Equipements d'excellence ASTER-CEREGE action(Agence Nationale de la Recherche (ANR)); Institut de recherche pour le developpement; A*MIDEX fundation Pepiniere d'excellence program(Agence Nationale de la Recherche (ANR))</t>
  </si>
  <si>
    <t>This work was supported by Programma Nazionale di Ricerche in Antartide grant PNRA16_0029. The Taiwan Ocean Research Institute provided sediments from marine core MD97-2142 for the study. The 10Be concentration measurements were performed at the ASTER AMS national facility, which is supported by the INSU/CNRS, the Agence Nationale de la Recherche through the Projets thematiques d'excellence program for the Equipements d'excellence ASTER-CEREGE action, and the Institut de recherche pour le developpement. Rochette was supported by A*MIDEX fundation Pepiniere d'excellence program. We acknowledge constructive reviews by G. Herzog, N. Timms, and J. Wasson, as well as the editor's input.</t>
  </si>
  <si>
    <t>10.1130/G45038.1</t>
  </si>
  <si>
    <t>WOS:000442904600019</t>
  </si>
  <si>
    <t>Grachev, AA; Persson, POG; Uttal, T; Akish, EA; Cox, CJ; Morris, SM; Fairall, CW; Stone, RS; Lesins, G; Makshtas, AP; Repina, IA</t>
  </si>
  <si>
    <t>Grachev, Andrey A.; Persson, P. Ola G.; Uttal, Taneil; Akish, Elena A.; Cox, Christopher J.; Morris, Sara M.; Fairall, Christopher W.; Stone, Robert S.; Lesins, Glen; Makshtas, Alexander P.; Repina, Irina A.</t>
  </si>
  <si>
    <t>Seasonal and latitudinal variations of surface fluxes at two Arctic terrestrial sites</t>
  </si>
  <si>
    <t>Arctic; Carbon dioxide; Latitudinal variations; Radiative fluxes; Turbulent fluxes</t>
  </si>
  <si>
    <t>WET SEDGE TUNDRA; SPATIAL VARIABILITY; CO2 EXCHANGE; SIMILARITY THEORY; CLOUD PROPERTIES; CARBON-DIOXIDE; BOUNDARY-LAYER; CLIMATE-CHANGE; WATER-VAPOR; EUREKA</t>
  </si>
  <si>
    <t>This observational study compares seasonal variations of surface fluxes (turbulent, radiative, and soil heat) and other ancillary atmospheric/surface/permafrost data based on in-situ measurements made at terrestrial research observatories located near the coast of the Arctic Ocean. Hourly-averaged multiyear data sets collected at Eureka (Nunavut, Canada) and Tiksi (East Siberia, Russia) are analyzed in more detail to elucidate similarities and differences in the seasonal cycles at these two Arctic stations, which are situated at significantly different latitudes (80.0A degrees N and 71.6A degrees N, respectively). While significant gross similarities exist in the annual cycles of various meteorological parameters and fluxes, the differences in latitude, local topography, cloud cover, snowfall, and soil characteristics produce noticeable differences in fluxes and in the structures of the atmospheric boundary layer and upper soil temperature profiles. An important factor is that even though higher latitude sites (in this case Eureka) generally receive less annual incoming solar radiation but more total daily incoming solar radiation throughout the summer months than lower latitude sites (in this case Tiksi). This leads to a counter-intuitive state where the average active layer (or thaw line) is deeper and the topsoil temperature in midsummer are higher in Eureka which is located almost 10A degrees north of Tiksi. The study further highlights the differences in the seasonal and latitudinal variations of the incoming shortwave and net radiation as well as the moderating cloudiness effects that lead to temporal and spatial differences in the structure of the atmospheric boundary layer and the uppermost ground layer. Specifically the warm season (Arctic summer) is shorter and mid-summer amplitude of the surface fluxes near solar noon is generally less in Eureka than in Tiksi. During the dark Polar night and cold seasons (Arctic winter) when the ground is covered with snow and air temperatures are sufficiently below freezing, the near-surface environment is generally stably stratified and the hourly averaged turbulent fluxes are quite small and irregular with on average small downward sensible heat fluxes and upward latent heat and carbon dioxide fluxes. The magnitude of the turbulent fluxes increases rapidly when surface snow disappears and the air temperatures rise above freezing during spring melt and eventually reaches a summer maximum. Throughout the summer months strong upward sensible and latent heat fluxes and downward carbon dioxide (uptake by the surface) are typically observed indicating persistent unstable (convective) stratification. Due to the combined effects of day length and solar zenith angle, the convective boundary layer forms in the High Arctic (e.g., in Eureka) and can reach long-lived quasi-stationary states in summer. During late summer and early autumn all turbulent fluxes rapidly decrease in magnitude when the air temperature decreases and falls below freezing. Unlike Eureka, a pronounced zero-curtain effect consisting of a sustained surface temperature hiatus at the freezing point is observed in Tiksi during fall due to wetter and/or water saturated soils.</t>
  </si>
  <si>
    <t>[Grachev, Andrey A.; Persson, P. Ola G.; Uttal, Taneil; Akish, Elena A.; Cox, Christopher J.; Morris, Sara M.; Fairall, Christopher W.; Stone, Robert S.] NOAA, Earth Syst Res Lab, 325 Broadway,R PSD3, Boulder, CO 80305 USA; [Grachev, Andrey A.; Persson, P. Ola G.; Cox, Christopher J.; Morris, Sara M.] Univ Colorado, Cooperat Inst Res Environm Sci, Boulder, CO 80309 USA; [Akish, Elena A.; Stone, Robert S.] Sci &amp; Technol Corp, Boulder, CO USA; [Lesins, Glen] Dalhousie Univ, Dept Phys &amp; Atmospher Sci, Halifax, NS, Canada; [Makshtas, Alexander P.] Arctic &amp; Antarctic Res Inst, St Petersburg, Russia; [Repina, Irina A.] Russian Acad Sci, AM Obukhov Inst Atmospher Phys, Moscow, Russia</t>
  </si>
  <si>
    <t>National Oceanic Atmospheric Admin (NOAA) - USA; University of Colorado System; University of Colorado Boulder; Dalhousie University; Arctic &amp; Antarctic Research Institute; Russian Academy of Sciences; Obukhov Institute of Atmospheric Physics of Russian Academy of Sciences</t>
  </si>
  <si>
    <t>Grachev, AA (corresponding author), NOAA, Earth Syst Res Lab, 325 Broadway,R PSD3, Boulder, CO 80305 USA.;Grachev, AA (corresponding author), Univ Colorado, Cooperat Inst Res Environm Sci, Boulder, CO 80309 USA.</t>
  </si>
  <si>
    <t>andrey.grachev@noaa.gov</t>
  </si>
  <si>
    <t>fairall, christopher/G-5970-2019; GRACHEV, ANDREY/Y-6633-2019; Morris, Sara/JDW-3016-2023; Repina, Irina A/H-3530-2016</t>
  </si>
  <si>
    <t>fairall, christopher/0000-0003-4073-7413; GRACHEV, ANDREY/0000-0002-7143-0820; Morris, Sara/0000-0002-2698-1068; Repina, Irina/0000-0001-7341-0826</t>
  </si>
  <si>
    <t>US National Science Foundation's Office of Polar Programs [ARC 11-07428]; US Civilian Research and Development Foundation (CRDF) [RUG1-2976-ST-10]; Russian Foundation for Basic Research [RFBR 14-05-00677]; Ministry of Education and Science of the Russian Federation [2017-14-588-0005-003, RFMEFI61617X0076]; Roshydromet (Project CNTP 1.5.3.2); National Oceanic and Atmospheric Administration (NOAA) Climate Program Office's Arctic Research Program</t>
  </si>
  <si>
    <t>US National Science Foundation's Office of Polar Programs(National Science Foundation (NSF)); US Civilian Research and Development Foundation (CRDF); Russian Foundation for Basic Research(Russian Foundation for Basic Research (RFBR)Spanish Government); Ministry of Education and Science of the Russian Federation(Ministry of Education and Science, Russian Federation); Roshydromet (Project CNTP 1.5.3.2); National Oceanic and Atmospheric Administration (NOAA) Climate Program Office's Arctic Research Program</t>
  </si>
  <si>
    <t>The US National Science Foundation's Office of Polar Programs supported AAG, POGP, and RSS with award ARC 11-07428. AAG, APM, and IAR were supported by the US Civilian Research and Development Foundation (CRDF) with award RUG1-2976-ST-10. APM was also supported by the Russian Foundation for Basic Research with award RFBR 14-05-00677, the Ministry of Education and Science of the Russian Federation (Projects 2017-14-588-0005-003 and RFMEFI61617X0076), and the Roshydromet (Project CNTP 1.5.3.2). EAA, TU, CJC, and SMM received support from the National Oceanic and Atmospheric Administration (NOAA) Climate Program Office's Arctic Research Program. We thank all the researchers who deploy, operate, and maintain the instruments at the stations in frequently harsh Arctic conditions; their diligent and dedicated efforts are often underappreciated.</t>
  </si>
  <si>
    <t>10.1007/s00382-017-3983-4</t>
  </si>
  <si>
    <t>WOS:000442433200012</t>
  </si>
  <si>
    <t>Flores, A; Quon, JC; Perez, AF; Ba, Y</t>
  </si>
  <si>
    <t>Flores, Antonia; Quon, Justin C.; Perez, Adiel F.; Ba, Yong</t>
  </si>
  <si>
    <t>Mechanisms of antifreeze proteins investigated via the site-directed spin labeling technique</t>
  </si>
  <si>
    <t>EUROPEAN BIOPHYSICS JOURNAL WITH BIOPHYSICS LETTERS</t>
  </si>
  <si>
    <t>Type-I antifreeze protein; Site-directed spin labeling; VT EPR; Ice crystals; Ice growth inhibition; Ice nucleation inhibition</t>
  </si>
  <si>
    <t>POINT-DEPRESSING GLYCOPROTEINS; ICE GROWTH-INHIBITION; WINTER FLOUNDER; FREEZING RESISTANCE; PSEUDOPLEURONECTES-AMERICANUS; PHYSICAL-PROPERTIES; AQUEOUS-SOLUTIONS; ANTARCTIC FISHES; NMR; BINDING</t>
  </si>
  <si>
    <t>The site-directed spin labeling (SDSL) technique was used to examine the antifreeze mechanisms of type-I antifreeze proteins (AFPs). The effects on the growth of seed ice crystals by the spin-label groups attached to different side chains of the AFPs were observed, and the states of water molecules surrounding the spin-label groups were probed via analyses of variable-temperature (VT) dependent electron paramagnetic resonance (EPR) spectra. The first set of experiments revealed the antifreeze activities of the spin-labeled AFPs at the microscopic level, while the second set of experiments displayed those at the molecular level. The experimental results confirmed the putative ice-binding surface (IBS) of type-I AFPs. The VT EPR spectra indicate that type-I AFPs can inhibit the nucleation of seed ice crystals down to similar to - 20 degrees C in their aqueous solutions. Thus, the present authors believe that AFPs protect organisms from freezing damage in two ways: (1) inhibiting the nucleation of seed ice crystals, and (2) hindering the growth of seed ice crystals once they have formed. The first mechanism should play a more significant role in protecting against freezing damage among organisms living in cold environments. The VT EPR spectra also revealed that liquid-like water molecules existed around the spin-labeled non-ice-binding side chains of the AFPs frozen within the ice matrices, and ice surrounding the spin-label groups melted at subzero temperatures during the heating process. This manuscript concludes with the proposed model of antifreeze mechanisms of AFPs based on the experimental results.</t>
  </si>
  <si>
    <t>[Flores, Antonia; Quon, Justin C.; Perez, Adiel F.; Ba, Yong] Calif State Univ Los Angeles, Dept Chem &amp; Biochem, 5151 State Univ Dr, Los Angeles, CA 90032 USA</t>
  </si>
  <si>
    <t>California State University System; California State University Los Angeles</t>
  </si>
  <si>
    <t>Ba, Y (corresponding author), Calif State Univ Los Angeles, Dept Chem &amp; Biochem, 5151 State Univ Dr, Los Angeles, CA 90032 USA.</t>
  </si>
  <si>
    <t>yba@calstatela.edu</t>
  </si>
  <si>
    <t>Quon, Justin/0000-0001-8412-557X; Perez, Adiel/0000-0002-4916-5645</t>
  </si>
  <si>
    <t>National Institute of General Medical Sciences (NIGMS) of the National Institutes of Health (NIH) [R15GM106249]; NIGMS through the TWD RISE award [R25GM061331]; NIH through the TWD RISE award [R25GM061331]</t>
  </si>
  <si>
    <t>National Institute of General Medical Sciences (NIGMS) of the National Institutes of Health (NIH)(United States Department of Health &amp; Human ServicesNational Institutes of Health (NIH) - USANIH National Institute of General Medical Sciences (NIGMS)); NIGMS through the TWD RISE award; NIH through the TWD RISE award(United States Department of Health &amp; Human ServicesNational Institutes of Health (NIH) - USA)</t>
  </si>
  <si>
    <t>The research reported in this publication was supported by the National Institute of General Medical Sciences (NIGMS) of the National Institutes of Health (NIH) (Grant number R15GM106249). The content is solely the responsibility of the authors and does not necessarily represent the official views of the NIH. The authors would like to thank Michael Bridges, Christian Altenbach, and the Hubbell Lab at the University of California, Los Angeles for their invaluable assistance in providing the EPR simulation program. AF Perez would also like to thank the NIGMS and NIH for support through the TWD RISE award (Grant number R25GM061331).</t>
  </si>
  <si>
    <t>0175-7571</t>
  </si>
  <si>
    <t>1432-1017</t>
  </si>
  <si>
    <t>EUR BIOPHYS J BIOPHY</t>
  </si>
  <si>
    <t>Eur. Biophys. J. Biophys. Lett.</t>
  </si>
  <si>
    <t>10.1007/s00249-018-1285-3</t>
  </si>
  <si>
    <t>Biophysics</t>
  </si>
  <si>
    <t>GR5QZ</t>
  </si>
  <si>
    <t>WOS:000442694800003</t>
  </si>
  <si>
    <t>Peñaherrera-Palma, C; van Putten, I; Karpievitch, YV; Frusher, S; Llerena-Martillo, Y; Hearn, AR; Semmens, JM</t>
  </si>
  <si>
    <t>Penaherrera-Palma, Cesar; van Putten, Ingrid; Karpievitch, Yuliya, V; Frusher, Stewart; Llerena-Martillo, Yasmania; Hearn, Alex R.; Semmens, Jayson M.</t>
  </si>
  <si>
    <t>Evaluating abundance trends of iconic species using local ecological knowledge</t>
  </si>
  <si>
    <t>BIOLOGICAL CONSERVATION</t>
  </si>
  <si>
    <t>Galapagos Marine Reserve; Ecology; Sharks; Population trends; Perception analysis; Semi-quantitative analysis</t>
  </si>
  <si>
    <t>MARINE PROTECTED AREAS; BASE-LINES; CONSERVATION; FISH; MANAGEMENT; ASSEMBLAGE</t>
  </si>
  <si>
    <t>Abundance is commonly used to assess the status of wildlife populations and their responses to changes in management frameworks. Monitoring abundance trends often requires long-term data collection programs, which are not always carried out. One alternative to scientific surveys is to utilize the local ecological knowledge (LEK), from people in continuous interactions with the environment. We developed a semi-quantitative approach to assess shark population trends by using the LEK of non-extractive resource users. We carried out structured interviews with dive guides regarding the abundance trends of six shark species in the Galapagos Marine Reserve (GMR) across decades since the 1980s. Based on dive guides' LEK, we developed a virtual abundance change (VAC) model to assess the changes in abundance across decades. Our VAC analysis showed a 50% decline in hammerhead sharks and 30% decline in whitetip reef sharks. Silky sharks and Galapagos sharks were perceived to suffer an initial decline by 25% and 30% then stabilized. Whale shark abundance did not appear to have changed. Finally, blacktip sharks showed an apparent recovery after a decline by 25%. Furthermore, our VAC results were comparatively similar to empirical datasets from the GMR and neighboring protected areas of the Eastern Tropical Pacific. Our study highlights the value of LEK in assessing the state of marine resources in data limited management regions. Our VAC method offers an alternative approach by which LEK can provide valuable insights into the historical trends of species abundance.</t>
  </si>
  <si>
    <t>[Penaherrera-Palma, Cesar; Frusher, Stewart; Semmens, Jayson M.] Univ Tasmania, Inst Marine &amp; Antarctic Studies, Hobart, Tas, Australia; [Penaherrera-Palma, Cesar; van Putten, Ingrid] CSIRO Oceans &amp; Atmosphere, Hobart, Tas, Australia; [Penaherrera-Palma, Cesar] Pontificia Univ Catolica Ecuador, Portoviejo, Manabi, Ecuador; [Karpievitch, Yuliya, V] Univ Western Australia, Perth, WA, Australia; [Llerena-Martillo, Yasmania; Hearn, Alex R.] GAIAS Univ San Francisco Quito, San Cristobal, Galapagos, Ecuador; [Hearn, Alex R.] Turtle Isl Restorat Network, Forest Knolls, CA USA</t>
  </si>
  <si>
    <t>University of Tasmania; Commonwealth Scientific &amp; Industrial Research Organisation (CSIRO); Pontificia Universidad Catolica del Ecuador; University of Western Australia</t>
  </si>
  <si>
    <t>Peñaherrera-Palma, C (corresponding author), Pontificia Univ Catolica Ecuador, Portoviejo, Manabi, Ecuador.</t>
  </si>
  <si>
    <t>Cesar.Penaherrera@utas.edu.au</t>
  </si>
  <si>
    <t>Hearn, Alex/AAK-6461-2020; van putten, ingrid/AAV-1301-2021</t>
  </si>
  <si>
    <t>van putten, ingrid/0000-0001-8397-9768; Semmens, Jayson/0000-0003-1742-6692; Hearn, Alex/0000-0002-4986-098X</t>
  </si>
  <si>
    <t>Secretariat for Higher Education, Science, Technology and Innovation of the Ecuadorean Government [GN 20110731]; Holsworth Wildlife Research Endowment [GN S0021410]; WWF Prince Bernard Scholarships [10001808]; Directorate of the Galapagos [PC-60-13]</t>
  </si>
  <si>
    <t>Secretariat for Higher Education, Science, Technology and Innovation of the Ecuadorean Government; Holsworth Wildlife Research Endowment; WWF Prince Bernard Scholarships; Directorate of the Galapagos</t>
  </si>
  <si>
    <t>The authors would like to thank to the Secretariat for Higher Education, Science, Technology and Innovation of the Ecuadorean Government (GN 20110731), Holsworth Wildlife Research Endowment (GN S0021410), WWF Prince Bernard Scholarships (10001808), and the Directorate of the Galapagos (PC-60-13) funding and support to this work. We are particularly indebted to Undersea Hunter and the divers of the GMR who shared their data and perceptions. Finally, thanks to Alistair Hobday, Eduardo Espinoza, Riana Gardiner and Johanna Zimmerhackel for the help and advice shared during the execution of this project.</t>
  </si>
  <si>
    <t>0006-3207</t>
  </si>
  <si>
    <t>1873-2917</t>
  </si>
  <si>
    <t>BIOL CONSERV</t>
  </si>
  <si>
    <t>Biol. Conserv.</t>
  </si>
  <si>
    <t>10.1016/j.biocon.2018.07.004</t>
  </si>
  <si>
    <t>GQ8KQ</t>
  </si>
  <si>
    <t>WOS:000442003900020</t>
  </si>
  <si>
    <t>Thomazini, A; Francelino, MR; Pereira, AB; Schünemann, AL; Mendonça, ES; Schaefer, CEGR</t>
  </si>
  <si>
    <t>Thomazini, A.; Francelino, M. R.; Pereira, A. B.; Schunemann, A. L.; Mendonca, E. S.; Schaefer, C. E. G. R.</t>
  </si>
  <si>
    <t>The spatial variability structure of soil attributes using a detailed sampling grid in a typical periglacial area of Maritime Antarctica</t>
  </si>
  <si>
    <t>ENVIRONMENTAL EARTH SCIENCES</t>
  </si>
  <si>
    <t>Ordinary kriging; Periglacial landscapes; Soil properties; spatial analysis</t>
  </si>
  <si>
    <t>SOUTH SHETLAND ISLANDS; GLACIER RETREAT ZONE; KING GEORGE ISLAND; ADMIRALTY BAY; CO2 EMISSIONS; CRYOSOLS; PENINSULA; VEGETATION; GENESIS</t>
  </si>
  <si>
    <t>Large spatial variations on soil attributes and vegetation distribution in terrestrial ecosystems occurs in maritime Antarctica. Guano deposition, organic matter accumulation and vegetation coverage, associated with soil drainage conditions, are the main drivers of soil development, varying considerably in time and space. Yet, the spatial variability of soil attributes remains little documented in this region, being constantly altered due to the intense periglacial processes. The objective of this study was to determine spatial variability structure of a representative ice-free area, to understand how changes on landscape, vegetation coverage and biological activity affect soil attribute distribution, using a detailed grid guaranteeing the recognition/representation of the variability range at Keller Peninsula, King George Island, Maritime Antarctica. A representative heterogeneous area was selected in February 2015, where a large variation on the spatial distribution of vegetation and guano occur, in a typical Antarctic periglacial landscape. A 133-point 50x50m grid with a minimum separation distance of 0.5m was installed, in which sectors were delimited according to guano influence and vegetation cover. Soil was sampled (0-10cm) at each point of the grid, to map and model the spatial variability of general soil attributes. Principal component analysis (PCA) was used to select the most important soil attributes in this periglacial landscape. Further, experimental semivariograms were calculated and thematic kriging maps obtained, allowing the visual interpretation of the phenomena. Soil attributes significantly (p&lt;0.05) varied across the delimited sectors. Soil bases (Ca, Mg, K, Na) and physical soil attributes (sand and silt) were the most important variables selected through PCA. We observed that the spatial variability structure of soil attributes is highly influenced by the heterogeneity of ice-free areas in Maritime Antarctica. In periglacial zones where guano is deposited, soil acidification occurs, resulting in high exchangeable Al contents and potential acidity, associated with elevated amounts of organic matter and phosphorus. In this area, the spatial dependence is stronger. The strength of the spatial dependence rapidly decreases out of the influence of guano deposition, where a more heterogeneous environment is observed. Vegetation coverage also altered the spatial variability structure by stabilizing landscape, avoiding nival erosion and enhancing soil nutrient status. Bare soils reveal a more pronounced skeletal character, with low soil nutrient assembly due to the weak nutrient cycling with a great variability across the landscape. Results reported in this study are expected to represent other similar periglacial landscapes in maritime Antarctica.</t>
  </si>
  <si>
    <t>[Thomazini, A.; Francelino, M. R.; Schunemann, A. L.; Schaefer, C. E. G. R.] Univ Fed Vicosa, Dept Solos, BR-36570000 Vicosa, MG, Brazil; [Pereira, A. B.] Univ Fed Pampa, BR-97300000 Sao Gabriel, RS, Brazil; [Mendonca, E. S.] Univ Fed Espirito Santo, Dept Agron, BR-29500000 Alegre, ES, Brazil</t>
  </si>
  <si>
    <t>Universidade Federal de Vicosa; Universidade Federal do Pampa; Universidade Federal do Espirito Santo</t>
  </si>
  <si>
    <t>Thomazini, A (corresponding author), Univ Fed Vicosa, Dept Solos, BR-36570000 Vicosa, MG, Brazil.</t>
  </si>
  <si>
    <t>andre.thz@gmail.com; marcio.francelino@ufv.br; antoniopereira@unipampa.edu.br; adrianoschunemann@gmail.com; eduardo.mendonca@ufes.br; carlos.schaefer@ufv.br</t>
  </si>
  <si>
    <t>Francelino, Marcio Rocha/AAS-4224-2020; Schaefer, Carlos Ernesto/AAY-4977-2020; Schünemann, Adriano Luis/AAN-1224-2020; Filho, Elpídio Inácio Fernandes/AAE-7315-2019</t>
  </si>
  <si>
    <t>Francelino, Marcio Rocha/0000-0001-8837-1372; Schünemann, Adriano Luis/0000-0001-7227-7074; Filho, Elpídio Inácio Fernandes/0000-0002-9484-1411; MENDONCA, EDUARDO/0000-0003-3284-7129; Thomazini, Andre/0000-0001-5613-0494</t>
  </si>
  <si>
    <t>CNPq (Conselho Nacional de Desenvolvimento Cientifico e Tecnologico) [556794/2009-5]; MCTI (Ministerio da Ciencia, Tecnologia e Inovacao)</t>
  </si>
  <si>
    <t>CNPq (Conselho Nacional de Desenvolvimento Cientifico e Tecnologico)(Conselho Nacional de Desenvolvimento Cientifico e Tecnologico (CNPQ)); MCTI (Ministerio da Ciencia, Tecnologia e Inovacao)</t>
  </si>
  <si>
    <t>We acknowledge CNPq (Conselho Nacional de Desenvolvimento Cientifico e Tecnologico) (556794/2009-5) and MCTI (Ministerio da Ciencia, Tecnologia e Inovacao) for granting financial support. This work is a contribution of INCT-Criosfera TERRANTAR group.</t>
  </si>
  <si>
    <t>1866-6280</t>
  </si>
  <si>
    <t>1866-6299</t>
  </si>
  <si>
    <t>ENVIRON EARTH SCI</t>
  </si>
  <si>
    <t>Environ. Earth Sci.</t>
  </si>
  <si>
    <t>10.1007/s12665-018-7818-3</t>
  </si>
  <si>
    <t>Environmental Sciences; Geosciences, Multidisciplinary; Water Resources</t>
  </si>
  <si>
    <t>Environmental Sciences &amp; Ecology; Geology; Water Resources</t>
  </si>
  <si>
    <t>GT5XY</t>
  </si>
  <si>
    <t>WOS:000444585100004</t>
  </si>
  <si>
    <t>Valdespino-Castillo, PM; Cerqueda-García, D; Espinosa, AC; Batista, S; Merino-Ibarra, M; Tas, N; Alcántara-Hernández, RJ; Falcon, LI</t>
  </si>
  <si>
    <t>Valdespino-Castillo, Patricia M.; Cerqueda-Garcia, Daniel; Espinosa, Ana Cecilia; Batista, Silvia; Merino-Ibarra, Martin; Tas, Neslihan; Alcantara-Hernandez, Rocio J.; Falcon, Luisa, I</t>
  </si>
  <si>
    <t>Microbial distribution and turnover in Antarctic microbial mats highlight the relevance of heterotrophic bacteria in low-nutrient environments</t>
  </si>
  <si>
    <t>microbial mats; ultraoligotrophy; photoheterotrophs; psychrophilic; Antarctica</t>
  </si>
  <si>
    <t>MCMURDO ICE SHELF; COMMUNITY COMPOSITION; FRESH-WATER; PHOTOTROPHIC BACTERIA; PHYTOPLANKTON BLOOMS; MARITIME ANTARCTICA; DYNAMIC BACTERIAL; CLIMATE-CHANGE; DIVERSITY; CYANOBACTERIA</t>
  </si>
  <si>
    <t>Maritime Antarctica has shown the highest increase in temperature in the Southern Hemisphere. Under this scenario, biogeochemical cycles may be altered, resulting in rapid environmental change for Antarctic biota. Microbes that drive biogeochemical cycles often form biofilms or microbial mats in continental meltwater environments. Limnetic microbial mats from the Fildes Peninsula were studied using high-throughput 16S rRNA gene sequencing. Mat samples were collected from 15 meltwater stream sites, comprising a natural gradient from ultraoligotrophic glacier flows to meltwater streams exposed to anthropogenic activities. Our analyses show that microbial community structure differences between mats are explained by environmental NH4+, NO3-, DIN, soluble reactive silicon and conductivity. Microbial mats living under ultraoligotrophic meltwater conditions did not exhibit a dominance of cyanobacterial photoautotrophs, as has been documented for other Antarctic limnetic microbial mats. Instead, ultraoligotrophic mat communities were characterized by the presence of microbes recognized as heterotrophs and photoheterotrophs. This suggests that microbial capabilities for recycling organic matter may be a key factor to dwell in ultra-low nutrient conditions. Our analyses show that phylotype level assemblages exhibit coupled distribution patterns in environmental oligotrophic inland waters. The evaluation of these microbes suggests the relevance of reproductive and structural strategies to pioneer these psychrophilic ultraoligotrophic environments.</t>
  </si>
  <si>
    <t>[Valdespino-Castillo, Patricia M.; Batista, Silvia] Inst Invest Biol Clemente Estable, Unidad Microbiol Mol, Montevideo 11600, Uruguay; [Cerqueda-Garcia, Daniel; Falcon, Luisa, I] Univ Nacl Autonoma Mexico, Inst Ecol, Lab Ecol Bacteriana, Cdmx 04510, Mexico; [Espinosa, Ana Cecilia] Univ Nacl Autonoma Mexico, Inst Ecol, LANCIS, Cdmx 04510, Mexico; [Merino-Ibarra, Martin] Univ Nacl Autonoma Mexico, Inst Ciencias Mar &amp; Limnol, Unidad Acad Ecol &amp; Biodiversidad Acuat, Cdmx 04510, Mexico; [Tas, Neslihan] Lawrence Berkeley Natl Lab, Earth &amp; Environm Sci Area, Berkeley, CA 94720 USA; [Alcantara-Hernandez, Rocio J.] Univ Nacl Autonoma Mexico, Inst Geol, Cdmx 04510, Mexico</t>
  </si>
  <si>
    <t>Instituto de Investigaciones Biologicas Clemente Estable Uruguay; Universidad Nacional Autonoma de Mexico; Universidad Nacional Autonoma de Mexico; Universidad Nacional Autonoma de Mexico; United States Department of Energy (DOE); Lawrence Berkeley National Laboratory; Universidad Nacional Autonoma de Mexico</t>
  </si>
  <si>
    <t>Falcon, LI (corresponding author), Univ Nacl Autonoma Mexico, Inst Ecol, Circuito Exterior S-N,Cd Univ, Coyoacan 04510, Mexico.</t>
  </si>
  <si>
    <t>falcon@ecologia.unam.mx</t>
  </si>
  <si>
    <t>Batista, Silvia/ITO-0781-2023; Batista, Silvia/HKO-7008-2023; Cerqueda-García, Daniel/J-3764-2016; Taş, Neslihan/D-1172-2015; Falcon, Luisa I/HGU-5682-2022; Cerqueda-García, Daniel/N-4022-2019; Valdespino, Patricia/M-2413-2018; Taş, Neslihan/AAQ-5251-2021; Alcantara-Hernandez, Rocio J/A-5054-2010</t>
  </si>
  <si>
    <t>Batista, Silvia/0000-0002-8702-6566; Falcon, Luisa I/0000-0002-7210-6483; Cerqueda-García, Daniel/0000-0003-1544-5662; Valdespino, Patricia/0000-0002-2998-4627; Taş, Neslihan/0000-0001-7525-2331; Alcantara-Hernandez, Rocio J/0000-0002-6626-715X</t>
  </si>
  <si>
    <t>Fondo Conjunto de Cooperacion Mexico-Uruguay (Project URU), AMEXCID, AUCI [13/001]; United Nations Development Programme (PNUD); SECITI-CLAF</t>
  </si>
  <si>
    <t>Fondo Conjunto de Cooperacion Mexico-Uruguay (Project URU), AMEXCID, AUCI; United Nations Development Programme (PNUD); SECITI-CLAF</t>
  </si>
  <si>
    <t>Funding for this work was provided by Fondo Conjunto de Cooperacion Mexico-Uruguay (Project URU 13/001) AMEXCID, AUCI; United Nations Development Programme (PNUD). Transportation, gear and lodging at the Artigas Antarctic Scientific Base (Uruguay; King George Island) were provided by the IAU (Instituto Antartico Uruguayo). SECITI-CLAF awarded a Postdoctoral Fellowship to Patricia Valdespino.</t>
  </si>
  <si>
    <t>fiy129</t>
  </si>
  <si>
    <t>10.1093/femsec/fiy129</t>
  </si>
  <si>
    <t>GR2EB</t>
  </si>
  <si>
    <t>WOS:000442373800011</t>
  </si>
  <si>
    <t>Campbell, S; Remenyi, TA; White, CJ; Johnston, FH</t>
  </si>
  <si>
    <t>Campbell, Sharon; Remenyi, Tomas A.; White, Christopher J.; Johnston, Fay H.</t>
  </si>
  <si>
    <t>Heatwave and health impact research: A global review</t>
  </si>
  <si>
    <t>HEALTH &amp; PLACE</t>
  </si>
  <si>
    <t>Heatwave; Extreme heat; Mortality; Morbidity; Population health</t>
  </si>
  <si>
    <t>CLIMATE-CHANGE; EXTREME-HEAT; AMBIENT-TEMPERATURE; MORTALITY; WAVES; VULNERABILITY; RISK; POPULATION; MORBIDITY; CITIES</t>
  </si>
  <si>
    <t>Background: Observed increases in the frequency and intensity of heatwave events, together with the projected acceleration of these events worldwide, has led to a rapid expansion in research on the health impacts of extreme heat. Objective: To examine how research on heatwaves and their health-related impact is distributed globally. Methods: A systematic review was undertaken. Four online databases were searched for articles examining links between specific historical heatwave events and their impact on mortality or morbidity. The locations of these events were mapped at a global scale, and compared to other known characteristics that influence heat-related illness and death. Results: When examining the location of heatwave and health impact research worldwide, studies were concentrated on mid-latitude, high-income countries of low- to medium-population density. Regions projected to experience the most extreme heatwaves in the future were not represented. Furthermore, the majority of studies examined mortality as a key indicator of population-wide impact, rather than the more sensitive indicator of morbidity. Conclusion: While global heatwave and health impact research is prolific in some regions, the global population most at risk of death and illness from extreme heat is under-represented. Heatwave and health impact research is needed in regions where this impact is expected to be most severe.</t>
  </si>
  <si>
    <t>[Campbell, Sharon; Johnston, Fay H.] Univ Tasmania, Menzies Inst Med Res, 1 Liverpool St, Hobart, Tas 7000, Australia; [Remenyi, Tomas A.; White, Christopher J.] Univ Tasmania, Antarctic Climate &amp; Ecosyst Cooperat Res Ctr, 20 Castray Esplanade, Hobart, Tas 7000, Australia; [White, Christopher J.] Univ Tasmania, Sch Engn, Private Bag 65, Hobart, Tas 7001, Australia; [White, Christopher J.] Univ Strathclyde, Dept Civil &amp; Environm Engn, James Weir Bldg,75 Montrose St, Glasgow G1 1XJ, Lanark, Scotland; [White, Christopher J.] Univ Exeter, European Ctr Environm &amp; Human Hlth, Knowledge Spa, Royal Cornwall Hosp, Truro TR1 3HD, Cornwall, England</t>
  </si>
  <si>
    <t>University of Tasmania; Menzies Institute for Medical Research; University of Tasmania; Antarctic Climate &amp; Ecosystems Cooperative Research Centre (ACE CRC); University of Tasmania; University of Strathclyde; Royal Cornwall Hospital; University of Exeter</t>
  </si>
  <si>
    <t>Johnston, FH (corresponding author), Univ Tasmania, Menzies Inst Med Res, 1 Liverpool St, Hobart, Tas 7000, Australia.</t>
  </si>
  <si>
    <t>sharon.campbell@utas.edu.au; tom.remenyi@utas.edu.au; chris.white@utas.edu.au; fay.johnston@utas.edu.au</t>
  </si>
  <si>
    <t>Campbell, Sharon/0000-0002-9788-5372; Remenyi, Tomas/0000-0002-4145-9323; Johnston, Fay Helena/0000-0002-5150-8678</t>
  </si>
  <si>
    <t>Menzies Institute for Medical Research (University of Tasmania); Antarctic Climate and Ecosystems Cooperative Research Centre</t>
  </si>
  <si>
    <t>Menzies Institute for Medical Research (University of Tasmania); Antarctic Climate and Ecosystems Cooperative Research Centre(Australian GovernmentDepartment of Industry, Innovation and ScienceCooperative Research Centres (CRC) Programme)</t>
  </si>
  <si>
    <t>This work was supported by the Menzies Institute for Medical Research (University of Tasmania) and the Antarctic Climate and Ecosystems Cooperative Research Centre. The funding source had no involvement in the study's design, data collection, interpretation of data and writing of the article.</t>
  </si>
  <si>
    <t>1353-8292</t>
  </si>
  <si>
    <t>1873-2054</t>
  </si>
  <si>
    <t>HEALTH PLACE</t>
  </si>
  <si>
    <t>Health Place</t>
  </si>
  <si>
    <t>10.1016/j.healthplace.2018.08.017</t>
  </si>
  <si>
    <t>GU0BC</t>
  </si>
  <si>
    <t>Green Accepted, hybrid</t>
  </si>
  <si>
    <t>WOS:000444911700025</t>
  </si>
  <si>
    <t>Waugh, DW; Grise, KM; Seviour, WJM; Davis, SM; Davis, N; Adam, O; Son, SW; Simpson, IR; Staten, PW; Maycock, AC; Ummenhofer, CC; Birner, T; Ming, A</t>
  </si>
  <si>
    <t>Waugh, D. W.; Grise, K. M.; Seviour, W. J. M.; Davis, S. M.; Davis, N.; Adam, O.; Son, S. -W.; Simpson, I. R.; Staten, P. W.; Maycock, A. C.; Ummenhofer, C. C.; Birner, T.; Ming, A.</t>
  </si>
  <si>
    <t>Revisiting the Relationship among Metrics of Tropical Expansion</t>
  </si>
  <si>
    <t>Hadley circulation; Hydrologic cycle; Meridional overturning circulation</t>
  </si>
  <si>
    <t>HADLEY-CELL; OBSERVATIONAL EVIDENCE; DYNAMICAL SENSITIVITY; SOUTHERN-HEMISPHERE; CLIMATE SENSITIVITY; WIDTH; BELT; CIRCULATION; REANALYSES; MODES</t>
  </si>
  <si>
    <t>There is mounting evidence that the width of the tropics has increased over the last few decades, but there are large differences in reported expansion rates. This is, likely, in part due to the wide variety of metrics that have been used to define the tropical width. Here we perform a systematic investigation into the relationship among nine metrics of the zonal-mean tropical width using preindustrial control and abrupt quadrupling of CO2 simulations from a suite of coupled climate models. It is shown that the latitudes of the edge of the Hadley cell, the midlatitude eddy-driven jet, the edge of the subtropical dry zones, and the Southern Hemisphere subtropical high covary interannually and exhibit similar long-term responses to a quadrupling of CO2. However, metrics based on the outgoing longwave radiation, the position of the subtropical jet, the break in the tropopause, and the Northern Hemisphere subtropical high have very weak covariations with the above metrics and/or respond differently to increases in CO2 and thus are not good indicators of the expansion of the Hadley cell or subtropical dry zone. The differing variability and responses to increases in CO2 among metrics highlights that care is needed when choosing metrics for studies of the width of the tropics and that it is important to make sure the metric used is appropriate for the specific phenomena and impacts being examined.</t>
  </si>
  <si>
    <t>[Waugh, D. W.; Seviour, W. J. M.] Johns Hopkins Univ, Dept Earth &amp; Planetary Sci, Baltimore, MD 21218 USA; [Waugh, D. W.] Univ New South Wales, Sch Math, Sydney, NSW, Australia; [Grise, K. M.] Univ Virginia, Dept Environm Sci, Clark Hall, Charlottesville, VA 22903 USA; [Davis, S. M.; Davis, N.] NOAA, Earth Syst Res Lab, Boulder, CO USA; [Davis, S. M.; Davis, N.] Univ Colorado, Cooperat Inst Res Environm Sci, Boulder, CO 80309 USA; [Adam, O.] Hebrew Univ Jerusalem, Jerusalem, Israel; [Son, S. -W.] Seoul Natl Univ, Sch Earth &amp; Environm Sci, Seoul, South Korea; [Simpson, I. R.] Natl Ctr Atmospher Res, Climate &amp; Global Dynam Lab, POB 3000, Boulder, CO 80307 USA; [Staten, P. W.] Indiana Univ, Dept Earth &amp; Atmospher Sci, Bloomington, IN USA; [Maycock, A. C.] Univ Leeds, Sch Earth &amp; Environm, Leeds, W Yorkshire, England; [Ummenhofer, C. C.] Woods Hole Oceanog Inst, Dept Phys Oceanog, Woods Hole, MA 02543 USA; [Birner, T.] Colorado State Univ, Dept Atmospher Sci, Ft Collins, CO 80523 USA; [Ming, A.] British Antarctic Survey, Cambridge, England; [Birner, T.] Ludwig Maximilians Univ Munchen, Meteorol Inst, Munich, Germany</t>
  </si>
  <si>
    <t>Johns Hopkins University; University of New South Wales Sydney; University of Virginia; National Oceanic Atmospheric Admin (NOAA) - USA; University of Colorado System; University of Colorado Boulder; Hebrew University of Jerusalem; Seoul National University (SNU); National Center Atmospheric Research (NCAR) - USA; Indiana University System; Indiana University Bloomington; University of Leeds; Woods Hole Oceanographic Institution; Colorado State University; UK Research &amp; Innovation (UKRI); Natural Environment Research Council (NERC); NERC British Antarctic Survey; University of Munich</t>
  </si>
  <si>
    <t>Waugh, DW (corresponding author), Johns Hopkins Univ, Dept Earth &amp; Planetary Sci, Baltimore, MD 21218 USA.;Waugh, DW (corresponding author), Univ New South Wales, Sch Math, Sydney, NSW, Australia.</t>
  </si>
  <si>
    <t>waugh@jhu.edu</t>
  </si>
  <si>
    <t>Simpson, Isla/AAI-7589-2020; Birner, Thomas/FFE-8380-2022; Davis, Sean/C-9570-2011; Maycock, Amanda C/T-5380-2018; Son, Seok-Woo/A-8797-2013; Staten, Paul/AAK-3268-2020; Grise, Kevin/B-6939-2013; Davis, Sean/HGC-5795-2022; Adam, Ori/AAM-5014-2021; Waugh, Darryn/K-3688-2016</t>
  </si>
  <si>
    <t>Birner, Thomas/0000-0002-2966-3428; Davis, Sean/0000-0001-9276-6158; Staten, Paul/0000-0001-9034-2466; Grise, Kevin/0000-0003-0934-8129; Davis, Sean/0000-0001-9276-6158; Adam, Ori/0000-0003-0334-0636; Maycock, Amanda/0000-0002-6614-1127; Waugh, Darryn/0000-0001-7692-2798; Seviour, William/0000-0003-1622-0545</t>
  </si>
  <si>
    <t>NSF [AGS-1403676]; NERC [bas0100032] Funding Source: UKRI</t>
  </si>
  <si>
    <t>NSF(National Science Foundation (NSF)); NERC(UK Research &amp; Innovation (UKRI)Natural Environment Research Council (NERC))</t>
  </si>
  <si>
    <t>We thank Karen Rosenlof for helpful comments and discussions on earlier versions of the manuscript, and Damianos Mantsis for initial discussions regarding OLR metrics. This paper arises from discussions within the International Space Science Institute (ISSI) Tropical Width Diagnostics Intercomparison Project and the U.S. Climate Variability, Predictability and Change (U.S. CLIVAR) Working Group on the Changing Width of the Tropical Belt. The authors thank the entire members of these groups, the ISSI and U.S. CLIVAR offices, and sponsoring agencies (ESA, Swiss Confederation, Swiss Academy of Sciences, University of Bern, NASA, NOAA, NSF, and DOE). All model data used in this paper are freely available through the Earth System Grid Federation (https://pcmdi9.llnl.gov/projects/esgf-llnl/). We acknowledge the World Climate Research Programme's Working Group on Coupled Modelling, which is responsible for CMIP, and we thank the climate modeling groups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DW acknowledges support from NSF AGS-1403676.</t>
  </si>
  <si>
    <t>10.1175/JCLI-D-18-0108.1</t>
  </si>
  <si>
    <t>GP6IM</t>
  </si>
  <si>
    <t>hybrid, Green Accepted, Green Published, Green Submitted</t>
  </si>
  <si>
    <t>WOS:000440982200002</t>
  </si>
  <si>
    <t>Xue, JQ; Sun, C; Li, JP; Mao, JY; Nakamura, H; Miyasaka, T; Xu, YD</t>
  </si>
  <si>
    <t>Xue, Jiaqing; Sun, Cheng; Li, Jianping; Mao, Jiangyu; Nakamura, Hisashi; Miyasaka, Takafumi; Xu, Yidan</t>
  </si>
  <si>
    <t>Divergent Responses of Extratropical Atmospheric Circulation to Interhemispheric Dipolar SST Forcing over the Two Hemispheres in Boreal Winter</t>
  </si>
  <si>
    <t>Climate variability</t>
  </si>
  <si>
    <t>SEA-SURFACE TEMPERATURE; MERIDIONAL OVERTURNING CIRCULATION; ATLANTIC MULTIDECADAL OSCILLATION; SOUTHERN-HEMISPHERE; STORM TRACKS; NORTH-ATLANTIC; ANNULAR MODE; PART I; CLIMATE VARIABILITY; FLOW INTERACTION</t>
  </si>
  <si>
    <t>Global sea surface temperature (SST) evolution exhibits an antiphase variation between the two hemispheres that is referred to as the SST interhemispheric dipole (SSTID) mode. The impacts of the SSTID on extratropical atmospheric circulation in boreal winter are explored by both regression analysis and SST-forced numerical simulations. The responses of extratropical circulation to SSTID thermal forcing bear an equivalent barotropic structure. For the Southern Hemisphere (SH), positive SSTID events lead to a meridional dipolar perturbation in sea level pressure (SLP), similar in pattern to the positive southern annular mode (SAM). Although SSTID-forced SLP anomalies over the Northern Hemisphere (NH) do not exhibit a zonally symmetric pattern as is the case over the SH, they still show signs of a meridional dipole opposite to the SH over the oceans. Divergent circulation responses to SSTID forcing between the two hemispheres are suggested to be associated with contrasting storm-track variations. Positive SSTID events weaken oceanic fronts in both the North Atlantic and North Pacific, and thus lead to the decline of NH storm-track activity by decreasing atmospheric baroclinicity. In the SH, positive SSTID events correspond to the enhancement of SH transients by intensifying the Antarctic polar-frontal zone. Additionally, local baroclinic energy conversions are diagnosed to explain the SSTID-related storm-track variations over both hemispheres. Finally, an investigation of transient eddy feedback indicates that the SSTID mode modulates extratropical atmospheric circulation, primarily by regulating storm tracks and changing the corresponding eddy feedback.</t>
  </si>
  <si>
    <t>[Xue, Jiaqing; Mao, Jiangyu] Chinese Acad Sci, Inst Atmospher Phys, State Key Lab Numer Modeling Atmospher Sci &amp; Geop, Beijing, Peoples R China; [Xue, Jiaqing] Univ Chinese Acad Sci, Coll Earth Sci, Beijing, Peoples R China; [Sun, Cheng; Li, Jianping; Xu, Yidan] Beijing Normal Univ, Coll Global Change &amp; Earth Syst Sci, Beijing, Peoples R China; [Li, Jianping] Qingdao Natl Lab Marine Sci &amp; Technol, Lab Reg Oceanog &amp; Numer Modeling, Qingdao, Peoples R China; [Nakamura, Hisashi; Miyasaka, Takafumi] Univ Tokyo, Res Ctr Adv Sci &amp; Technol, Climate Sci Res Lab, Tokyo, Japan; [Miyasaka, Takafumi] Japan Meteorol Agcy, Meteorol Res Inst, Tsukuba, Ibaraki, Japan</t>
  </si>
  <si>
    <t>Chinese Academy of Sciences; Institute of Atmospheric Physics, CAS; Chinese Academy of Sciences; University of Chinese Academy of Sciences, CAS; Beijing Normal University; Laoshan Laboratory; University of Tokyo; Meteorological Research Institute - Japan; Japan Meteorological Agency</t>
  </si>
  <si>
    <t>Li, JP (corresponding author), Beijing Normal Univ, Coll Global Change &amp; Earth Syst Sci, Beijing, Peoples R China.;Li, JP (corresponding author), Qingdao Natl Lab Marine Sci &amp; Technol, Lab Reg Oceanog &amp; Numer Modeling, Qingdao, Peoples R China.</t>
  </si>
  <si>
    <t>ljp@bnu.edu.cn</t>
  </si>
  <si>
    <t>Mao, Jiangyu/AAJ-5420-2020; Sun, Cheng/O-7918-2015; Li, Jianping/I-2661-2012</t>
  </si>
  <si>
    <t>Sun, Cheng/0000-0003-0474-7593; Miyasaka, Takafumi/0000-0002-5739-0818; Li, Jianping/0000-0003-0625-1575</t>
  </si>
  <si>
    <t>National Natural Science Foundation of China (NSFC) [41790474]; SOA International Cooperation Program on Global Change and Air-Sea Interactions [GASI-IPOVAI-03]; Japanese Ministry of Education, Culture, Sports, Science and Technology through the ArCS Program; KAKENHI [16H01844]; Japan Science and Technology Agency through Belmont Forum CRA InterDec''; Grants-in-Aid for Scientific Research [16H01844] Funding Source: KAKEN</t>
  </si>
  <si>
    <t>National Natural Science Foundation of China (NSFC)(National Natural Science Foundation of China (NSFC)); SOA International Cooperation Program on Global Change and Air-Sea Interactions; Japanese Ministry of Education, Culture, Sports, Science and Technology through the ArCS Program; KAKENHI(Ministry of Education, Culture, Sports, Science and Technology, Japan (MEXT)Japan Society for the Promotion of ScienceGrants-in-Aid for Scientific Research (KAKENHI)); Japan Science and Technology Agency through Belmont Forum CRA InterDec''; Grants-in-Aid for Scientific Research(Ministry of Education, Culture, Sports, Science and Technology, Japan (MEXT)Japan Society for the Promotion of ScienceGrants-in-Aid for Scientific Research (KAKENHI))</t>
  </si>
  <si>
    <t>This work is sponsored by the National Natural Science Foundation of China (NSFC) Project (41790474) and the SOA International Cooperation Program on Global Change and Air-Sea Interactions (GASI-IPOVAI-03). HN and TM are supported in part by the Japanese Ministry of Education, Culture, Sports, Science and Technology through the ArCS Program and KAKENHI 16H01844, and by the Japan Science and Technology Agency through Belmont Forum CRA InterDec.'' The authors wish to thank three anonymous reviewers for their constructive comments that significantly enhanced the quality of this paper.</t>
  </si>
  <si>
    <t>10.1175/JCLI-D-17-0817.1</t>
  </si>
  <si>
    <t>WOS:000440982200004</t>
  </si>
  <si>
    <t>Shen, WS; Wiens, DA; Anandakrishnan, S; Aster, RC; Gerstoft, P; Bromirski, PD; Hansen, SE; Dalziel, IWD; Heeszel, DS; Huerta, AD; Nyblade, AA; Stephen, R; Wilson, TJ; Winberry, JP</t>
  </si>
  <si>
    <t>Shen, Weisen; Wiens, Douglas A.; Anandakrishnan, Sridhar; Aster, Richard C.; Gerstoft, Peter; Bromirski, Peter D.; Hansen, Samantha E.; Dalziel, Ian W. D.; Heeszel, David S.; Huerta, Audrey D.; Nyblade, Andrew A.; Stephen, Ralph; Wilson, Terry J.; Winberry, J. Paul</t>
  </si>
  <si>
    <t>The Crust and Upper Mantle Structure of Central and West Antarctica From Bayesian Inversion of Rayleigh Wave and Receiver Functions</t>
  </si>
  <si>
    <t>seismology; crust and uppermost mantle; ambient noise tomography; Antarctica; Transantarctic Mountains; Gamburtsev Mountains</t>
  </si>
  <si>
    <t>MARIE-BYRD-LAND; NORTHERN TRANSANTARCTIC MOUNTAINS; SEISMIC ANISOTROPY BENEATH; VELOCITY STRUCTURE BENEATH; ROSS ICE SHELF; JOINT INVERSION; RIFT SYSTEM; ANOMALIES BENEATH; THERMAL STRUCTURE; EAST ANTARCTICA</t>
  </si>
  <si>
    <t>We construct a new seismic model for central and West Antarctica by jointly inverting Rayleigh wave phase and group velocities along with P wave receiver functions. Ambient noise tomography exploiting data from more than 200 seismic stations deployed over the past 18years is used to construct Rayleigh wave phase and group velocity dispersion maps. Comparison between the ambient noise phase velocity maps with those constructed using teleseismic earthquakes confirms the accuracy of both results. These maps, together with P receiver function waveforms, are used to construct a new 3-D shear velocity (Vs) model for the crust and uppermost mantle using a Bayesian Monte Carlo algorithm. The new 3-D seismic model shows the dichotomy of the tectonically active West Antarctica (WANT) and the stable and ancient East Antarctica (EANT). In WANT, the model exhibits a slow uppermost mantle along the Transantarctic Mountains (TAMs) front, interpreted as the thermal effect from Cenozoic rifting. Beneath the southern TAMs, the slow uppermost mantle extends horizontally beneath the traditionally recognized EANT, hypothesized to be associated with lithospheric delamination. Thin crust and lithosphere observed along the Amundsen Sea coast and extending into the interior suggest involvement of these areas in Cenozoic rifting. EANT, with its relatively thick and cold crust and lithosphere marked by high Vs, displays a slower Vs anomaly beneath the Gamburtsev Subglacial Mountains in the uppermost mantle, which we hypothesize may be the signature of a compositionally anomalous body, perhaps remnant from a continental collision.</t>
  </si>
  <si>
    <t>[Shen, Weisen; Wiens, Douglas A.] Washington Univ, Dept Earth &amp; Planetary Sci, St Louis, MO 63130 USA; [Shen, Weisen] SUNY Stony Brook, Dept Geosci, Stony Brook, NY 11794 USA; [Anandakrishnan, Sridhar; Nyblade, Andrew A.] Penn State Univ, Dept Geosci, University Pk, PA 16802 USA; [Aster, Richard C.] Colorado State Univ, Dept Geosci, Ft Collins, CO 80523 USA; [Aster, Richard C.] Colorado State Univ, Warner Coll Nat Resources, Ft Collins, CO 80523 USA; [Gerstoft, Peter; Bromirski, Peter D.] Univ Calif San Diego, Scripps Inst Oceanog, San Diego, CA 92103 USA; [Hansen, Samantha E.] Univ Alabama, Dept Geol Sci, Tuscaloosa, AL USA; [Dalziel, Ian W. D.] Univ Texas Austin, Inst Geophys, Jackson Sch Geosci, Austin, TX USA; [Heeszel, David S.] US Nucl Regulatory Commiss, Washington, DC 20555 USA; [Huerta, Audrey D.; Winberry, J. Paul] Cent Washington Univ, Dept Geol Sci, Ellensburg, WA USA; [Stephen, Ralph] Woods Hole Oceanog Inst, Woods Hole, MA 02543 USA; [Wilson, Terry J.] Ohio State Univ, Dept Geol Sci, Columbus, OH 43210 USA</t>
  </si>
  <si>
    <t>Washington University (WUSTL); State University of New York (SUNY) System; State University of New York (SUNY) Stony Brook; Pennsylvania Commonwealth System of Higher Education (PCSHE); Pennsylvania State University; Pennsylvania State University - University Park; Colorado State University; Colorado State University; University of California System; University of California San Diego; Scripps Institution of Oceanography; University of Alabama System; University of Alabama Tuscaloosa; University of Texas System; University of Texas Austin; Central Washington University; Woods Hole Oceanographic Institution; University System of Ohio; Ohio State University</t>
  </si>
  <si>
    <t>Shen, WS (corresponding author), Washington Univ, Dept Earth &amp; Planetary Sci, St Louis, MO 63130 USA.;Shen, WS (corresponding author), SUNY Stony Brook, Dept Geosci, Stony Brook, NY 11794 USA.</t>
  </si>
  <si>
    <t>weisen.shen@stonybrook.edu</t>
  </si>
  <si>
    <t>Gerstoft, Peter/B-2842-2009; Shen, Weisen/AAB-2471-2020; Huerta, Audrey D/A-8680-2009; Anandakrishnan, Sridhar/JCN-5026-2023; Winberry, Paul/HLQ-2673-2023; Dalziel, Ian W. D./G-5926-2010; Aster, Richard/E-5067-2013; Wiens, Douglas/J-9259-2016</t>
  </si>
  <si>
    <t>Gerstoft, Peter/0000-0002-0471-062X; Winberry, Paul/0000-0003-1205-0745; Aster, Richard/0000-0002-0821-4906; Wiens, Douglas/0000-0002-5169-4386; Huerta, Audrey/0000-0002-0252-8496; Shen, Weisen/0000-0002-3766-632X</t>
  </si>
  <si>
    <t>National Science Foundation [PLR-1246712, PLR-1142518, PLR 1246151, PLR-1246416, PLR 1744883]; IRIS DMS [EAR-1063471]; Directorate For Geosciences; Office of Polar Programs (OPP) [1249513] Funding Source: National Science Foundation; Office of Polar Programs (OPP); Directorate For Geosciences [1142126, 1246666, 1141916] Funding Source: National Science Foundation</t>
  </si>
  <si>
    <t>National Science Foundation(National Science Foundation (NSF)); IRIS DMS; Directorate For Geosciences; Office of Polar Programs (OPP)(National Science Foundation (NSF)NSF - Directorate for Geosciences (GEO)); Office of Polar Programs (OPP); Directorate For Geosciences(National Science Foundation (NSF)NSF - Directorate for Geosciences (GEO))</t>
  </si>
  <si>
    <t>We thank two anonymous reviewers for their constructive comments that improved the paper. We would like to acknowledge the support of all the field teams associated with the collection of data analyzed here, particularly Patrick Shore as well as the polar support specialists at IRIS/PASSCAL. We thank the pilots of Kenn Borek Air and the New York Air Guard for flight support and the NSF Antarctic Contractor and their staff for support of field camps and logistics. This material is based upon work supported by the National Science Foundation under grants PLR-1246712, PLR-1142518, and PLR 1246151 (P.B. and P.G); PLR-1246416 (R.S.); and PLR 1744883 (S.W. and D.W.). Seismic instrumentation was provided by the Incorporated Research Institutions for Seismology (IRIS) through the PASSCAL Instrument Center at New Mexico Tech. Waveforms and metadata were accessed via the Incorporated Research Institutions for Seismology (IRIS) Data Management System, specifically the IRIS Data Management Center; the IRIS DMS is funded through the National Science Foundation and specifically the GEO Directorate through the Instrumentation and Facilities Program of the National Science Foundation under Cooperative Agreement EAR-1063471. GMT software was used to prepare some figures (Wessel &amp; Smith, 1998). The 3-D model (i.e., the mean of the posterior distribution) is available via the IRIS Earth Model Collaboration (Trabant et al., 2012) at http://ds.iris.edu/ds/products/emc/. At the time of publication, the model, uncertainties, and the dispersion maps are also available via the site at https://sites.google.com/view/weisen/research-products?authuser=0.</t>
  </si>
  <si>
    <t>10.1029/2017JB015346</t>
  </si>
  <si>
    <t>WOS:000447858800036</t>
  </si>
  <si>
    <t>Connell, L; Segee, B; Redman, R; Rodriguez, RJ; Staudigel, H</t>
  </si>
  <si>
    <t>Connell, Laurie; Segee, Benjamin; Redman, Regina; Rodriguez, Russell J.; Staudigel, Hubert</t>
  </si>
  <si>
    <t>Biodiversity and Abundance of Cultured Microfungi from the Permanently Ice-Covered Lake Fryxell, Antarctica</t>
  </si>
  <si>
    <t>LIFE-BASEL</t>
  </si>
  <si>
    <t>Antarctic; fungi; Lake Fryxell; permanently ice-covered lakes; extreme habitats</t>
  </si>
  <si>
    <t>In this work, we explore the biodiversity of culturable microfungi from the water column of a permanently ice-covered lake in Taylor Valley, Antarctica from austral field seasons in 2003, 2008 and 2010, as well as from glacial stream input (2010). The results revealed that there was a sharp decline in total culturable fungal abundance between 9 and 11 m lake depth with a concurrent shift in diversity. A total of 29 species were identified from all three water sources with near even distribution between Ascomycota and Basidomycota (15 and 14 respectively). The most abundant taxa isolated from Lake Fryxell in 2008 were Glaciozyma watsonii (59%) followed by Penicillium spp. (10%), both of which were restricted to 9 m and above. Although seven species were found below the chemocline of 11 m in 2008, their abundance comprised only 10% of the total culturable fungi. The taxa of isolates collected from glacial source input streams had little overlap with those found in Lake Fryxell. The results highlight the spatial discontinuities of fungal populations that can occur within connected oligotrophic aquatic habitats.</t>
  </si>
  <si>
    <t>[Connell, Laurie; Segee, Benjamin] Univ Maine, Sch Marine Sci &amp; Mol &amp; Biomed Sci, Orono, ME 04469 USA; [Redman, Regina; Rodriguez, Russell J.] Univ Washington, Adapt Symbiot Technol, Seattle, WA 98195 USA; [Staudigel, Hubert] Scripps Inst Oceanog, La Jolla, CA 92037 USA</t>
  </si>
  <si>
    <t>University of Maine System; University of Maine Orono; University of Washington; University of Washington Seattle; University of California System; University of California San Diego; Scripps Institution of Oceanography</t>
  </si>
  <si>
    <t>Connell, L (corresponding author), Univ Maine, Sch Marine Sci &amp; Mol &amp; Biomed Sci, Orono, ME 04469 USA.</t>
  </si>
  <si>
    <t>laurie.b.connell@maine.edu; ben.e.segee@maine.edu; rsredman@adsymtech.com; rjrodriguez@adsymtech.com; hstaudig@ucsd.edu</t>
  </si>
  <si>
    <t>Connell, Laurie/0009-0001-3892-8643</t>
  </si>
  <si>
    <t>REU supplement; [NSF OPP-0125611]; [NSF ANT-0739696]</t>
  </si>
  <si>
    <t>REU supplement; ;</t>
  </si>
  <si>
    <t>This work was partially supported by Grant# NSF OPP-0125611 and NSF ANT-0739696 and its REU supplement.</t>
  </si>
  <si>
    <t>2075-1729</t>
  </si>
  <si>
    <t>Life-Basel</t>
  </si>
  <si>
    <t>10.3390/life8030037</t>
  </si>
  <si>
    <t>Biology; Microbiology</t>
  </si>
  <si>
    <t>Life Sciences &amp; Biomedicine - Other Topics; Microbiology</t>
  </si>
  <si>
    <t>GX7GC</t>
  </si>
  <si>
    <t>WOS:000447932000013</t>
  </si>
  <si>
    <t>Koo, H; Hakim, JA; Morrow, CD; Crowley, MR; Andersen, DT; Bej, AK</t>
  </si>
  <si>
    <t>Koo, Hyunmin; Hakim, Joseph A.; Morrow, Casey D.; Crowley, Michael R.; Andersen, Dale T.; Bej, Asim K.</t>
  </si>
  <si>
    <t>Metagenomic Analysis of Microbial Community Compositions and Cold-Responsive Stress Genes in Selected Antarctic Lacustrine and Soil Ecosystems</t>
  </si>
  <si>
    <t>MG-RAST; cold shock; Lake Untersee; Ace Lake; Newcomb Bay Lake; Mount Seuss; McMurdo Dry Valleys</t>
  </si>
  <si>
    <t>MCMURDO DRY VALLEYS; DRONNING MAUD LAND; ESCHERICHIA-COLI; LAKE UNTERSEE; SURVIVAL STRATEGIES; SHOCK RESPONSE; H-NS; ADAPTATION; PROTEIN; BACTERIUM</t>
  </si>
  <si>
    <t>This study describes microbial community compositions, and various cold-responsive stress genes, encompassing cold-induced proteins (CIPs) and cold-associated general stress-responsive proteins (CASPs) in selected Antarctic lake water, sediment, and soil metagenomes. Overall, Proteobacteria and Bacteroidetes were the major taxa in all metagenomes. Prochlorococcus and Thiomicrospira were highly abundant in waters, while Myxococcus, Anaeromyxobacter, Haliangium, and Gloeobacter were dominant in the soil and lake sediment metagenomes. Among CIPs, genes necessary for DNA replication, translation initiation, and transcription termination were highly abundant in all metagenomes. However, genes for fatty acid desaturase (FAD) and trehalose synthase (TS) were common in the soil and lake sediment metagenomes. Interestingly, the Lake Untersee water and sediment metagenome samples contained histone-like nucleoid structuring protein (H-NS) and all genes for CIPs. As for the CASPs, high abundances of a wide range of genes for cryo- and osmo-protectants (glutamate, glycine, choline, and betaine) were identified in all metagenomes. However, genes for exopolysaccharide biosynthesis were dominant in Lake Untersee water, sediment, and other soil metagenomes. The results from this study indicate that although diverse microbial communities are present in various metagenomes, they share common cold-responsive stress genes necessary for their survival and sustenance in the extreme Antarctic conditions.</t>
  </si>
  <si>
    <t>[Koo, Hyunmin; Hakim, Joseph A.; Bej, Asim K.] Univ Alabama Birmingham, Dept Biol, Birmingham, AL 35294 USA; [Morrow, Casey D.] Univ Alabama Birmingham, Dept Cell Dev &amp; Integrat Biol, Sch Med, Birmingham, AL 35294 USA; [Crowley, Michael R.] Univ Alabama Birmingham, Dept Genet, Heflin Ctr Genom Core, Sch Med, Birmingham, AL 35294 USA; [Andersen, Dale T.] SETI Inst, Carl Sagan Ctr, Mountain View, CA 94043 USA</t>
  </si>
  <si>
    <t>University of Alabama System; University of Alabama Birmingham; University of Alabama System; University of Alabama Birmingham; University of Alabama System; University of Alabama Birmingham</t>
  </si>
  <si>
    <t>Koo, H; Bej, AK (corresponding author), Univ Alabama Birmingham, Dept Biol, Birmingham, AL 35294 USA.</t>
  </si>
  <si>
    <t>khmkhm87@uab.edu; joe21@uab.edu; caseym@uab.edu; mcrowley@uab.edu; dandersen@seti.org; abej@uab.edu</t>
  </si>
  <si>
    <t>Andersen, Dale T/B-4816-2013</t>
  </si>
  <si>
    <t>Andersen, Dale T/0000-0001-8827-1259; Koo, Hyunmin/0000-0001-6630-2165</t>
  </si>
  <si>
    <t>TAWANI Foundation; Trottier Family Foundation; Arctic and Antarctic Research Institute/Russian Antarctic Expedition; Microbiome Resource at the University of Alabama at Birmingham: the Comprehensive Cancer Center [P30AR050948]; Center for Clinical and Translational Science [UL1TR001417]; University Wide Institutional Core; Heflin Center for Genomic Sciences</t>
  </si>
  <si>
    <t>TAWANI Foundation; Trottier Family Foundation; Arctic and Antarctic Research Institute/Russian Antarctic Expedition; Microbiome Resource at the University of Alabama at Birmingham: the Comprehensive Cancer Center; Center for Clinical and Translational Science; University Wide Institutional Core; Heflin Center for Genomic Sciences</t>
  </si>
  <si>
    <t>Primary support for this research was provided by the TAWANI Foundation, the Trottier Family Foundation, and the Arctic and Antarctic Research Institute/Russian Antarctic Expedition. The following are acknowledged for their support of the Microbiome Resource at the University of Alabama at Birmingham: the Comprehensive Cancer Center (P30AR050948), the Center for Clinical and Translational Science (UL1TR001417), and the University Wide Institutional Core and Heflin Center for Genomic Sciences.</t>
  </si>
  <si>
    <t>10.3390/life8030029</t>
  </si>
  <si>
    <t>WOS:000447932000005</t>
  </si>
  <si>
    <t>Ruibal, C; Selbmann, L; Avci, S; Martin-Sanchez, PM; Gorbushina, AA</t>
  </si>
  <si>
    <t>Ruibal, Constantino; Selbmann, Laura; Avci, Serap; Martin-Sanchez, Pedro M.; Gorbushina, Anna A.</t>
  </si>
  <si>
    <t>Roof-Inhabiting Cousins of Rock-Inhabiting Fungi: Novel Melanized Microcolonial Fungal Species from Photocatalytically Reactive Subaerial Surfaces</t>
  </si>
  <si>
    <t>microcolonial fungi; multilocus phylogeny; photocatalytic surfaces; subaerial biofilms; stress tolerance; Constantinomyces</t>
  </si>
  <si>
    <t>BLACK FUNGI; LIFE; PHYLOGENIES; MARBLE</t>
  </si>
  <si>
    <t>Subaerial biofilms (SAB) are an important factor in weathering, biofouling, and biodeterioration of bare rocks, building materials, and solar panel surfaces. The realm of SAB is continually widened by modern materials, and the settlers on these exposed solid surfaces always include melanized, stress-tolerant microcolonial ascomycetes. After their first discovery on desert rock surfaces, these melanized chaetothyrialean and dothidealean ascomycetes have been found on Mediterranean monuments after biocidal treatments, Antarctic rocks and solar panels. New man-made modifications of surfaces (e.g., treatment with biocides or photocatalytically active layers) accommodate the exceptional stress-tolerance of microcolonial fungi and thus further select for this well-protected ecological group. Melanized fungal strains were isolated from a microbial community that developed on highly photocatalytic roof tiles after a long-term environmental exposure in a maritime-influenced region in northwestern Germany. Four of the isolated strains are described here as a novel species, Constantinomyces oldenburgensis, based on multilocus ITS, LSU, RPB2 gene phylogeny. Their closest relative is a still-unnamed rock-inhabiting strain TRN431, here described as C. patonensis. Both species cluster in Capnodiales, among typical melanized microcolonial rock fungi from different stress habitats, including Antarctica. These novel strains flourish in hostile conditions of highly oxidizing material surfaces, and shall be used in reference procedures in material testing.</t>
  </si>
  <si>
    <t>[Ruibal, Constantino] Univ Complutense Madrid, Fac Pharm, Dept Pharmacol Pharmacognosy &amp; Bot, E-28040 Madrid, Spain; [Selbmann, Laura] Univ Tuscia, Dept Ecol &amp; Biol Sci DEB, I-01100 Viterbo, Italy; [Selbmann, Laura] Italian Natl Antarctic Museum, Mycol Sect, I-16128 Genoa, Italy; [Avci, Serap; Martin-Sanchez, Pedro M.; Gorbushina, Anna A.] Bundesanstalt Mat Forsch &amp; Prufung BAM, Dept Mat &amp; Environm 4, D-12205 Berlin, Germany; [Martin-Sanchez, Pedro M.] Univ Oslo, Dept Biosci, Sect Genet &amp; Evolutionary Biol EVOGENE, N-0371 Oslo, Norway; [Gorbushina, Anna A.] Free Univ Berlin, Dept Earth Sci, D-14195 Berlin, Germany; [Gorbushina, Anna A.] Free Univ Berlin, Dept Biol Chem Pharm, D-14195 Berlin, Germany</t>
  </si>
  <si>
    <t>Complutense University of Madrid; Tuscia University; Federal Institute for Materials Research &amp; Testing; University of Oslo; Free University of Berlin; Free University of Berlin</t>
  </si>
  <si>
    <t>Gorbushina, AA (corresponding author), Bundesanstalt Mat Forsch &amp; Prufung BAM, Dept Mat &amp; Environm 4, D-12205 Berlin, Germany.;Gorbushina, AA (corresponding author), Free Univ Berlin, Dept Earth Sci, D-14195 Berlin, Germany.;Gorbushina, AA (corresponding author), Free Univ Berlin, Dept Biol Chem Pharm, D-14195 Berlin, Germany.</t>
  </si>
  <si>
    <t>tinoruibal@yahoo.com; selbmann@unitus.it; aag1936@gmail.com; p.m.martin-sanchez@ibv.uio.no; anna.gorbushina@bam.de</t>
  </si>
  <si>
    <t>Martin-Sanchez, Pedro M./ABI-4509-2020; Gorbushina, Anna/ABH-1999-2020; Martin-Sanchez, Pedro M/A-8021-2016; Selbmann, Laura/L-3056-2013; Ruibal Villasenor, Constantino/A-9402-2017</t>
  </si>
  <si>
    <t>Martin-Sanchez, Pedro M./0000-0003-2674-8650; Gorbushina, Anna/0000-0001-7685-7797; Selbmann, Laura/0000-0002-8967-3329; Ruibal Villasenor, Constantino/0000-0003-3494-7051</t>
  </si>
  <si>
    <t>BAM; Spanish Ministerio de Economia y Compeptitividad [CGL2013-42498-P]; Extreme Environments</t>
  </si>
  <si>
    <t>BAM; Spanish Ministerio de Economia y Compeptitividad; Extreme Environments</t>
  </si>
  <si>
    <t>This work in part of lab consumables for isolates growth, DNA extraction and PCR amplification as well as staff positions was financially supported by internal funds of the BAM. During this study CR's position was funded by the Spanish Ministerio de Economia y Compeptitividad (CGL2013-42498-P). Wolfgang Krumbein and BIOGEMA are thanked for their support in developing and monitoring the test site. The Italian National Antarctic Museum is acknowledged for funding the Culture Collection of Fungi from Extreme Environments where the strains were deposited and the related sequences database used for implementing the phylogenetic study.</t>
  </si>
  <si>
    <t>10.3390/life8030030</t>
  </si>
  <si>
    <t>WOS:000447932000006</t>
  </si>
  <si>
    <t>Ryan-Keogh, TJ; Thomalla, SJ; Little, H; Melanson, JR</t>
  </si>
  <si>
    <t>Ryan-Keogh, Thomas J.; Thomalla, Sandy J.; Little, Hazel; Melanson, Jenna-Rose</t>
  </si>
  <si>
    <t>Seasonal regulation of the coupling between photosynthetic electron transport and carbon fixation in the Southern Ocean</t>
  </si>
  <si>
    <t>REPETITION RATE FLUOROMETRY; PHYTOPLANKTON COMMUNITY STRUCTURE; PHOTOSYSTEM-II PHOTOINACTIVATION; IRON-LIGHT INTERACTIONS; PRIMARY PRODUCTIVITY; ATLANTIC SECTOR; NORTH-ATLANTIC; ACTIVE FLUORESCENCE; SPATIAL VARIABILITY; SHELF SEA</t>
  </si>
  <si>
    <t>Active fluorescence measurements can provide rapid, non-intrusive estimates of phytoplankton primary production at high spatial and temporal resolution, but there is uncertainty in converting from electrons to ecologically relevant rates of CO2 assimilation. In this study, we examine the light-dependent rates of photosynthetic electron transport and C-13-uptake in the Atlantic sector of the Southern Ocean to derive a conversion factor for both winter (July 2015-August 2015) and summer (December 2015-February 2016). The results revealed significant seasonal differences in the light-saturated chlorophyll specific rate of C-13-uptake, (P-max(B)), with mean summer values 2.3 times higher than mean winter values, and the light limited chlorophyll specific efficiency, (alpha(B)), with mean values 2.7 times higher in summer than in winter. Similar patterns were observed in the light-saturated photosynthetic electron transport rates (ETRmaxRCII, 1.5 times higher in summer) and light limited photosynthetic electron transport efficiency (alpha(RCII), 1.3 times higher in summer). The conversion factor between carbon and electrons (Phi(e:C) (mol e(-) mol C-1)) was derived utilizing in situ measurements of the chlorophyll-normalized number of reaction centers (n(RCII)), resulting in a mean summer Phi(e:C) which was similar to 3 times lower than the mean winter Phi(e:C). Empirical relationships were established between Phi(e:C), light and NPQ, however they were not consistent across locations or seasons. The seasonal decoupling of Phi(e:C) is the result of differences in E-k-dependent and E-k-independent variability, which require new modelling approaches and improvements to bio-optical techniques to account for these inter-seasonal differences in both taxonomy and environmental mean conditions.</t>
  </si>
  <si>
    <t>[Ryan-Keogh, Thomas J.; Thomalla, Sandy J.] CSIR, Southern Ocean Carbon &amp; Climate Observ, Nat Resources &amp; Environm, Rosebank, Cape Town, South Africa; [Ryan-Keogh, Thomas J.; Thomalla, Sandy J.; Little, Hazel] Univ Cape Town, Dept Oceanog, Cape Town, South Africa; [Melanson, Jenna-Rose] Mt Allison Univ, Dept Chem &amp; Biochem, Sackville, NB, Canada</t>
  </si>
  <si>
    <t>University of Cape Town; Mount Allison University</t>
  </si>
  <si>
    <t>Ryan-Keogh, TJ (corresponding author), CSIR, Southern Ocean Carbon &amp; Climate Observ, Nat Resources &amp; Environm, Rosebank, Cape Town, South Africa.;Ryan-Keogh, TJ (corresponding author), Univ Cape Town, Dept Oceanog, Cape Town, South Africa.</t>
  </si>
  <si>
    <t>tryankeogh@csir.co.za</t>
  </si>
  <si>
    <t>Ryan-Keogh, Thomas/AAS-3716-2021; Thomalla, Sandy/AAS-4133-2021</t>
  </si>
  <si>
    <t>Ryan-Keogh, Thomas/0000-0001-5144-171X;</t>
  </si>
  <si>
    <t>CSIR's Southern Ocean Carbon and Climate Observatory (SOCCO) Programme; CSIR's Parliamentary Grant [SNA2011112600001]; NRF SANAP grant [SNA14073184298]</t>
  </si>
  <si>
    <t>CSIR's Southern Ocean Carbon and Climate Observatory (SOCCO) Programme; CSIR's Parliamentary Grant; NRF SANAP grant</t>
  </si>
  <si>
    <t>We would like to thank the South African National Antarctic Programme (SANAP) and the captain and crew of the S.A. Agulhas II for their professional support throughout the cruise. Natasha van Horsten and Warren Joubert performed the DIC determinations for calculation of carbon assimilation. TJRK, SJT and HL performed the PE experiments and FLC measurements, JRM performed the quantitative protein concentration analysis. TJRK and SJT wrote the manuscript. We thank D. Suggett and G. Silsbe for their reviews in helping to improve this manuscript. This work was undertaken and supported through the CSIR's Southern Ocean Carbon and Climate Observatory (SOCCO) Programme (http://socco.org.za/). This work was supported by CSIR's Parliamentary Grant (SNA2011112600001) and an NRF SANAP grant (SNA14073184298).</t>
  </si>
  <si>
    <t>10.1002/lno.10812</t>
  </si>
  <si>
    <t>WOS:000449045600002</t>
  </si>
  <si>
    <t>Ma, B; Shang, ZH; Hu, Y; Hu, KL; Liu, Q; Ashley, MCB; Cui, XQ; Du, FJ; Fan, DW; Feng, LL; Huang, F; Gu, BZ; He, BL; Ji, T; Li, XY; Li, ZY; Liu, HG; Tian, QG; Tao, C; Wang, DX; Wang, LF; Wang, SH; Wang, XF; Wei, P; Wu, JH; Xu, LZ; Yang, SH; Yang, M; Yang, Y; Yu, C; Yuan, XY; Zhou, HY; Zhang, H; Zhang, XG; Zhang, Y; Zhao, C; Zhou, JL; Zhu, ZH</t>
  </si>
  <si>
    <t>Ma, Bin; Shang, Zhaohui; Hu, Yi; Hu, Keliang; Liu, Qiang; Ashley, Michael C. B.; Cui, Xiangqun; Du, Fujia; Fan, Dongwei; Feng, Longlong; Huang, Fang; Gu, Bozhong; He, Boliang; Ji, Tuo; Li, Xiaoyan; Li, Zhengyang; Liu, Huigen; Tian, Qiguo; Tao, Charling; Wang, Daxing; Wang, Lifan; Wang, Songhu; Wang, Xiaofeng; Wei, Peng; Wu, Jianghua; Xu, Lingzhe; Yang, Shihai; Yang, Ming; Yang, Yi; Yu, Ce; Yuan, Xiangyan; Zhou, Hongyan; Zhang, Hui; Zhang, Xueguang; Zhang, Yi; Zhao, Cheng; Zhou, Jilin; Zhu, Zong-Hong</t>
  </si>
  <si>
    <t>The first release of the AST3-1 Point Source Catalogue from Dome A, Antarctica</t>
  </si>
  <si>
    <t>MONTHLY NOTICES OF THE ROYAL ASTRONOMICAL SOCIETY</t>
  </si>
  <si>
    <t>methods: data analysis; methods: observational; techniques: image processing; techniques: photometric; catalogues; surveys</t>
  </si>
  <si>
    <t>PHOTOMETRY; CSTAR; SITE; LAYER</t>
  </si>
  <si>
    <t>The three Antarctic Survey Telescopes (AST3) aim to carry out time-domain imaging survey at Dome A, Antarctica, The first of the three telescopes (AST3-1) was successfully deployed in 2012 January. AST3-1 is a 500 mm aperture modified Schmidt telescope with a 680 mm diameter primary mirror. AST3-1 is equipped with a SDSS i filter and a 10k x 10k frame transfer CCD camera, reduced to 5k x 10k by electronic shuttering, resulting in a 4.3 deg(2) field of view. To verify the capability of AST3-1 for a variety of science goals, extensive commissioning was carried out between 2012 March and May. The commissioning included a survey covering 2000 deg(2) as well as the entire Large and Small Magellanic Clouds. Frequent repeated images were made of the centre of the Large Magellanic Cloud, a selected exoplanet transit field, and fields including some Wolf-Rayet stars. Here, we present the data reduction and photometric measurements of the point sources observed by AST3-1. We have achieved a survey depth of 19.3 mag in 60 s exposures with 5 mmag precision in the light curves of bright stars. The facility achieves sub-mmag photometric precision under stable survey conditions, approaching its photon noise limit, These results demonstrate that AST3-1 at Dome A is extraordinarily competitive in time-domain astronomy, including both quick searches for faint transients and the detection of tiny transit signals.</t>
  </si>
  <si>
    <t>[Ma, Bin; Shang, Zhaohui; Hu, Yi; Hu, Keliang; Liu, Qiang; Fan, Dongwei; He, Boliang; Zhao, Cheng] Chinese Acad Sci, Natl Astron Observ, Beijing 100101, Peoples R China; [Ma, Bin; Shang, Zhaohui; Hu, Yi; Cui, Xiangqun; Du, Fujia; Gu, Bozhong; Li, Xiaoyan; Li, Zhengyang; Yang, Shihai; Yuan, Xiangyan] Chinese Ctr Antarct Astron, Nanjing 210008, Jiangsu, Peoples R China; [Ma, Bin] Univ Chinese Acad Sci, Sch Astron &amp; Space Sci, Beijing 100049, Peoples R China; [Shang, Zhaohui] Tianjin Normal Univ, Tianjin Astrophys Ctr, Tianjin 300387, Peoples R China; [Ashley, Michael C. B.] Univ New South Wales, Sch Phys, Sydney, NSW 2052, Australia; [Cui, Xiangqun; Du, Fujia; Gu, Bozhong; Li, Xiaoyan; Li, Zhengyang; Wang, Daxing; Xu, Lingzhe; Yang, Shihai; Yuan, Xiangyan; Zhang, Yi] Nanjing Inst Astron Opt &amp; Technol, Nanjing 210042, Jiangsu, Peoples R China; [Feng, Longlong; Wang, Lifan; Zhang, Xueguang] Purple Mt Observ, Nanjing 210008, Jiangsu, Peoples R China; [Huang, Fang; Wu, Jianghua; Yang, Yi; Zhu, Zong-Hong] Beijing Normal Univ, Dept Astron, Beijing 100875, Peoples R China; [Ji, Tuo; Tian, Qiguo; Zhou, Hongyan] Polar Res Inst China, 451 Jinqiao Rd, Shanghai 200136, Peoples R China; [Liu, Huigen; Wei, Peng; Yang, Ming; Zhang, Hui; Zhou, Jilin] Nanjing Univ, Key Lab Modern Astron &amp; Astrophys, Sch Astron &amp; Space Sci, Minist Educ, Nanjing 210093, Jiangsu, Peoples R China; [Tao, Charling] Aix Marseille Univ, CNRS, CPPM, IN2P3, F-13288 Marseille, France; [Tao, Charling; Wang, Xiaofeng; Zhao, Cheng] Tsinghua Univ, Phys Dept, Beijing 100084, Peoples R China; [Tao, Charling; Wang, Xiaofeng; Zhao, Cheng] Tsinghua Univ, Tsinghua Ctr Astrophys THCA, Beijing 100084, Peoples R China; [Wang, Lifan; Yang, Yi] Texas A&amp;M Univ, Dept Phys &amp; Astron, George P &amp; Cynthia Woods Mitchell Inst Fundamenta, 4242 TAMU, College Stn, TX 77843 USA; [Wang, Songhu] Yale Univ, Dept Astron, New Haven, CT 06511 USA; [Yang, Yi] Weizmann Inst Sci, Dept Particle Phys &amp; Astrophys, IL-76100 Rehovot, Israel; [Yu, Ce] Tianjin Univ, Sch Comp Sci &amp; Technol, Tianjin 300072, Peoples R China</t>
  </si>
  <si>
    <t>Chinese Academy of Sciences; National Astronomical Observatory, CAS; Chinese Academy of Sciences; University of Chinese Academy of Sciences, CAS; Tianjin Normal University; University of New South Wales Sydney; Chinese Academy of Sciences; Nanjing Institute of Astronomical Optics &amp; Technology, NAOC, CAS; Purple Mountain Observatory, CAS; Chinese Academy of Sciences; Nanjing Institute of Astronomical Optics &amp; Technology, NAOC, CAS; Beijing Normal University; Polar Research Institute of China; Nanjing University; Centre National de la Recherche Scientifique (CNRS); CNRS - National Institute of Nuclear and Particle Physics (IN2P3); Aix-Marseille Universite; Tsinghua University; Tsinghua University; Texas A&amp;M University System; Texas A&amp;M University College Station; Yale University; Weizmann Institute of Science; Tianjin University</t>
  </si>
  <si>
    <t>Ma, B; Shang, ZH (corresponding author), Chinese Acad Sci, Natl Astron Observ, Beijing 100101, Peoples R China.;Ma, B; Shang, ZH (corresponding author), Chinese Ctr Antarct Astron, Nanjing 210008, Jiangsu, Peoples R China.;Ma, B (corresponding author), Univ Chinese Acad Sci, Sch Astron &amp; Space Sci, Beijing 100049, Peoples R China.;Shang, ZH (corresponding author), Tianjin Normal Univ, Tianjin Astrophys Ctr, Tianjin 300387, Peoples R China.</t>
  </si>
  <si>
    <t>bma@nao.cas.cn; zshang@gmail.com</t>
  </si>
  <si>
    <t>HUANG, FANG/JBS-3517-2023; Ji, Tuo/O-2611-2017; wei, peng/IVH-1711-2023; Zhang, Hui/HHN-8494-2022; lu, yuan/JZD-0832-2024; Yang, Ming/GWV-1365-2022; Yang, Shihai/J-1593-2012; Liu, Hui-Gen/HLQ-5128-2023; Zhang, Huiming/HZH-4348-2023; Zhang, Cheng/JAD-2236-2023; Wu, Jianghua/AGG-7589-2022</t>
  </si>
  <si>
    <t>Yang, Ming/0000-0002-6926-2872; Ashley, Michael/0000-0003-1412-2028; Zhao, Cheng/0000-0002-1991-7295; Fan, Dongwei/0000-0002-8669-5370; hu, yi/0000-0003-3317-4771; zhang, hui/0000-0003-3491-6394; Wang, Songhu/0000-0002-7846-6981</t>
  </si>
  <si>
    <t>National Basic Research Program (973 Program) of China [2013CB834900]; Chinese Polar Environment Comprehensive Investigation AMP; Assessment Programmes [CHINARE2016-02-03]; National Natural Science Foundation of China (NSFC) [11403057, 11403048, 11203039, 11273019]; NSFC [11503051, U1531115, U1731243, 11633001, 11373014]; Chinese Academy of Sciences (CAS) [U1531115, U1731243]; National RAMP;D Infrastructure and Facility Development Program of China; Earth System Science Data Sharing Platform [DKA2017-12-02-07]; Fundamental Science Data Sharing Platform [DKA2017-12-02-07]; Chinese Astronomical Data Center (CAsDC); Chinese Virtual Observatory (China-VO); Heising-Simons Foundation; Benoziyo Prize Postdoctoral Fellowship; 973 Program [2014CB845800]; Strategic Priority Research Program of the CAS [XDB23000000]; Interdiscipline Research Funds of Beijing Normal University; Tsinghua University; Nanjing University; Beijing Normal University; University of New South Wales; Texas AM University; Australian Antarctic Division; National Collaborative Research Infrastructure Strategy (NCRIS) of Australia; Chinese Academy of Sciences through the Center for Astronomical Mega-Science; National Astronomical Observatories (NAOC); Robert Martin Ayers Sciences Fund</t>
  </si>
  <si>
    <t>National Basic Research Program (973 Program) of China(National Basic Research Program of China); Chinese Polar Environment Comprehensive Investigation AMP; Assessment Programmes; National Natural Science Foundation of China (NSFC)(National Natural Science Foundation of China (NSFC)); NSFC(National Natural Science Foundation of China (NSFC)); Chinese Academy of Sciences (CAS)(Chinese Academy of Sciences); National RAMP;D Infrastructure and Facility Development Program of China; Earth System Science Data Sharing Platform; Fundamental Science Data Sharing Platform; Chinese Astronomical Data Center (CAsDC); Chinese Virtual Observatory (China-VO); Heising-Simons Foundation; Benoziyo Prize Postdoctoral Fellowship; 973 Program(National Basic Research Program of China); Strategic Priority Research Program of the CAS; Interdiscipline Research Funds of Beijing Normal University; Tsinghua University; Nanjing University(Nanjing University); Beijing Normal University; University of New South Wales; Texas AM University; Australian Antarctic Division; National Collaborative Research Infrastructure Strategy (NCRIS) of Australia; Chinese Academy of Sciences through the Center for Astronomical Mega-Science; National Astronomical Observatories (NAOC); Robert Martin Ayers Sciences Fund</t>
  </si>
  <si>
    <t>The authors deeply appreciate the 28th and 29th CHINARE for their great effort in installing/maintaining AST3-1 and PLATO-A. This study has been supported by the National Basic Research Program (973 Program) of China (Grant No. 2013CB834900) and the Chinese Polar Environment Comprehensive Investigation &amp; Assessment Programmes (Grant No. CHINARE2016-02-03), the National Natural Science Foundation of China (NSFC) (Grant Nos. 11403057, 11403048, 11203039, and 11273019). DWF and BLH acknowledge the support from NSFC (Grant No. 11503051), the Joint Research Fund in Astronomy (U1531115, U1731243) under cooperative agreement between the NSFC and Chinese Academy of Sciences (CAS), the National R&amp;D Infrastructure and Facility Development Program of China, 'Earth System Science Data Sharing Platform' and 'Fundamental Science Data Sharing Platform' (DKA2017-12-02-07). Data resources are supported by Chinese Astronomical Data Center (CAsDC) and Chinese Virtual Observatory (China-VO). SW thanks the Heising-Simons Foundation for their generous support. YY acknowledge the support from a Benoziyo Prize Postdoctoral Fellowship. ZHZ acknowledge the support from the 973 Program (Grant No. 2014CB845800), the NSFC (Grants Nos. 11633001 and 11373014), the Strategic Priority Research Program of the CAS(Grant No. XDB23000000), and the Interdiscipline Research Funds of Beijing Normal University.r The construction of the AST3 telescopes was made possible by funds from Tsinghua University, Nanjing University, Beijing Normal University, University of New South Wales, Texas A&amp;M University, the Australian Antarctic Division, and the National Collaborative Research Infrastructure Strategy (NCRIS) of Australia. It has also received funding from the Chinese Academy of Sciences through the Center for Astronomical Mega-Science and National Astronomical Observatories (NAOC). This research was made possible through the use of the AAVSO Photometric AllSky Survey (APASS), funded by the Robert Martin Ayers Sciences Fund.</t>
  </si>
  <si>
    <t>0035-8711</t>
  </si>
  <si>
    <t>1365-2966</t>
  </si>
  <si>
    <t>MON NOT R ASTRON SOC</t>
  </si>
  <si>
    <t>Mon. Not. Roy. Astron. Soc.</t>
  </si>
  <si>
    <t>10.1093/mnras/sty1392</t>
  </si>
  <si>
    <t>GQ0GJ</t>
  </si>
  <si>
    <t>WOS:000441295800007</t>
  </si>
  <si>
    <t>Audzijonyte, A; Pecl, GT</t>
  </si>
  <si>
    <t>Audzijonyte, Asta; Pecl, Gretta T.</t>
  </si>
  <si>
    <t>MARINE BIOLOGY Deep impact of fisheries</t>
  </si>
  <si>
    <t>NATURE ECOLOGY &amp; EVOLUTION</t>
  </si>
  <si>
    <t>ATLANTIC COD</t>
  </si>
  <si>
    <t>In many fish stocks, older and larger fish are found in deeper waters compared with younger individuals. This concept of ontogenetic deepening is now proposed to be a result of harvesting rather than a natural phenomenon.</t>
  </si>
  <si>
    <t>[Audzijonyte, Asta; Pecl, Gretta T.] Univ Tasmania, Inst Marine &amp; Antarctic Studies, Hobart, Tas, Australia; [Audzijonyte, Asta; Pecl, Gretta T.] Univ Tasmania, Ctr Marine Socioecol, Hobart, Tas, Australia</t>
  </si>
  <si>
    <t>University of Tasmania; University of Tasmania</t>
  </si>
  <si>
    <t>Pecl, GT (corresponding author), Univ Tasmania, Inst Marine &amp; Antarctic Studies, Hobart, Tas, Australia.;Pecl, GT (corresponding author), Univ Tasmania, Ctr Marine Socioecol, Hobart, Tas, Australia.</t>
  </si>
  <si>
    <t>gretta.pecl@utas.edu.au</t>
  </si>
  <si>
    <t>Pecl, Gretta/D-7267-2011; Audzijonyte, Asta/O-5598-2017</t>
  </si>
  <si>
    <t>Pecl, Gretta/0000-0003-0192-4339; Audzijonyte, Asta/0000-0002-9919-9376</t>
  </si>
  <si>
    <t>2397-334X</t>
  </si>
  <si>
    <t>NAT ECOL EVOL</t>
  </si>
  <si>
    <t>Nat. Ecol. Evol.</t>
  </si>
  <si>
    <t>10.1038/s41559-018-0653-9</t>
  </si>
  <si>
    <t>GR3DB</t>
  </si>
  <si>
    <t>WOS:000442468000009</t>
  </si>
  <si>
    <t>Saunders, KM; Roberts, SJ; Perren, B; Butz, C; Sime, L; Davies, S; Van Nieuwenhuyze, W; Grosjean, M; Hodgson, DA</t>
  </si>
  <si>
    <t>Saunders, Krystyna M.; Roberts, Stephen J.; Perren, Bianca; Butz, Christoph; Sime, Louise; Davies, Sarah; Van Nieuwenhuyze, Wim; Grosjean, Martin; Hodgson, Dominic A.</t>
  </si>
  <si>
    <t>Holocene dynamics of the Southern Hemisphere westerly winds and possible links to CO2 outgassing</t>
  </si>
  <si>
    <t>LAST GLACIAL MAXIMUM; SEA-ICE; CLIMATE VARIABILITY; ATMOSPHERIC CO2; SOUTHWEST PACIFIC; OCEAN; CMIP5; INTENSITY; MAGNITUDE; ATLANTIC</t>
  </si>
  <si>
    <t>The Southern Hemisphere westerly winds (SHW) play an important role in regulating the capacity of the Southern Ocean carbon sink. They modulate upwelling of carbon-rich deep water and, with sea ice, determine the ocean surface area available for air-sea gas exchange. Some models indicate that the current strengthening and poleward shift of these winds will weaken the carbon sink. If correct, centennial-to millennial-scale reconstructions of the SHW intensity should be linked with past changes in atmospheric CO2, temperature and sea ice. Here we present a 12,300-year reconstruction of wind strength based on three independent proxies that track inputs of sea-salt aerosols and minerogenic particles accumulating in lake sediments on sub-Antarctic Macquarie Island. Between about 12.1 thousand years ago (ka) and 11.2 ka, and since about 7 ka, the wind intensities were above their long-term mean and corresponded with increasing atmospheric CO2. Conversely, from about 11.2 to 7.2 ka, the wind intensities were below their long-term mean and corresponded with decreasing atmospheric CO2. These observations are consistent with model inferences of enhanced SHW contributing to the long-term outgassing of CO2 from the Southern Ocean.</t>
  </si>
  <si>
    <t>[Saunders, Krystyna M.; Butz, Christoph; Grosjean, Martin] Univ Bern, Inst Geog, Bern, Switzerland; [Saunders, Krystyna M.] Univ Bern, Oeschger Ctr Climate Change Res, Bern, Switzerland; [Roberts, Stephen J.; Perren, Bianca; Sime, Louise; Hodgson, Dominic A.] Australian Nucl Sci &amp; Technol Org, Sydney, NSW, Australia; [Davies, Sarah] British Antarctic Survey, Cambridge, England; [Van Nieuwenhuyze, Wim] Aberystwyth Univ, Dept Geog &amp; Earth Sci, Aberystwyth, Dyfed, Wales; [Hodgson, Dominic A.] Univ Ghent, Dept Biol, Ghent, Belgium; Univ Durham, Dept Geog, Durham, England</t>
  </si>
  <si>
    <t>University of Bern; University of Bern; Australian Nuclear Science &amp; Technology Organisation; UK Research &amp; Innovation (UKRI); Natural Environment Research Council (NERC); NERC British Antarctic Survey; Aberystwyth University; Ghent University; Durham University</t>
  </si>
  <si>
    <t>Saunders, KM (corresponding author), Univ Bern, Inst Geog, Bern, Switzerland.;Saunders, KM (corresponding author), Univ Bern, Oeschger Ctr Climate Change Res, Bern, Switzerland.</t>
  </si>
  <si>
    <t>krystyna.saunders@ansto.gov.au</t>
  </si>
  <si>
    <t>Sime, Louise/AAX-7730-2021; Davies, Sarah/ITT-3963-2023; Saunders, Krystyna/G-1368-2019</t>
  </si>
  <si>
    <t>Sime, Louise/0000-0002-9093-7926; Perren, Bianca/0000-0001-6089-6468; Roberts, Stephen/0000-0003-3407-9127; Saunders, Krystyna/0000-0002-6800-2630</t>
  </si>
  <si>
    <t>NERC Standard grant [NE/K004514/1]; Swiss National Science Foundation Ambizione Postdoctoral Research Fellowship [PZ00P2_136835/1]; Swiss National Science Foundation Grant [200021_172586]; Australian Antarctic Science grants [3117, 4156]; Australian Postgraduate Award; Australian Institute of Nuclear Science and Engineering Postgraduate Research Award; [2663]; NERC [bas0100030, NE/K004514/1] Funding Source: UKRI; Swiss National Science Foundation (SNF) [PZ00P2_136835, 200021_172586] Funding Source: Swiss National Science Foundation (SNF)</t>
  </si>
  <si>
    <t>NERC Standard grant(UK Research &amp; Innovation (UKRI)Natural Environment Research Council (NERC)); Swiss National Science Foundation Ambizione Postdoctoral Research Fellowship(Swiss National Science Foundation (SNSF)); Swiss National Science Foundation Grant(Swiss National Science Foundation (SNSF)); Australian Antarctic Science grants; Australian Postgraduate Award(Australian Government); Australian Institute of Nuclear Science and Engineering Postgraduate Research Award; ; NERC(UK Research &amp; Innovation (UKRI)Natural Environment Research Council (NERC)); Swiss National Science Foundation (SNF)(Swiss National Science Foundation (SNSF))</t>
  </si>
  <si>
    <t>This research was funded by NERC Standard grant NE/K004514/1 (D.A.H., S.J.R., L.S.), Swiss National Science Foundation Ambizione Postdoctoral Research Fellowship PZ00P2_136835/1 (K.M.S.), Swiss National Science Foundation Grant 200021_172586 (M.G.) and Australian Antarctic Science grants 3117 and 4156 (K.M.S.). K.M.S. was also supported by PhD funding as part of grant 2663 to A. McMinn, an Australian Postgraduate Award (2004-2008) and an Australian Institute of Nuclear Science and Engineering Postgraduate Research Award. The Australian Antarctic Division and the Parks and Wildlife Service Tasmania provided logistical support and access to the Macquarie Island World Heritage Area. Field support was provided by A. O'Hern, A. Wakefield, C. Oosthuizen, B. Arthur, J. van Dorst, J. Pitcher, S. Williams, T. Blyth and Parks and Wildlife Service Rangers and volunteers. We thank H. Lu of the British Antarctic Survey for providing and adapting MATLAB scripts for sequential Mann-Kendall test analyses, A. Whittle for processing the wind data and underlying geotifs in Fig. 1a and b, and D. Fischer, S. Arcusa and N. Tunstall for technical support.</t>
  </si>
  <si>
    <t>10.1038/s41561-018-0186-5</t>
  </si>
  <si>
    <t>WOS:000443302900011</t>
  </si>
  <si>
    <t>Woodall, LC; Andradi-Brown, DA; Brierley, AS; Clark, MR; Connelly, D; Hall, RA; Howell, KL; Huvenne, VAI; Linse, K; Ross, RE; Snelgrove, P; Stefanoudis, PV; Sutton, TT; Taylor, M; Thornton, TF; Rogers, AD</t>
  </si>
  <si>
    <t>Woodall, Lucy C.; Andradi-Brown, Dominic A.; Brierley, Andrew S.; Clark, Malcolm R.; Connelly, Douglas; Hall, Rob A.; Howell, Kerry L.; Huvenne, Veerle A., I; Linse, Katrin; Ross, Rebecca E.; Snelgrove, Paul; Stefanoudis, Paris, V; Sutton, Tracey T.; Taylor, Michelle; Thornton, Thomas F.; Rogers, Alex D.</t>
  </si>
  <si>
    <t>A Multidisciplinary Approach for GENERATING GLOBALLY CONSISTENT DATA on Mesophotic, Deep-Pelagic, and Bathyal Biological Communities</t>
  </si>
  <si>
    <t>MARINE; ATLANTIC; BIODIVERSITY; DYNAMICS; REEF</t>
  </si>
  <si>
    <t>Approaches to measuring marine biological parameters remain almost as diverse as the researchers who measure them. However, understanding the patterns of diversity in ocean life over different temporal and geographic scales requires consistent data and information on the potential environmental drivers. As a group of marine scientists from different disciplines, we suggest a formalized, consistent framework of 20 biological, chemical, physical, and socioeconomic parameters that we consider the most important for describing environmental and biological variability. We call our proposed framework the General Ocean Survey and Sampling Iterative Protocol (GOSSIP). We hope that this framework will establish a consistent approach to data collection, enabling further collaboration between marine scientists from different disciplines to advance knowledge of the ocean (deep-sea and mesophotic coral ecosystems).</t>
  </si>
  <si>
    <t>[Woodall, Lucy C.; Andradi-Brown, Dominic A.; Rogers, Alex D.] Univ Oxford, Dept Zool, Oxford, England; [Woodall, Lucy C.; Stefanoudis, Paris, V; Rogers, Alex D.] Nekton Fdn, Begbroke, England; [Andradi-Brown, Dominic A.] World Wildlife Fund US, Washington, DC USA; [Brierley, Andrew S.] Univ St Andrews, Sch Biol, Scottish Oceans Inst, Pelag Ecol Res Grp, St Andrews, Fife, Scotland; [Clark, Malcolm R.] Natl Inst Water &amp; Atmospher Res, Wellington, New Zealand; [Connelly, Douglas; Huvenne, Veerle A., I] Univ Southampton, Natl Oceanog Ctr, Marine Geosci, Southampton, Hants, England; [Hall, Rob A.] Univ East Anglia, Sch Environm Sci, Ctr Ocean &amp; Atmospher Sci, Norwich, Norfolk, England; [Howell, Kerry L.; Ross, Rebecca E.] Univ Plymouth, Sch Biol &amp; Marine Sci, Plymouth, Devon, England; [Linse, Katrin] British Antarctic Survey, Cambridge, England; [Snelgrove, Paul] Mem Univ Newfoundland, Dept Ocean Sci &amp; Biol, St John, NF, Canada; [Sutton, Tracey T.] Nova Southeastern Univ, Halmos Coll Natu Sci &amp; Oceanog, Dania, FL USA; [Taylor, Michelle] Univ Essex, Sch Biol Sci, Colchester, Essex, England; [Thornton, Thomas F.] Univ Oxford, Environm Change Inst, Sch Geog &amp; Environm, Oxford, England</t>
  </si>
  <si>
    <t>University of Oxford; University of St Andrews; National Institute of Water &amp; Atmospheric Research (NIWA) - New Zealand; NERC National Oceanography Centre; University of Southampton; University of East Anglia; University of Plymouth; UK Research &amp; Innovation (UKRI); Natural Environment Research Council (NERC); NERC British Antarctic Survey; Memorial University Newfoundland; Nova Southeastern University; University of Essex; University of Oxford</t>
  </si>
  <si>
    <t>Woodall, LC (corresponding author), Univ Oxford, Dept Zool, Oxford, England.;Woodall, LC (corresponding author), Nekton Fdn, Begbroke, England.</t>
  </si>
  <si>
    <t>lucy.woodall@zoo.ox.ac.uk</t>
  </si>
  <si>
    <t>Stefanoudis, Paris V./T-7317-2019; Sutton, Tracey/AAW-7644-2021; Brierley, Andrew S/G-8019-2011; Thornton, Tom/AAJ-5105-2020; Taylor, Michelle/AAY-3864-2021; Ross, Rebecca E./AAQ-6980-2020; Howell, Kerry L/H-5044-2013; Hall, Rob/C-8007-2012; Taylor, Michelle/C-3918-2015</t>
  </si>
  <si>
    <t>Stefanoudis, Paris V./0000-0002-4040-8364; Sutton, Tracey/0000-0002-5280-7071; Ross, Rebecca E./0000-0002-5395-1219; Rogers, Alex David/0000-0002-4864-2980; Hall, Rob/0000-0002-3665-6322; Howell, Kerry/0000-0003-3359-1778; Taylor, Michelle/0000-0001-7271-4385</t>
  </si>
  <si>
    <t>XL Catlin; Garfield Weston Foundation; NERC Deep Links grant [NE/K011855/1]; ERC Starting Grant project CODEMAP [258482]; NERC MAREMAP program; European Union's Horizon 2020 research and innovation program [678760]; Oxford Martin School's Sustainable Oceans Programme; NSERC; European Research Council (ERC) [258482] Funding Source: European Research Council (ERC); NERC [NE/K011855/1, noc010011, bas0100036, NE/R015953/1, NE/K013513/1] Funding Source: UKRI</t>
  </si>
  <si>
    <t>XL Catlin; Garfield Weston Foundation; NERC Deep Links grant(UK Research &amp; Innovation (UKRI)Natural Environment Research Council (NERC)); ERC Starting Grant project CODEMAP(European Research Council (ERC)); NERC MAREMAP program(UK Research &amp; Innovation (UKRI)Natural Environment Research Council (NERC)); European Union's Horizon 2020 research and innovation program(Horizon 2020); Oxford Martin School's Sustainable Oceans Programme; NSERC(Natural Sciences and Engineering Research Council of Canada (NSERC)); European Research Council (ERC)(European Research Council (ERC)Spanish Government); NERC(UK Research &amp; Innovation (UKRI)Natural Environment Research Council (NERC))</t>
  </si>
  <si>
    <t>This is Nekton Contribution 05. Nekton receives support from XL Catlin and the Garfield Weston Foundation. ADR, MT, KH, and RR were supported by NERC Deep Links grant NE/K011855/1. VH was supported by the ERC Starting Grant project CODEMAP (Grant no. 258482) and the NERC MAREMAP program. ADR was also supported by the European Union's Horizon 2020 research and innovation program under grant agreement No. 678760 (ATLAS). This output reflects only the authors' views, and the European Union cannot be held responsible for any use that may be made of the information contained herein. ADR was also supported by the Oxford Martin School's Sustainable Oceans Programme. PVRS was supported by an NSERC Discovery Grant. The funders had no role in study design, data collection and analysis, decision to publish, or preparation of the manuscript. We wish to thank the two anonymous reviewers for contributions that improved this manuscript.</t>
  </si>
  <si>
    <t>10.5670/oceanog.2018.301</t>
  </si>
  <si>
    <t>Green Submitted, gold, Green Accepted, Green Published</t>
  </si>
  <si>
    <t>WOS:000452825400012</t>
  </si>
  <si>
    <t>Dimitrijevic, D; Paiva, VH; Ramos, JA; Seco, J; Ceia, FR; Chipev, N; Valente, T; Barbosa, A; Xavier, JC</t>
  </si>
  <si>
    <t>Dimitrijevic, Danijela; Paiva, Vitor H.; Ramos, Jaime A.; Seco, Jose; Ceia, Filipe R.; Chipev, Nesho; Valente, Tiago; Barbosa, Andres; Xavier, Jose C.</t>
  </si>
  <si>
    <t>Isotopic niches of sympatric Gentoo and Chinstrap Penguins: evidence of competition for Antarctic krill?</t>
  </si>
  <si>
    <t>Isotopic niche; Pygoscelis antarctica; Pygoscelis papua; Stable isotopes; Trophic interactions</t>
  </si>
  <si>
    <t>SOUTH-SHETLAND ISLANDS; KING-GEORGE-ISLAND; STABLE-ISOTOPES; EUPHAUSIA-SUPERBA; PYGOSCELIS-ANTARCTICA; FORAGING-NICHE; CLIMATE-CHANGE; ENVIRONMENTAL VARIABILITY; POPULATION-CHANGES; SEA-ICE</t>
  </si>
  <si>
    <t>As climate change, among other factors, is increasingly affecting Antarctic marine systems, competition for prey may increase between predators, particularly in the Antarctic Peninsula which has warmed more than elsewhere. Under such a context, we tested the feeding and trophic ecology of Gentoo (Pygoscelis papua) and Chinstrap (Pygoscelis antarctica) penguins breeding in sympatry at Livingston Island (Antarctic Peninsula) in a single season. We compared the diets of adults (from faecal samples, and stable isotopes in feathers and blood) and chicks (from stomach contents, and stable isotopes in down feathers, toenails and muscles of chicks that had died of unknown causes). Antarctic hill Euphausia superba dominated the diet of both species, although Gentoo Penguins fed on larger Antarctic hill than did Chinstrap Penguins. Stable isotope analyses of adult tissues revealed that both species fed at different niches in successive years, as depicted by the different levels delta C-13 in feathers (showing values from the previous breeding season) and whole blood (showing values from the current season). Tissues collected from chicks confirmed their diet over different time scales (i.e. days to weeks): Gentoo Penguins fed at a higher trophic level (possibly due to a more varied diet) and in different habitats than Chinstrap Penguins, providing evidence of isotopic niche separation of penguins. Our results may be relevant to the monitoring programmes of the Convention on the Conservation of Antarctic Marine Living Resources (CCAMLR) and suggest that adult scats, and stomach contents and tissues of recently died chicks, can be used in such programmes</t>
  </si>
  <si>
    <t>[Dimitrijevic, Danijela; Paiva, Vitor H.; Ramos, Jaime A.; Seco, Jose; Ceia, Filipe R.; Valente, Tiago; Xavier, Jose C.] Univ Coimbra, MARE Marine &amp; Environm Res Ctr, Dept Life Sci, P-3000456 Coimbra, Portugal; [Seco, Jose] Univ Aveiro, CESAM, P-3810193 Aveiro, Portugal; [Seco, Jose] Univ Aveiro, Dept Chem, P-3810193 Aveiro, Portugal; [Seco, Jose] Univ St Andrews, Sch Biol, St Andrews KY16 9ST, Fife, Scotland; [Chipev, Nesho] Bulgarian Acad Sci, Cent Lab Gen Ecol, 2 Yurii Gagarin St, BU-1113 Sofia, Bulgaria; [Barbosa, Andres] CSIC, Museo Nacl Ciencias Nat, Dept Ecol Evolut, E-28006 Madrid, Spain; [Xavier, Jose C.] British Antarctic Survey, Nat Environm Res Council, Madingley Rd, Cambridge CB3 0ET, England</t>
  </si>
  <si>
    <t>Universidade de Coimbra; Universidade de Aveiro; Universidade de Aveiro; University of St Andrews; Bulgarian Academy of Sciences; Consejo Superior de Investigaciones Cientificas (CSIC); CSIC - Museo Nacional de Ciencias Naturales (MNCN); UK Research &amp; Innovation (UKRI); Natural Environment Research Council (NERC); NERC British Antarctic Survey</t>
  </si>
  <si>
    <t>Dimitrijevic, D (corresponding author), Univ Coimbra, MARE Marine &amp; Environm Res Ctr, Dept Life Sci, P-3000456 Coimbra, Portugal.</t>
  </si>
  <si>
    <t>danijeladd88@yahoo.com</t>
  </si>
  <si>
    <t>Dimitrijević, Danijela/GQO-9881-2022; Seco, José/AAS-4612-2020; Chipev, Nesho/ABG-8857-2021; Ramos, Jaime A./B-6616-2018; Paiva, Vitor H./J-1092-2019; Paiva, Vitor Hugo/GRX-9179-2022; Ceia, Filipe R./A-2196-2012; Xavier, José/KFB-6739-2024</t>
  </si>
  <si>
    <t>Dimitrijević, Danijela/0000-0002-1311-0474; Seco, José/0000-0002-7957-6488; Ramos, Jaime A./0000-0002-9533-987X; Paiva, Vitor H./0000-0001-6368-9579; Ceia, Filipe R./0000-0002-5470-5183; /0000-0002-9621-6660</t>
  </si>
  <si>
    <t>European Commission through the programme Erasmus Mundus Master Course-International Master in Applied Ecology (EMMC-IMAE) [FPA 532524-1-FR-2012-ERA MUNDUS-EMMC]; 'Fundacao para a Ciencia e a Tecnologia' (FCT) [SFRH/BPD/85024/2012]; European Social Fund (POPH, EU) [SFRH/BPD/95372/2013]; Investigator FCT programme [IF/00616/2013]; FCT [MARE - UID/MAR/04292/2013]; NERC [bas010011] Funding Source: UKRI</t>
  </si>
  <si>
    <t>European Commission through the programme Erasmus Mundus Master Course-International Master in Applied Ecology (EMMC-IMAE); 'Fundacao para a Ciencia e a Tecnologia' (FCT)(Fundacao para a Ciencia e a Tecnologia (FCT)); European Social Fund (POPH, EU); Investigator FCT programme(Fundacao para a Ciencia e a Tecnologia (FCT)); FCT(Fundacao para a Ciencia e a Tecnologia (FCT)); NERC(UK Research &amp; Innovation (UKRI)Natural Environment Research Council (NERC))</t>
  </si>
  <si>
    <t>This work is part of SCAR AnT-ERA, ICED, PROPOLAR and BAS-CEPH programmes. DD was financially supported by the European Commission through the programme Erasmus Mundus Master Course-International Master in Applied Ecology (EMMC-IMAE) (FPA 532524-1-FR-2012-ERA MUNDUS-EMMC). VHP and FRC were supported by the 'Fundacao para a Ciencia e a Tecnologia' (FCT) and the European Social Fund (POPH, EU) through post-doc grants (SFRH/BPD/85024/2012 and SFRH/BPD/95372/2013, respectively). JCX was supported by the Investigator FCT programme (IF/00616/2013). This study benefitted from the strategic programme of MARE, financed by FCT (MARE - UID/MAR/04292/2013). The referees David Ainley and Grant Ballard, and Jim Reynolds provided very helpful comments and language improvements to an early draft of the manuscript for which we are much thankful.</t>
  </si>
  <si>
    <t>10.1007/s00300-018-2306-5</t>
  </si>
  <si>
    <t>WOS:000447600600001</t>
  </si>
  <si>
    <t>Pütz, K; Harris, S; Ratcliffe, N; Rey, AR; Poncets, S; Lüthi, B</t>
  </si>
  <si>
    <t>Puetz, Klemens; Harris, Sabrina; Ratcliffe, Norman; Raya Rey, Andrea; Poncets, Sally; Luthi, Bernhard</t>
  </si>
  <si>
    <t>Plasticity in the foraging behavior of male Southern Rockhopper Penguins (Eudyptes chrysocome) during incubation in the Falkland/Malvinas Islands</t>
  </si>
  <si>
    <t>GPS-TDR loggers; Inshore foraging; Benthic diving; Reduced foraging trip length; Sea surface temperature</t>
  </si>
  <si>
    <t>C.-CHRYSOCOME; CLIMATE-CHANGE; SPHENISCUS-MAGELLANICUS; APTENODYTES-PATAGONICUS; SATELLITE TRACKING; POPULATION TRENDS; WINTER MIGRATION; BREEDING BIOLOGY; FALKLAND ISLANDS; PYGOSCELIS-PAPUA</t>
  </si>
  <si>
    <t>Environmental changes often affect the persistence of species or populations at different spatial and temporal scales. Thus, species must either adapt to these changes or experience negative impacts at the individual or population levels. Southern Rockhopper Penguins Eudyptes chrysocome are distributed throughout the Southern Ocean and have experienced substantial declines in the past which were linked to various anthropogenic and environmental factors. The aim of this study was to investigate the foraging behavior of male Southern Rockhopper Penguins at Berkeley Sound, East Falkland, Falkland/Malvinas Islands, during incubation, a period at-sea which is crucial for replenishing body condition between two extended fasting periods ashore. Thus, birds are forced to forage efficiently during that time to balance their energy demands. We linked their at-sea distribution and foraging behavior to satellite-derived sea surface temperatures and temperature-depth profiles which were recorded by devices attached to the birds. While Southern Rockhopper Penguins usually travel several hundreds of km out into the open sea on multiple-day trips during incubation, we found in our study that most birds foraged close inshore, less than 9 km away from their colony, and regularly returned to their breeding site. We propose that this behavior occurred in response to the close proximity of the 8 degrees C SST isotherm and the vertical stratification of the waters therein. Also, while usually feeding pelagically in open waters, there are strong indications that Southern Rockhopper Penguins performed benthic or, at least, near-bottom dives to catch their prey during these short trips. The consequences of this behavioral plasticity in response to variations in sea temperatures and inferred prey availability are discussed, especially with regard to predicted global climate change.</t>
  </si>
  <si>
    <t>[Puetz, Klemens] Antarctic Res Trust, Oste Hamme Kanal 10, D-27432 Bremervorde, Germany; [Harris, Sabrina; Raya Rey, Andrea] Consejo Nacl Invest Cient &amp; Tecn, Ctr Austral Invest Cient, Bernardo A Houssay 200,V9410CAB, Ushuaia, Tierra Fuego, Argentina; [Harris, Sabrina; Raya Rey, Andrea] Wildlife Conservat Soc, Amenabar 1595,Off 19,C1426AKC CABA, Buenos Aires, DF, Argentina; [Ratcliffe, Norman] British Antarctic Survey, Cambridge CB3 0ET, England; [Poncets, Sally] Antarctic Res Trust, POB 685, Stanley FIQQ1ZZ, Falkland Island; [Luthi, Bernhard] Antarctic Res Trust, Gen Guisan Str 5, CH-8127 Forch, Switzerland</t>
  </si>
  <si>
    <t>Consejo Nacional de Investigaciones Cientificas y Tecnicas (CONICET); UK Research &amp; Innovation (UKRI); Natural Environment Research Council (NERC); NERC British Antarctic Survey</t>
  </si>
  <si>
    <t>Pütz, K (corresponding author), Antarctic Res Trust, Oste Hamme Kanal 10, D-27432 Bremervorde, Germany.</t>
  </si>
  <si>
    <t>puetz@antarctic-research.de</t>
  </si>
  <si>
    <t>Harris, Sabrina/0000-0003-0683-8376; Raya Rey, Andrea/0000-0003-0127-6650; Puetz, Klemens/0000-0003-1375-2669</t>
  </si>
  <si>
    <t>Zoo Zurich (Switzerland); Globetrotter Tours AG (Switzerland); Royal Zoological Society of Antwerp (Belgium); Rheinfinanz AG (Switzerland); Stiftung Ormella (Switzerland); Vontobel Stiftung (Switzerland); Zoo-Verein Wuppertal (Germany); NERC [bas0100035] Funding Source: UKRI</t>
  </si>
  <si>
    <t>Zoo Zurich (Switzerland); Globetrotter Tours AG (Switzerland); Royal Zoological Society of Antwerp (Belgium); Rheinfinanz AG (Switzerland); Stiftung Ormella (Switzerland); Vontobel Stiftung (Switzerland); Zoo-Verein Wuppertal (Germany); NERC(UK Research &amp; Innovation (UKRI)Natural Environment Research Council (NERC))</t>
  </si>
  <si>
    <t>The Antarctic Research Trust is grateful for financial support from the following individuals and organizations: Susanne &amp; Roland Amstutz, Peter Anhauser, Dr. Martin Bauert/Zoo Zurich (Switzerland), Ruedi Bless/Globetrotter Tours AG (Switzerland), Doris Brennwald, Carmen &amp; Peter Einstein, Tina &amp; Paul Falke, Dr. Peter Galbusera/Royal Zoological Society of Antwerp (Belgium), Prof. Rudolf Glockshuber, Beatrix &amp; Walter Grimm, Dr. Otto Haab, Rita &amp; Guido Heule, Jacqueline &amp; Peter Hilpert, Claudine &amp; Prof. Jean-Pierre Joho, Monika &amp; Martin Kammerer, Stephanie Keller, Hugo Mathys, Esthi &amp; Ueli Regli, Rheinfinanz AG (Switzerland), Maja Ruegger-Pfister, Brigitta &amp; Urs Scharpf, Kathrin Schmidt, Hans Ulrich Schneebeli, Angela Schulthess, Inge &amp; Albert Sicker, Carine &amp; Hans Steiger, Barbara Trentini/Stiftung Ormella (Switzerland), Dr. Hans Dieter Vontobel/Vontobel Stiftung (Switzerland), Hedel &amp; Harald Voss, Anja Weber, Yolanda Wintsch, Zoo-Verein Wuppertal (Germany). The assistance of Gerhard Meyer, Kalinka Rexer-Huber, and Ken Passfield during field work is gratefully acknowledged. Many thanks are also due to Lisa and Adrian Lowe for supporting this study in many different ways and for providing access to the penguin colony at Rookery Valley. Glenda and Neil Watson provided access to the penguin colony at Strike Off Point. Thanks are also due to Nina Dehnhard and two anonymous reviewers for their comments which greatly improved the manuscript.</t>
  </si>
  <si>
    <t>10.1007/s00300-018-2320-7</t>
  </si>
  <si>
    <t>WOS:000447600600013</t>
  </si>
  <si>
    <t>Finger, JVG; dos Santos, CR; Correa, LLC; de Brum, AC; Petry, MV</t>
  </si>
  <si>
    <t>Grohmann Finger, Julia Victria; dos Santos, Cesar Rodrigo; Costa Correa, Luiz Liberato; de Brum, Antnio Coimbra; Petry, Maria Virginia</t>
  </si>
  <si>
    <t>A brown Adelie Penguin Pygoscelis adeliae breeding at King George Island, Maritime Antarctica</t>
  </si>
  <si>
    <t>Adelie Penguin; Pygoscelis adeliae; Spheniscidae; Color aberration; Eumelanin; King George Island</t>
  </si>
  <si>
    <t>ABERRATION; COLOR</t>
  </si>
  <si>
    <t>Plumage aberrations are rare in penguin species. Tracking their occurrence is helpful to understand the effects of these phenotypes on the life history of penguins, especially on mating, breeding, and foraging success. We registered a brown Adelie Penguin Pygoscelis adeliae at Turret Point, King George Island, Maritime Antarctica, during the middle of the 2017/2018 breeding season. The individual was brooding one chick in a nest located in the center of the colony and its partner was by its side. Both chick and partner showed normal plumage, reaffirming the recessive character of brown mutations. A breeding aberrant bird nesting in the center of the colony indicates that the brown coloration does not seem to affect mate selection, but we could not verify if it affects breeding success. This is the third published record for Adelie Penguins following a gap of 40 years. We stress, however, that possible misclassifications of brown aberrations in literature might be causing an underestimation of its occurrence rate in bird populations.</t>
  </si>
  <si>
    <t>[Grohmann Finger, Julia Victria; dos Santos, Cesar Rodrigo; Costa Correa, Luiz Liberato; de Brum, Antnio Coimbra; Petry, Maria Virginia] Univ Vale Rio dos Sinos, Lab Ornitol &amp; Anim Marinhos, BR-93022750 Sao Leopoldo, RS, Brazil; [Petry, Maria Virginia] INCT APA Natl Inst Sci &amp; Technol Antarctic Enviro, BR-21941902 Rio De Janeiro, RJ, Brazil</t>
  </si>
  <si>
    <t>Universidade do Vale do Rio dos Sinos (Unisinos)</t>
  </si>
  <si>
    <t>Finger, JVG (corresponding author), Univ Vale Rio dos Sinos, Lab Ornitol &amp; Anim Marinhos, BR-93022750 Sao Leopoldo, RS, Brazil.</t>
  </si>
  <si>
    <t>victoriafinger@hotmail.com</t>
  </si>
  <si>
    <t>Corrêa, Luiz Liberato Costa/K-8690-2016; Grohmann Finger, Júlia Victória/AAP-4653-2020; Petry, Maria Virginia/AAG-5333-2021; petry, maria/K-8410-2013</t>
  </si>
  <si>
    <t>Grohmann Finger, Júlia Victória/0000-0002-0773-7502; petry, maria/0000-0002-7870-7394</t>
  </si>
  <si>
    <t>National Institute of Science and Technology Antarctic of Environmental Research (INCT-APA); National Council for Research and Development (CNPq) [574018/2008-5]; Carlos Chagas Research Support Foundation of the State of Rio de Janeiro (FAPERJ) [E-16/170.023/2008]</t>
  </si>
  <si>
    <t>National Institute of Science and Technology Antarctic of Environmental Research (INCT-APA); National Council for Research and Development (CNPq)(Conselho Nacional de Desenvolvimento Cientifico e Tecnologico (CNPQ)); Carlos Chagas Research Support Foundation of the State of Rio de Janeiro (FAPERJ)(Fundacao Carlos Chagas Filho de Amparo a Pesquisa do Estado do Rio De Janeiro (FAPERJ))</t>
  </si>
  <si>
    <t>We are grateful to the National Institute of Science and Technology Antarctic of Environmental Research (INCT-APA), to the National Council for Research and Development (CNPq process: No. 574018/2008-5), and to the Carlos Chagas Research Support Foundation of the State of Rio de Janeiro (FAPERJ No. E-16/170.023/2008) for financial support. We also thank Hein van Grouw for his revision and confirmation of the brown mutation case.</t>
  </si>
  <si>
    <t>10.1007/s00300-018-2326-1</t>
  </si>
  <si>
    <t>WOS:000447600600022</t>
  </si>
  <si>
    <t>Ahlers, M; Halzen, F</t>
  </si>
  <si>
    <t>Ahlers, Markus; Halzen, Francis</t>
  </si>
  <si>
    <t>Opening a new window onto the universe with IceCube</t>
  </si>
  <si>
    <t>PROGRESS IN PARTICLE AND NUCLEAR PHYSICS</t>
  </si>
  <si>
    <t>Neutrino astronomy; Multimessenger astronomy; Neutrino sources</t>
  </si>
  <si>
    <t>HIGH-ENERGY NEUTRINOS; GAMMA-RAY; COSMIC-RAYS; GALAXIES; SPECTRUM; FLUX; COUNTERPARTS; CLUSTERS; BLAZARS; EVENTS</t>
  </si>
  <si>
    <t>Weakly interacting neutrinos are ideal astronomical messengers because they travel through space without deflection by magnetic fields and, essentially, without absorption. Their weak interaction also makes them notoriously difficult to detect, with observation of high-energy neutrinos from distant sources requiring kilometer-scale detectors. The IceCube project transformed a cubic kilometer of natural Antarctic ice at the geographic South Pole into a Cherenkov detector. It discovered a flux of cosmic neutrinos in the energy range from 10 TeV to 10 PeV, predominantly extragalactic in origin. Their corresponding energy density is close to that of high-energy photons detected by gamma-ray satellites and ultra-high-energy cosmic rays observed with large surface detectors. Neutrinos are therefore ubiquitous in the nonthermal universe, suggesting a more significant role of protons (nuclei) relative to electrons than previously anticipated. Thus, anticipating an essential role for multimessenger astronomy, IceCube is planning significant upgrades of the present instrument as well as a next-generation detector. Similar detectors are under construction in the Mediterranean Sea and Lake Baikal. (C) 2018 Elsevier B.V. All rights reserved.</t>
  </si>
  <si>
    <t>[Ahlers, Markus] Univ Copenhagen, Niels Bohr Inst, DK-2100 Copenhagen, Denmark; [Halzen, Francis] Univ Wisconsin, Wisconsin IceCube Particle Astrophys Ctr, Madison, WI 53706 USA; [Halzen, Francis] Univ Wisconsin, Dept Phys, Madison, WI 53706 USA</t>
  </si>
  <si>
    <t>University of Copenhagen; Niels Bohr Institute; University of Wisconsin System; University of Wisconsin Madison; University of Wisconsin System; University of Wisconsin Madison</t>
  </si>
  <si>
    <t>Halzen, F (corresponding author), Univ Wisconsin, Wisconsin IceCube Particle Astrophys Ctr, Madison, WI 53706 USA.;Halzen, F (corresponding author), Univ Wisconsin, Dept Phys, Madison, WI 53706 USA.</t>
  </si>
  <si>
    <t>halzen@icecube.wisc.edu</t>
  </si>
  <si>
    <t>Ahlers, Markus/V-8757-2017</t>
  </si>
  <si>
    <t>Ahlers, Markus/0000-0003-0709-5631</t>
  </si>
  <si>
    <t>U.S. National Science Foundation [PLR-1600823, PHY-1607644]; University of Wisconsin Research Committee; Wisconsin Alumni Research Foundation; Danmarks Grundforskningsfond [1041811001]; Villum Young Investigator grant from VILLUM FONDEN [18994]</t>
  </si>
  <si>
    <t>U.S. National Science Foundation(National Science Foundation (NSF)); University of Wisconsin Research Committee; Wisconsin Alumni Research Foundation; Danmarks Grundforskningsfond(Danmarks Grundforskningsfond); Villum Young Investigator grant from VILLUM FONDEN</t>
  </si>
  <si>
    <t>Discussion with collaborators inside and outside the IceCube Collaboration, too many to be listed, have greatly shaped this presentation. Thanks. FH was supported in part by the U.S. National Science Foundation under grants PLR-1600823 and PHY-1607644 and by the University of Wisconsin Research Committee with funds granted by the Wisconsin Alumni Research Foundation. MA acknowledges support by Danmarks Grundforskningsfond (Grant No. 1041811001) and by a Villum Young Investigator grant (No. 18994) from VILLUM FONDEN.</t>
  </si>
  <si>
    <t>0146-6410</t>
  </si>
  <si>
    <t>1873-2224</t>
  </si>
  <si>
    <t>PROG PART NUCL PHYS</t>
  </si>
  <si>
    <t>Prog. Part. Nucl. Phys.</t>
  </si>
  <si>
    <t>10.1016/j.ppnp.2018.05.001</t>
  </si>
  <si>
    <t>Physics, Nuclear; Physics, Particles &amp; Fields</t>
  </si>
  <si>
    <t>GO6CT</t>
  </si>
  <si>
    <t>WOS:000440122400003</t>
  </si>
  <si>
    <t>Baumhoer, CA; Dietz, AJ; Dech, S; Kuenzer, C</t>
  </si>
  <si>
    <t>Baumhoer, Celia A.; Dietz, Andreas J.; Dech, Stefan; Kuenzer, Claudia</t>
  </si>
  <si>
    <t>Remote Sensing of Antarctic Glacier and Ice-Shelf Front Dynamics-A Review</t>
  </si>
  <si>
    <t>Antarctica; calving front location (CFL); glacier terminus; ice shelf; glacier extent; ice front; remote sensing; earth observation; review; antarctic peninsula</t>
  </si>
  <si>
    <t>PINE ISLAND GLACIER; KING-GEORGE-ISLAND; BASAL MELT RATES; WEST ANTARCTICA; MASS-BALANCE; ERS-1 SAR; COASTLINE EXTRACTION; RADAR INTERFEROMETRY; EAST ANTARCTICA; VICTORIA LAND</t>
  </si>
  <si>
    <t>The contribution of Antarctica's ice sheet to global sea-level rise depends on the very dynamic behavior of glaciers and ice shelves. One important parameter of ice-sheet dynamics is the location of glacier and ice-shelf fronts. Numerous remote sensing studies on Antarctic glacier and ice-shelf front positions exist, but no long-term record on circum-Antarctic front dynamics has been established so far. The article outlines the potential of remote sensing to map, extract, and measure calving front dynamics. Furthermore, this review provides an overview of the spatial and temporal availability of Antarctic calving front observations for the first time. Single measurements are compiled to a circum-Antarctic record of glacier and ice shelf retreat/advance. We find sufficient frontal records for the Antarctic Peninsula and Victoria Land, whereas on the West Antarctic Ice Sheet (WAIS), measurements only concentrate on specific glaciers and ice sheets. Frontal records for the East Antarctic Ice Sheet exist since the 1970s. Studies agree on the general retreat of calving fronts along the Antarctic Peninsula. East Antarctic calving fronts also showed retreating tendencies between 1970s until the early 1990s, but have advanced since the 2000s. Exceptions of this general trend are Victoria Land, Wilkes Land, and the northernmost Dronning Maud Land. For the WAIS, no clear trend in long-term front fluctuations could be identified, as observations of different studies vary in space and time, and fronts highly fluctuate. For further calving front analysis, regular mapping intervals as well as glacier morphology should be included. We propose to exploit current and future developments in Earth observations to create frequent standardized measurements for circum-Antarctic assessments of glacier and ice-shelf front dynamics in regard to ice-sheet mass balance and climate forcing.</t>
  </si>
  <si>
    <t>[Baumhoer, Celia A.; Dietz, Andreas J.; Dech, Stefan; Kuenzer, Claudia] German Aerosp Ctr DLR, German Remote Sensing Data Ctr DFD, Muenchner Str 20, D-82234 Wessling, Germany; [Dech, Stefan; Kuenzer, Claudia] Univ Wurzburg, Inst Geog &amp; Geol, Dept Remote Sensing, D-97074 Wurzburg, Germany</t>
  </si>
  <si>
    <t>Helmholtz Association; German Aerospace Centre (DLR); University of Wurzburg</t>
  </si>
  <si>
    <t>Baumhoer, CA (corresponding author), German Aerosp Ctr DLR, German Remote Sensing Data Ctr DFD, Muenchner Str 20, D-82234 Wessling, Germany.</t>
  </si>
  <si>
    <t>Celia.Baumhoer@dlr.de; Andreas.Dietz@dlr.de; Stefan.Dech@dlr.de; Claudia.Kuenzer@dlr.de</t>
  </si>
  <si>
    <t>Baumhoer, Celia/ABA-6148-2021</t>
  </si>
  <si>
    <t>Baumhoer, Celia/0000-0003-1339-2288; Dietz, Andreas/0000-0002-5733-7136</t>
  </si>
  <si>
    <t>DLR VO-R Young Investigator Group Antarctic Research</t>
  </si>
  <si>
    <t>This research was funded by the DLR VO-R Young Investigator Group Antarctic Research.</t>
  </si>
  <si>
    <t>10.3390/rs10091445</t>
  </si>
  <si>
    <t>WOS:000449993800125</t>
  </si>
  <si>
    <t>Li, F; Zhu, C; Hao, WF; Yan, JG; Ye, M; Barriot, JP; Cheng, Q; Sun, T</t>
  </si>
  <si>
    <t>Li, Fei; Zhu, Chang; Hao, Weifeng; Yan, Jianguo; Ye, Mao; Barriot, Jean-Pierre; Cheng, Qing; Sun, Tao</t>
  </si>
  <si>
    <t>An Improved Digital Elevation Model of the Lunar Mons Rumker Region Based on Multisource Altimeter Data</t>
  </si>
  <si>
    <t>laser altimeter; multisource; crossover analysis; DEM; Chang'E-5</t>
  </si>
  <si>
    <t>ORBITER LASER ALTIMETER; CHANGE-1; TOPOGRAPHY; MISSION; SCIENCE; SELENE; MOON; LALT</t>
  </si>
  <si>
    <t>Mons Rumker is the primary candidate region for the lunar landing mission of Chang'E-5. We propose a data processing method that combines multisource altimeter data and we developed an improved digital elevation model (DEM) of the Mons Rumker region with a horizontal resolution of 256 pixels per degree. The lunar orbiter laser altimeter (LOLA) onboard the lunar reconnaissance orbiter (LRO) acquired 884 valid orbital benchmark data with a high precision. A special crossover adjustment of 156 orbital profiles from the Chang'E-1 laser altimeter (LAM) and 149 orbital profiles from the SELenological and ENgineering Explorer (SELENE) laser altimeter (LALT) was applied. The radial residual root mean square (RMS) of the LAM was reduced from 154.83 +/- 43.60 m to 14.29 +/- 27.84 m and that of the LALT was decreased from 3.50 +/- 5.0 m to 2.75 +/- 4.4 m. We used the adjusted LAM and LALT data to fill the LOLA gaps and created the merged LOLA + LAM and LOLA + LALT DEMs. The merged LOLA + LAM DEM showed distortions because of the horizontal geolocation errors in the LAM data. The merged LOLA + LALT DEM was closer to the ground truth than the LOLA-only DEM when validated with the images of the LRO camera (LROC).</t>
  </si>
  <si>
    <t>[Li, Fei; Zhu, Chang; Hao, Weifeng] Wuhan Univ, Chinese Antarctic Ctr Surveying &amp; Mapping, 129 Luoyu Rd, Wuhan 430079, Hubei, Peoples R China; [Li, Fei; Hao, Weifeng; Yan, Jianguo; Ye, Mao; Barriot, Jean-Pierre] Wuhan Univ, State Key Lab Informat Engn Surveying Mapping &amp; R, 129 Luoyu Rd, Wuhan 430079, Hubei, Peoples R China; [Barriot, Jean-Pierre] Univ French Polynesia, Observ Geodes Tahiti, BP 6570, F-98702 Tahiti, French Polynesi, France; [Cheng, Qing] Wuhan Univ, Sch Urban Design, 129 Luoyu Rd, Wuhan 430079, Hubei, Peoples R China; [Sun, Tao] Wuhan Univ, Elect Informat Sch, 129 Luoyu Rd, Wuhan 430079, Hubei, Peoples R China</t>
  </si>
  <si>
    <t>Wuhan University; Wuhan University; Wuhan University; Wuhan University</t>
  </si>
  <si>
    <t>Hao, WF (corresponding author), Wuhan Univ, Chinese Antarctic Ctr Surveying &amp; Mapping, 129 Luoyu Rd, Wuhan 430079, Hubei, Peoples R China.;Hao, WF (corresponding author), Wuhan Univ, State Key Lab Informat Engn Surveying Mapping &amp; R, 129 Luoyu Rd, Wuhan 430079, Hubei, Peoples R China.;Cheng, Q (corresponding author), Wuhan Univ, Sch Urban Design, 129 Luoyu Rd, Wuhan 430079, Hubei, Peoples R China.</t>
  </si>
  <si>
    <t>fli@whu.edu.cn; 2016206440003@whu.edu.cn; haowf@whu.edu.cn; jgyan@whu.edu.cn; mye@whu.edu.cn; jean-pierre.barriot@upf.pf; qingcheng@whu.edu.cn; suntao@whu.edu.cn</t>
  </si>
  <si>
    <t>Barriot, Jean-Pierre/AAD-6709-2021</t>
  </si>
  <si>
    <t>Barriot, Jean-Pierre/0000-0002-2112-9685; hao, weifeng/0000-0001-7231-8956; Ye, Mao/0000-0002-7273-5984; Cheng, Qing/0000-0002-0571-4083</t>
  </si>
  <si>
    <t>National Natural Science Foundation of China [41604004, 41874010]; Hubei Province Natural Science Foundation of innovation group project [2015CFA011]; fundamental research funds for the central universities [2042018kf0231]</t>
  </si>
  <si>
    <t>National Natural Science Foundation of China(National Natural Science Foundation of China (NSFC)); Hubei Province Natural Science Foundation of innovation group project; fundamental research funds for the central universities(Fundamental Research Funds for the Central Universities)</t>
  </si>
  <si>
    <t>This research was funded by the National Natural Science Foundation of China (no. 41604004, 41874010), the Hubei Province Natural Science Foundation of innovation group project (no. 2015CFA011), and the fundamental research funds for the central universities (no. 2042018kf0231).</t>
  </si>
  <si>
    <t>10.3390/rs10091442</t>
  </si>
  <si>
    <t>WOS:000449993800122</t>
  </si>
  <si>
    <t>Crowhurst, SJ; Pälike, H; Rickaby, REM</t>
  </si>
  <si>
    <t>Crowhurst, Simon J.; Paelike, Heiko; Rickaby, Rosalind E. M.</t>
  </si>
  <si>
    <t>Carbonate ions, orbits and Mg/Ca at ODP 1123</t>
  </si>
  <si>
    <t>Symposium on Chemistry of the Oceans Past and Present in honour of Harry Elderfield (1943-2016)</t>
  </si>
  <si>
    <t>OCT 14-15, 2016</t>
  </si>
  <si>
    <t>Cambridge, ENGLAND</t>
  </si>
  <si>
    <t>Palaeoclimatology; Milankovitch forcing; Eccentricity; Magnesium/calcium ratios; Timescales; Carbonate ion effect</t>
  </si>
  <si>
    <t>ICE VOLUME; CLIMATE VARIABILITY; ANTARCTIC CLIMATE; ATMOSPHERIC CO2; SOUTHERN-OCEAN; GLACIAL CYCLES; EARTHS ORBIT; TIME-SCALE; TEMPERATURE; INSOLATION</t>
  </si>
  <si>
    <t>The accuracy of the magnesium/calcium palaeotemperature proxy has been questioned, in particular because the ratio of magnesium to calcium in foraminiferal tests could be affected by local or global changes in carbonate ion concentrations in deep water. A related question regarding the technique is its problematic phase relationship to orbital eccentricity: Mg/Ca records of intermediate and deep waters typically show a phase lead with respect to orbital eccentricity. This calls into question either the validity of the Mg/Ca palaeotemperature proxy, or the assumption that orbital eccentricity is pacing the 100 kyr climate oscillations, or both. This paper addresses these questions, and suggests that a phase lead of the type observed at ODP 1123 is unlikely to be generated by the operation of the carbonate ion effect, and might be attributable to heat storage in the oceans during low eccentricity episodes. (C) 2018 Elsevier Ltd. All rights reserved.</t>
  </si>
  <si>
    <t>[Crowhurst, Simon J.] Univ Cambridge, Dept Earth Sci, Downing St, Cambridge CB3 3EQ, England; [Paelike, Heiko] Univ Bremen, MARUM Ctr Marine Environm Sci, D-28359 Bremen, Germany; [Rickaby, Rosalind E. M.] Univ Oxford, Dept Earth Sci, South Parks Rd, Oxford OX1 3AN, England</t>
  </si>
  <si>
    <t>University of Cambridge; University of Bremen; University of Oxford</t>
  </si>
  <si>
    <t>Crowhurst, SJ (corresponding author), Univ Cambridge, Dept Earth Sci, Downing St, Cambridge CB3 3EQ, England.</t>
  </si>
  <si>
    <t>sjc13@cam.ac.uk</t>
  </si>
  <si>
    <t>Pälike, Heiko/A-6560-2008</t>
  </si>
  <si>
    <t>Pälike, Heiko/0000-0003-3386-0923; Rickaby, Rosalind/0000-0002-6095-8419</t>
  </si>
  <si>
    <t>NERC [NE/H017119/1] Funding Source: UKRI</t>
  </si>
  <si>
    <t>10.1016/j.gca.2018.03.013</t>
  </si>
  <si>
    <t>GQ7CX</t>
  </si>
  <si>
    <t>WOS:000441892600023</t>
  </si>
  <si>
    <t>Marshall, AG; Hemer, MA; Hendon, HH; McInnes, KL</t>
  </si>
  <si>
    <t>Marshall, Andrew G.; Hemer, Mark A.; Hendon, Harry H.; McInnes, Kathleen L.</t>
  </si>
  <si>
    <t>Southern annular mode impacts on global ocean surface waves</t>
  </si>
  <si>
    <t>SPRING ANTARCTIC OSCILLATION; ZONAL WIND VACILLATION; INTERANNUAL VARIABILITY; HEMISPHERE ATMOSPHERE; SEA-ICE; CIRCULATION; CLIMATE; PRECIPITATION; RAINFALL; TRENDS</t>
  </si>
  <si>
    <t>We assess the impact of the Southern Annular Mode (SAM) on global ocean wind waves using 30 years of wave data from a wave model hindcast that is forced with high resolution surface winds from the NCEP-CFSR reanalysis. Our primary focus is on the wave field and swell influence in the Southern Hemisphere, and we apply our analysis to each of the four temperate-zone seasons comprising March-May (MAM), June-August (JJA), September-November (SON), and December-February (DJF). Statistically significant anomalies in significant wave height (H-s), peak wave period (T-p) and zonal wave energy flux (CgE) are found to covary with local variations in surface zonal wind induced by the low and high polarity phases of the SAM. The signature of the SAM in ocean surface waves extends beyond local wind-generated forcing in the Southern Hemisphere extratropics to remote forcing in the Northern Hemisphere extratropics during DJF, with the associated atmospheric signal resembling a tropically-forced Rossby wave train. This has a significant impact on surface waves in the central North Pacific and North Atlantic oceans. The El Nino Southern Oscillation (ENSO) acts to weaken the link between the SAM and Northern Hemisphere winter climate, with the zonal wind/divergence anomalies amplifying over the tropical Pacific Ocean when we exclude El Nino and La Nina years from the analysis. This remote link to the SAM thus occurs independent of ENSO via SAM-driven changes to the tropical atmospheric circulation, suggesting that the SAM may provide a useful predictive signal for the Northern Hemisphere during DJF. The SAM also influences the occurrence of daily low (below the 5th percentile) and high (above the 95th percentile) wave conditions, emphasizing that the SAM may be a valuable source of predictable wave variability from subweekly to seasonal timescales. Future work should explore wave data suitable for trend analysis, considering the positive trend in the SAM over recent decades.</t>
  </si>
  <si>
    <t>[Marshall, Andrew G.] Bur Meteorol, Hobart, Tas, Australia; [Hemer, Mark A.] CSIRO Oceans &amp; Atmosphere, Hobart, Tas, Australia; [Hendon, Harry H.] Bur Meteorol, Docklands, Vic, Australia; [McInnes, Kathleen L.] CSIRO Oceans &amp; Atmosphere, Aspendale, Vic, Australia</t>
  </si>
  <si>
    <t>Bureau of Meteorology - Australia; Commonwealth Scientific &amp; Industrial Research Organisation (CSIRO); Bureau of Meteorology - Australia; Commonwealth Scientific &amp; Industrial Research Organisation (CSIRO)</t>
  </si>
  <si>
    <t>Marshall, AG (corresponding author), Bur Meteorol, Hobart, Tas, Australia.</t>
  </si>
  <si>
    <t>Andrew.Marshall@bom.gov.au</t>
  </si>
  <si>
    <t>; McInnes, Kathleen/A-7787-2012; Hemer, Mark/M-1905-2013</t>
  </si>
  <si>
    <t>Marshall, Andrew/0000-0003-4902-1462; Hendon, Harry H./0000-0002-4378-2263; McInnes, Kathleen/0000-0002-1810-7215; Hemer, Mark/0000-0002-7725-3474</t>
  </si>
  <si>
    <t>Earth System and Climate Change Hub of the Australian Government's National Environmental Science Programme as part of the Coastal Hazards Project [2.10]</t>
  </si>
  <si>
    <t>Earth System and Climate Change Hub of the Australian Government's National Environmental Science Programme as part of the Coastal Hazards Project</t>
  </si>
  <si>
    <t>This study was supported through funding from the Earth System and Climate Change Hub of the Australian Government's National Environmental Science Programme, as part of the Coastal Hazards Project 2.10. Our global ocean surface wave data was generated as part of the Pacific-Australia Climate Change Science and Adaptation Planning (PACCSAP) program. We thank Dr Tom Durrant for work on a previous manuscript using this data, and the anonymous journal reviewers for providing helpful comments and suggestions.</t>
  </si>
  <si>
    <t>10.1016/j.ocemod.2018.07.007</t>
  </si>
  <si>
    <t>GQ0EJ</t>
  </si>
  <si>
    <t>WOS:000441289300004</t>
  </si>
  <si>
    <t>Newman, J; Poirot, C; Roper-Gee, R; Leihy, RI; Chown, SL</t>
  </si>
  <si>
    <t>Newman, Jana; Poirot, Ceisha; Roper-Gee, Rebecca; Leihy, Rachel I.; Chown, Steven L.</t>
  </si>
  <si>
    <t>A decade of invertebrate colonization pressure on Scott Base in the Ross Sea region</t>
  </si>
  <si>
    <t>BIOLOGICAL INVASIONS</t>
  </si>
  <si>
    <t>Aircraft; Antarctica; Detection; Food; Invertebrates; Interception; Surveillance</t>
  </si>
  <si>
    <t>BIOLOGICAL INVASIONS; PROPAGULE PRESSURE; SOUTHERN-OCEAN; ANTARCTICA; ESTABLISHMENT; MANAGEMENT; DISPERSAL; ISLANDS; MODEL; RISK</t>
  </si>
  <si>
    <t>Despite the significance of invertebrate species in the alien and invasive faunas of both sub-Antarctic and, increasingly, some Antarctic locations, little information exists on the numbers and identity of species being transported to the Antarctic region. Here we provide information on a decade (2006/2007-2016/2017) of detections in the surveillance program established at Scott Base in the Ross Sea region of continental Antarctica. The program found 233 individuals in 134 detection events, belonging to at least 14 Orders and 51 Families. Among these were alien, pest and synanthropic species recorded elsewhere on the globe or in the broader Antarctic region. These included sciarid flies known to have established in station sewage-treatment plants elsewhere on the continent. Flies, spiders and moths were most commonly detected, and typically in food (60% of interceptions), and then in clothing and equipment (11%), aircraft and cargo (11%) and packaging material (11%). Detected groups were similar to those found in the two other extensive surveillance efforts (King George Island and East Antarctica), highlighting the need to continue and improve surveillance across the region. For invertebrates, further control of the supply chain prior to embarkation of cargo and personnel may be the most effective management option to prevent further transport of non-indigenous species to the Antarctic.</t>
  </si>
  <si>
    <t>[Newman, Jana; Poirot, Ceisha; Roper-Gee, Rebecca] Antarctica New Zealand, Private Bag 4745, Christchurch 8140, New Zealand; [Leihy, Rachel I.; Chown, Steven L.] Monash Univ, Sch Biol Sci, Clayton, Vic 3800, Australia</t>
  </si>
  <si>
    <t>Monash University</t>
  </si>
  <si>
    <t>Chown, SL (corresponding author), Monash Univ, Sch Biol Sci, Clayton, Vic 3800, Australia.</t>
  </si>
  <si>
    <t>steven.chown@monash.edu</t>
  </si>
  <si>
    <t>Chown, Steven/ABD-7646-2021; Chown, Steven/H-3347-2011</t>
  </si>
  <si>
    <t>Chown, Steven/0000-0001-6069-5105; Leihy, Rachel/0000-0001-9672-625X</t>
  </si>
  <si>
    <t>Australian Antarctic Science [4307]</t>
  </si>
  <si>
    <t>Australian Antarctic Science</t>
  </si>
  <si>
    <t>Carol Muir, Senior Technician Entomology, Plant Health and Environment Laboratory at the Ministry of Primary Industries in Christchurch undertook the species identifications. Melanie Newfield, Manager, Plants and Pathways Risk Assessment, Ministry for Primary Industries, Wellington was instrumental in setting up invertebrate surveillance. Two anonymous reviewers provided helpful comments on a previous version of the work. SLC and RIL were supported by Australian Antarctic Science Grant 4307.</t>
  </si>
  <si>
    <t>1387-3547</t>
  </si>
  <si>
    <t>1573-1464</t>
  </si>
  <si>
    <t>BIOL INVASIONS</t>
  </si>
  <si>
    <t>Biol. Invasions</t>
  </si>
  <si>
    <t>10.1007/s10530-018-1722-3</t>
  </si>
  <si>
    <t>GP7TN</t>
  </si>
  <si>
    <t>WOS:000441112500022</t>
  </si>
  <si>
    <t>Ghosh, B; Crosbie, PBB; Nowak, BF; Bridle, AR</t>
  </si>
  <si>
    <t>Ghosh, Bikramjit; Crosbie, Philip B. B.; Nowak, Barbara F.; Bridle, Andrew R.</t>
  </si>
  <si>
    <t>A highly sensitive, non-invasive qPCR-based strategy for direct quantification of Yersinia ruckeri in fish faeces</t>
  </si>
  <si>
    <t>absolute quantification; low-level pathogen; noninvasive; qPCR; Y; ruckeri</t>
  </si>
  <si>
    <t>REAL-TIME PCR; CHAIN-REACTION ASSAY; CAMPYLOBACTER-JEJUNI; RNA; DISEASE; DNA; AMPLIFICATION; BACTERIA; TISSUES</t>
  </si>
  <si>
    <t>Finfish with asymptomatic Yersinia ruckeri infections pose a major risk as they can transmit the pathogen and cause clinical outbreaks in stock populations. Current tools have insufficient quantitative ability for accurately detecting the trace levels of Y.ruckeri typically associated with asymptomatic infection, necessitate invasive or lethal sampling, or require long processing times. This study presents a highly sensitive qPCR-based method, targeting part of the Y.ruckeri 16S rRNA sequence, that is capable of detecting extremely low levels of Y.ruckeri in noninvasively collected faecal samples. Quantitative precision and accuracy of faecal sample analysis was consistent, despite the complexity of the faecal matrix. The assay demonstrated linearity over a six log-wide dynamic range. Its limit of detection (LOD) and limit of quantification (LOQ) were 4 and 10 copies of the target sequence, respectively. Sensitivity of the assay was comparable to other qPCR-based methods without requiring invasive or lethal sampling. Applicability as a screening strategy was tested using passively collected faecal samples. Asymptomatic Y.ruckeri infection was detected in all samples, although none of the fish exhibited overt infection. This method will be beneficial for finfish disease management if developed further as a noninvasive, screening tool against asymptomatic Y.ruckeri infection.</t>
  </si>
  <si>
    <t>[Ghosh, Bikramjit; Crosbie, Philip B. B.; Nowak, Barbara F.; Bridle, Andrew R.] Univ Tasmania, Inst Marine &amp; Antarctic Sci, Locked Bag 1370, Launceston, Tas, Australia</t>
  </si>
  <si>
    <t>Ghosh, B (corresponding author), Univ Tasmania, Inst Marine &amp; Antarctic Sci, Locked Bag 1370, Launceston, Tas, Australia.</t>
  </si>
  <si>
    <t>bikramjit.ghosh@utas.edu.au</t>
  </si>
  <si>
    <t>Bridle, Andrew R/B-4117-2013; Nowak, Barbara/J-7261-2014; Ghosh, Bikramjit/P-4916-2016</t>
  </si>
  <si>
    <t>Bridle, Andrew/0000-0002-5788-1297; Ghosh, Bikramjit/0000-0002-5144-263X</t>
  </si>
  <si>
    <t>10.1111/jfd.12839</t>
  </si>
  <si>
    <t>WOS:000441247300011</t>
  </si>
  <si>
    <t>Chemale, F; Ramos, VA; Naipauer, M; Girelli, TJ; Vargas, M</t>
  </si>
  <si>
    <t>Chemale, Farid, Jr.; Ramos, Victor A.; Naipauer, Maximilian; Girelli, Tiago J.; Vargas, Mateus</t>
  </si>
  <si>
    <t>Age of basement rocks from the Maurice Ewing Bank and the Falkland/Malvinas Plateau</t>
  </si>
  <si>
    <t>PRECAMBRIAN RESEARCH</t>
  </si>
  <si>
    <t>Maurice Ewing Bank; Falkland-Malvinas Islands; Mesoproterozoic; Mesozoic; Paleogeographic reconstruction</t>
  </si>
  <si>
    <t>CAPE-MEREDITH COMPLEX; PLASMA-MASS SPECTROMETRY; ND ISOTOPIC COMPOSITION; U-PB; FALKLAND-ISLANDS; LU-HF; WEST FALKLAND; GEOCHEMICAL CLASSIFICATION; ANTARCTIC PENINSULA; CONTINENTAL-CRUST</t>
  </si>
  <si>
    <t>The Maurice Ewing Bank is located east of the Falkland/Malvinas Islands and is one of the most intriguing regions of southern Gondwana. The interaction of several microplates with major cratonic areas resulted in complex displacements between Paleozoic and Cretaceous times. Here, we present combined U-Pb and Lu-Hf zircon isotopic analyses of the Maurice Ewing Bank basement to constrain the age and tectonic setting to aid in paleogeographic reconstruction. The high-grade paragneisses in the bank present dominant Late Mesoproterozoic detrital zircon age distributions with populations at 1032 +/- 12 Ma, 1068 +/- 16 Ma and 1233 +/- 8 Ma and juvenile signature (positive epsilon Hf([t] )values). The gneisses are cutting by anatectic pink granite crystallized at 1006 +/- 13 Ma which formed after syn-collisional high-grade metamorphism and shows juvenile and some crustal component (epsilon Hf-[t] = + 1.6 to - 3). The Maurice Ewing Bank basement rocks have same Stenian age and dominant juvenile signature as the arc-related basement rocks from the Falkland/Malvinas Islands and are probably part of the same continental plateau of the South America continent. This new finding enables future reconstructions in paleogeographic models where the basement of the Falkland/Malvinas Islands and the Maurice Ewing Bank formed a single block during the Mesoproterozoic and were partly separated by crustal stretching during the opening of the Atlantic Ocean in the Late Jurassic-Cretaceous. The block played a major role in the deformation of the Cape Fold Belt from the Late Paleozoic through the Mesozoic.</t>
  </si>
  <si>
    <t>[Chemale, Farid, Jr.; Girelli, Tiago J.; Vargas, Mateus] Univ Vale Rio dos Sinos, Programa Pos Grad Geol, BR-93022000 Sao Leopoldo, RS, Brazil; [Ramos, Victor A.; Naipauer, Maximilian] Univ Buenos Aires, CONICET, Inst Estudios Andinos Don Pablo Groeber IDEAN, RA-1428 Buenos Aires, DF, Argentina</t>
  </si>
  <si>
    <t>Universidade do Vale do Rio dos Sinos (Unisinos); University of Buenos Aires; Consejo Nacional de Investigaciones Cientificas y Tecnicas (CONICET)</t>
  </si>
  <si>
    <t>Chemale, F (corresponding author), Univ Vale Rio dos Sinos, Programa Pos Grad Geol, BR-93022000 Sao Leopoldo, RS, Brazil.</t>
  </si>
  <si>
    <t>faridcj@unisinos.br</t>
  </si>
  <si>
    <t>de Vargas, Mateus Rodrigues/ABE-2855-2020; Girelli, Tiago Jonatan/S-2880-2018; Chemale, Farid/D-1798-2013</t>
  </si>
  <si>
    <t>de Vargas, Mateus Rodrigues/0000-0002-0932-4285; Girelli, Tiago Jonatan/0000-0002-3029-6311; Chemale Junior, Farid/0000-0001-5003-5824; Ramos, Victor A./0000-0002-2136-1345</t>
  </si>
  <si>
    <t>Brazilian Research Council - CNPq [445416/2014-9]</t>
  </si>
  <si>
    <t>Brazilian Research Council - CNPq(Conselho Nacional de Desenvolvimento Cientifico e Tecnologico (CNPQ))</t>
  </si>
  <si>
    <t>This work was financed through a grant from the Brazilian Research Council - CNPq (Grant Number 445416/2014-9). We acknowledge the Isotope Research Group and Microanalysis Laboratory of Universidade Federal de Ouro Preto for the isotope analyses and cathodoluminescence images, respectively. Cristiano Lana and Ana Alkmim are thanked for support with isotope analyses. We thank Leo Afraneo Hartmann and Ian Dalziel for constructive comments which helped to improve the manuscript significantly. We also thank the International Ocean Discovery Program for providing the rock samples of Deep Sea Project (DSDP) Site 330 for this study.</t>
  </si>
  <si>
    <t>0301-9268</t>
  </si>
  <si>
    <t>1872-7433</t>
  </si>
  <si>
    <t>PRECAMBRIAN RES</t>
  </si>
  <si>
    <t>Precambrian Res.</t>
  </si>
  <si>
    <t>10.1016/j.precamres.2018.05.026</t>
  </si>
  <si>
    <t>GP6AQ</t>
  </si>
  <si>
    <t>WOS:000440959700002</t>
  </si>
  <si>
    <t>Tucker, NM; Hand, M; Kelsey, DE; Taylor, R; Clark, C; Payne, JL</t>
  </si>
  <si>
    <t>Tucker, Naomi M.; Hand, Martin; Kelsey, David E.; Taylor, Richard; Clark, Chris; Payne, Justin L.</t>
  </si>
  <si>
    <t>A tripartite approach to unearthing the duration of high temperature conditions versus peak metamorphism: An example from the Bunger Hills, East Antarctica</t>
  </si>
  <si>
    <t>Albany-Fraser; Bunger Hills; East Antarctica; P-T pseudosection; Rare earth element chemistry; U-Pb geochronology</t>
  </si>
  <si>
    <t>ALBANY-FRASER OROGEN; GRANULITE-FACIES METAMORPHISM; TRANSPRESSIVE SHEAR ZONE; PB ZIRCON GEOCHRONOLOGY; NORTH AUSTRALIAN CRATON; WESTERN-AUSTRALIA; MONAZITE GROWTH; WINDMILL-ISLANDS; CRUSTAL EVOLUTION; MUSGRAVE PROVINCE</t>
  </si>
  <si>
    <t>We present LA-ICP-MS U-Pb monazite and zircon geochronology, trace element chemistry and phase equilibria forward modelling to constrain the P-T-t evolution of the Bunger Hills, East Antarctica. Metasedimentary rocks in the Bunger Hills record evidence for a protracted metamorphic history during the Mesoproterozoic. Taken in isolation, zircon and monazite ages suggest an extremely long duration of high-temperature conditions (ca. 200 Myr). Calculated P-T models indicate metamorphism involved medium pressures of 5.5-7.1 kbar and high to ultrahigh temperatures of 800-960 degrees C, and that the P-T path likely tracked along a down-pressure to isobaric cooling trajectory. Integrating trace element data from zircon, monazite and garnet indicates that, despite the spread in U-Pb ages, peak metamorphism essentially occurred over the interval ca. 1220-1180 Ma. The age and conditions of Mesoproterozoic metamorphism are consistent with the high-grade metamorphic evolution proposed previously for Stage-2 of the Albany-Fraser Orogeny in southwestern Australia. The P-T-t conditions are interpreted to reflect extension, potentially associated with unloading and exhumation of a collisional orogen following Stage-1 of the Albany-Fraser Orogeny. This is the first study to integrate geochronology, trace element chemistry and P-T modelling to constrain the metamorphic evolution of the Bunger Hills and to interpret these constraints within the context of the now separate terranes of the Musgrave-Albany-Fraser Orogen. The three-way approach adopted in this study demonstrates that zircon and monazite may grow and modify through a number of processes. An integrated petrochronologic approach is therefore essential for investigations on high-grade terranes.</t>
  </si>
  <si>
    <t>[Tucker, Naomi M.; Hand, Martin; Kelsey, David E.; Payne, Justin L.] Univ Adelaide, Sch Phys Sci, Dept Earth Sci, Adelaide, SA 5005, Australia; [Kelsey, David E.] Univ Adelaide, Adelaide Microscopy, Adelaide, SA 5005, Australia; [Taylor, Richard] Univ Cambridge, Dept Earth Sci, Cambridge CB2 3EQ, England; [Clark, Chris] Curtin Univ, Dept Appl Geol, Perth, WA, Australia; [Payne, Justin L.] Univ South Australia, Sch Nat &amp; Built Environm, Mawson Lakes Campus, Adelaide, SA 5095, Australia</t>
  </si>
  <si>
    <t>University of Adelaide; University of Adelaide; University of Cambridge; Curtin University; University of South Australia</t>
  </si>
  <si>
    <t>Tucker, NM (corresponding author), Univ Adelaide, Mawson Bldg, Adelaide, SA 5005, Australia.</t>
  </si>
  <si>
    <t>naomi.tucker@adelaide.edu.au</t>
  </si>
  <si>
    <t>Kelsey, David E/D-3676-2009; Clark, Chris/B-6471-2008; Taylor, Rich/K-4119-2017; Payne, Justin/B-8260-2013</t>
  </si>
  <si>
    <t>Clark, Chris/0000-0001-9982-7849; Taylor, Rich/0000-0003-3013-9372; Tucker, Naomi/0000-0002-6795-0903; hand, martin/0000-0003-3743-9706; Payne, Justin/0000-0002-3953-7783</t>
  </si>
  <si>
    <t>Australian Antarctic Division; Australian Research Council DECRA fellowship [DE12010367]; Australian Government Research Training Program Scholarship; University of Adelaide Supplementary Scholarship; Playford Trust PhD scholarship; Australian Antarctic Science Project [4191]</t>
  </si>
  <si>
    <t>Australian Antarctic Division; Australian Research Council DECRA fellowship(Australian Research Council); Australian Government Research Training Program Scholarship(Australian GovernmentDepartment of Industry, Innovation and Science); University of Adelaide Supplementary Scholarship; Playford Trust PhD scholarship; Australian Antarctic Science Project</t>
  </si>
  <si>
    <t>Logistical and financial support for field work in Antarctica was provided by the Australian Antarctic Division. We acknowledge the logistical support of fellow expeditioners at Casey station, the crew of Kenn Borek Air, and invaluable field assistance from Kimberly (Billy) Wallace during the 2014-2015 Antarctic field season. S. Gilbert and B. Wade, Adelaide Microscopy, and A. Kylander-Clark, University of California Santa Barbara, are thanked for assistance with analytical work. S. Mertzmann, Franklin and Marshall College, is thanked for geochemical analyses. An anonymous reviewer is thanked for their constructive comments and feedback on the manuscript. Analytical work was in part funded by an Australian Research Council DECRA fellowship (DE12010367) awarded to CC. NMT acknowledges the support of an Australian Government Research Training Program Scholarship (formerly Australian Postgraduate Award), University of Adelaide Supplementary Scholarship and Playford Trust PhD scholarship. This work forms part of Australian Antarctic Science Project 4191.</t>
  </si>
  <si>
    <t>10.1016/j.precamres.2018.06.006</t>
  </si>
  <si>
    <t>WOS:000440959700011</t>
  </si>
  <si>
    <t>Yuan, XH; Zhang, PF; Jiao, SM; Du, YG; Li, JJ</t>
  </si>
  <si>
    <t>Yuan, Xianghua; Zhang, Pengfei; Jiao, Siming; Du, Yuguang; Li, Jian-Jun</t>
  </si>
  <si>
    <t>Overexpression and biochemical characterization of a recombinant psychrophilic endocellulase from Pseudoalteromonas sp DY3</t>
  </si>
  <si>
    <t>INTERNATIONAL JOURNAL OF BIOLOGICAL MACROMOLECULES</t>
  </si>
  <si>
    <t>Cold-active cellulase; pH and temperature-rate profile; pH and thermal stability</t>
  </si>
  <si>
    <t>COLD-ADAPTED ENDO-1,4-BETA-GLUCANASE; ERWINIA-CHRYSANTHEMI; ANTARCTIC BACTERIUM; ACTIVE CELLULASE; EISENIA-FOETIDA; GENE CLONING; PURIFICATION; BIOCONVERSION; HALOPLANKTIS; BIOREFINERY</t>
  </si>
  <si>
    <t>Cold-active cellulases have received great attention for both industrial applications and fundamental research because of their high activity at low temperatures and their unique structural characters. In this study, the cold active endoglucanase CeIX from psychrotrophic Pseudoalteromonas sp. DY3 was successfully overexpressed in E. coli, partly purified and characterized in detail. CeIX showed the highest activity at pH 5.5, and exhibited moderate activity and superior pH stability over a wide pH range (pH 5.0-pH 9.0). It displayed the highest activity at 45 degrees C, and kept 34.7% residual activity even at 5 degrees C. It was stable below 35 degrees C and lost activity very quickly above 45 degrees C, which is consistent with its cold adaptability. The apparent kinetic parameters CeIX against CMC (carboxymethyl cellulose) were determined, with the K-m and k(cat) values of 6.4 mg/ml and 4.2 s(-1) respectively. Mn2+ and Co2+ enhanced the cellulolytic activity of CeIX by 28.8% and 20.6% respectively, whereas Pb2+ and Cu2+ inhibited its activity by 14.9% and 6.5% separately. The cold adaptation of CeIX is possibly due to the presence of the unusually long linker between the catalytic module and the cellulose-binding domain. (C) 2018 Published by Elsevier B.V.</t>
  </si>
  <si>
    <t>[Yuan, Xianghua; Zhang, Pengfei] Sichuan Normal Univ, Coll Life Sci, Chengdu 610101, Sichuan, Peoples R China; [Jiao, Siming; Du, Yuguang; Li, Jian-Jun] Chinese Acad Sci, Key Lab Biopharmaceut Prod &amp; Formulat Engn, Natl Engn Res Ctr Biotechnol Beijing, Natl Key Lab Biochem Engn,PLA,Inst Proc Engn, 1 North 2nd St, Beijing 100190, Peoples R China</t>
  </si>
  <si>
    <t>Sichuan Normal University; Institute of Process Engineering, CAS; Chinese Academy of Sciences</t>
  </si>
  <si>
    <t>Du, YG; Li, JJ (corresponding author), Chinese Acad Sci, Key Lab Biopharmaceut Prod &amp; Formulat Engn, Natl Engn Res Ctr Biotechnol Beijing, Natl Key Lab Biochem Engn,PLA,Inst Proc Engn, 1 North 2nd St, Beijing 100190, Peoples R China.</t>
  </si>
  <si>
    <t>ygdu@ipe.ac.cn; jjli@ipe.ac.cn</t>
  </si>
  <si>
    <t>Du, Yu/IAQ-9365-2023; Zhang, Pengfei/AAM-6794-2021</t>
  </si>
  <si>
    <t>Hi-Tech Research and Development Program of China [2014AA093511]; Shandong Province Taishan Scholar Blue Team Support Project [260]</t>
  </si>
  <si>
    <t>Hi-Tech Research and Development Program of China(National High Technology Research and Development Program of China); Shandong Province Taishan Scholar Blue Team Support Project</t>
  </si>
  <si>
    <t>We are grateful to the Hi-Tech Research and Development Program of China (Grant No. 2014AA093511) and Shandong Province Taishan Scholar Blue Team Support Project (No. 260 in 2015) for the financial support.</t>
  </si>
  <si>
    <t>0141-8130</t>
  </si>
  <si>
    <t>1879-0003</t>
  </si>
  <si>
    <t>INT J BIOL MACROMOL</t>
  </si>
  <si>
    <t>Int. J. Biol. Macromol.</t>
  </si>
  <si>
    <t>10.1016/j.ijbiomac.2018.05.017</t>
  </si>
  <si>
    <t>Biochemistry &amp; Molecular Biology; Chemistry, Applied; Polymer Science</t>
  </si>
  <si>
    <t>Biochemistry &amp; Molecular Biology; Chemistry; Polymer Science</t>
  </si>
  <si>
    <t>GO6CA</t>
  </si>
  <si>
    <t>WOS:000440120500013</t>
  </si>
  <si>
    <t>Hall, JLO; Newton, RJ; Witts, JD; Francis, JE; Hunter, SJ; Jamieson, RA; Harper, EM; Crame, JA; Haywood, AM</t>
  </si>
  <si>
    <t>Hall, Joanna L. O.; Newton, Robert J.; Witts, James D.; Francis, Jane E.; Hunter, Stephen J.; Jamieson, Robert A.; Harper, Elizabeth M.; Crame, J. Alistair; Haywood, Alan M.</t>
  </si>
  <si>
    <t>High benthic methane flux in low sulfate oceans: Evidence from carbon isotopes in Late Cretaceous Antarctic bivalves</t>
  </si>
  <si>
    <t>Seymour Island; Antarctica; stable isotopes; seasonal; carbon cycle; methane</t>
  </si>
  <si>
    <t>JAMES ROSS BASIN; SEYMOUR-ISLAND; ANAEROBIC OXIDATION; SEAWATER CHEMISTRY; ARCTICA-ISLANDICA; TERTIARY BOUNDARY; SECULAR VARIATION; STABLE-ISOTOPE; CLIMATE; SHELLS</t>
  </si>
  <si>
    <t>The shell material of marine benthic bivalves provides a sensitive archive of water chemistry immediately above the sediment-water interface, which in turn is affected by sedimentary geochemistry and redox reactions. Sulfate has a major controlling effect on sedimentary carbon cycling, particularly the processes of methane production and oxidation, with lower concentrations of sulfate likely resulting in an increase in sedimentary methane production. Whilst it is accepted that ocean sulfate varied markedly across the Phanerozoic, evidence of changes in methane production in sediments has so far been lacking. There is potential for the oxidation products of sedimentary methane to be preserved and detected in marine fossils. Here we present the results of high resolution carbonate isotope records from two taxa of well-preserved shallow-infaunal bivalve (Lahillia and Cucullaea) collected from the marine shelf succession across the Cretaceous-Paleogene (K-Pg) boundary in Seymour Island, Antarctica. The succession has preexisting subtle indications of more abundant methane, and the time period is characterized by much lower marine sulfate concentrations than modern. These shell carbonate-carbon isotope records vary widely: at one extreme, shells have typical average values and small ranges compatible with a contemporaneous marine dissolved inorganic carbon (DIC) source and modern-style sedimentary carbon cycling. At the other, the shells have large-amplitude annual cycles of carbon isotopic variability of up to -23.8 parts per thousand within a single year of growth and shell carbonate delta C-13 compositions as negative as -34 parts per thousand. Shells with these increased ranges and unusually negative values are found at discrete intervals and across both bivalve taxa. The contribution of methane required to explain the most negative carbonate-carbon isotopic values in the bivalve shells is extremely high (between 30 to 85% of bottom-water DIC based on mass balance calculations). Records of organic carbon isotopes from the same succession remained between -26.1 and -21.7 parts per thousand throughout, suggesting that methane influence was restricted to bottom-waters. A lack of authigenic carbonate in the section indicates that methane oxidation progressed aerobically and may have provided a significant driver for transient bottom water de-oxygenation. Where methane addition is indicated, the seasonal sensitivity precludes control by methane hydrates. We argue that these data represent the increased importance and sensitivity of methanogenesis in the sediments, enabled by lower ocean sulfate concentrations during the Late Cretaceous. The tendency towards a more dynamic role for marine methane production and oxidation is likely to apply to other times of low marine sulfate in Earth's history. (C) 2018 The Authors. Published by Elsevier B.V.</t>
  </si>
  <si>
    <t>[Hall, Joanna L. O.; Newton, Robert J.; Witts, James D.; Hunter, Stephen J.; Jamieson, Robert A.; Haywood, Alan M.] Univ Leeds, Sch Earth &amp; Environm, Leeds LS2 9JT, W Yorkshire, England; [Francis, Jane E.; Crame, J. Alistair] British Antarctic Survey, Madingley Rd, Cambridge CB3 0ET, England; [Harper, Elizabeth M.] Univ Cambridge, Dept Earth Sci, Downing Site, Cambridge CB2 3EQ, England; [Witts, James D.] Amer Museum Nat Hist, Cent Pk West &amp; 79th St, New York, NY 10024 USA</t>
  </si>
  <si>
    <t>University of Leeds; UK Research &amp; Innovation (UKRI); Natural Environment Research Council (NERC); NERC British Antarctic Survey; University of Cambridge; American Museum of Natural History (AMNH)</t>
  </si>
  <si>
    <t>Hall, JLO (corresponding author), Univ Leeds, Sch Earth &amp; Environm, Leeds LS2 9JT, W Yorkshire, England.</t>
  </si>
  <si>
    <t>eejlh@leeds.ac.uk</t>
  </si>
  <si>
    <t>Newton, Robert/B-2599-2009; Harper, Elizabeth M/B-3890-2008</t>
  </si>
  <si>
    <t>Newton, Robert/0000-0003-0144-6867; Witts, James/0000-0002-4002-415X; Jamieson, Robert/0000-0001-6385-3930</t>
  </si>
  <si>
    <t>Natural Environmental Research Council (NERC) UK [NE/L501542/1]; NERC [NE/C506399/1, NE/I005803/1, NE/100582X/1, NE/N018559/1]; NERC [NE/L501542/1, bas0100036, NE/I005803/1, NE/N018559/1, NE/I00582X/2] Funding Source: UKRI</t>
  </si>
  <si>
    <t>Natural Environmental Research Council (NERC) UK(UK Research &amp; Innovation (UKRI)Natural Environment Research Council (NERC)); NERC(UK Research &amp; Innovation (UKRI)Natural Environment Research Council (NERC)); NERC(UK Research &amp; Innovation (UKRI)Natural Environment Research Council (NERC))</t>
  </si>
  <si>
    <t>JLOH thanks the Natural Environmental Research Council (NERC) UK for supporting her with a PhD studentship (NE/L501542/1). This work was also funded by NERC grants NE/C506399/1, NE/I005803/1, NE/100582X/1 and NE/N018559/1. We thank Simon Crowhurst, James Rolfe, Tony Dickson, Oscar Branson, Giulio Lampronti (University of Cambridge), John Craven (University of Edinburgh) and Hilary Blagborough (British Antarctic Survey) for their assistance during data collection, and Vanessa Bowman (British Antarctic Survey) and Jon Ineson (Geological Survey of Denmark and Greenland) for use of their stratigraphic data. We are grateful for conversations with Ben Mills, Christian Marz, Johan Faust, and the Palaeo@Leeds research group. Special thanks also go to Linda Ivany, Aubrey Zerkle and one other anonymous reviewer for their thoughtful comments, which greatly improved the final version of the manuscript.</t>
  </si>
  <si>
    <t>10.1016/j.epsl.2018.06.014</t>
  </si>
  <si>
    <t>GP0VI</t>
  </si>
  <si>
    <t>WOS:000440529100012</t>
  </si>
  <si>
    <t>Aemisegger, F; Sjolte, J</t>
  </si>
  <si>
    <t>Aemisegger, Franziska; Sjolte, Jesper</t>
  </si>
  <si>
    <t>A Climatology of Strong Large-Scale Ocean Evaporation Events. Part II: Relevance for the Deuterium Excess Signature of the Evaporation Flux</t>
  </si>
  <si>
    <t>Extratropical cyclones; Air-sea interaction; Evaporation; Water vapor</t>
  </si>
  <si>
    <t>VAPOR ISOTOPIC COMPOSITION; SURFACE-WATER-VAPOR; BOUNDARY-LAYER; RELATIVE-HUMIDITY; HYDROGEN ISOTOPES; ANTARCTIC SNOW; ERA-INTERIM; PRECIPITATION; MOISTURE; MODEL</t>
  </si>
  <si>
    <t>This paper discusses the relevance of transient events of strong large-scale ocean evaporation (SLOE) for the deuterium excess of marine boundary layer vapor d using a theoretical framework that invokes the closure assumption. We argue that during SLOE events, d is essentially determined by the evaporation flux signature. Distinct high d during SLOE with global-mean values in the range of 12 parts per thousand-23 parts per thousand depending on the nonequilibrium fractionation factor (k) result from the large air-sea humidity gradients reflected in low relative humidity with respect to sea surface temperature (h(s) = 53% +/- 9%) that characterize these events. Extratropical cyclones are highlighted as an important driver for the variability of d. On the one hand, they are themselves associated with high h(s) and low d, especially in areas of cloud formation and precipitation in the warm sector. On the other hand, cyclones are the main driver inducing SLOE events with high d in regions of cold-air advection upstream of their path. The sensitivity of d to its direct climate controls (h(s) and SST) is analyzed during SLOE for different (k) formulations and found to be coherent with d-h(s) and d-SST slopes determined from available observations. The d-h(s) relationship exhibits a robust negative correlation as opposed to the d-SST relationship, which shows regional and time-scale-dependent variations in strength and sign that are induced by indirect h(s)-SST cross-correlation effects. The dynamical features involved in SLOE generation appear to exert a key control on the moisture source properties relevant for d in the extratropics.</t>
  </si>
  <si>
    <t>[Aemisegger, Franziska] Lund Univ, Ctr Environm &amp; Climate Res, Lund, Sweden; [Aemisegger, Franziska] Swiss Fed Inst Technol, Inst Atmospher &amp; Climate Sci, Zurich, Switzerland; [Sjolte, Jesper] Lund Univ, Dept Geol Quaternary Sci, Lund, Sweden</t>
  </si>
  <si>
    <t>Lund University; Swiss Federal Institutes of Technology Domain; ETH Zurich; Lund University</t>
  </si>
  <si>
    <t>Aemisegger, F (corresponding author), Lund Univ, Ctr Environm &amp; Climate Res, Lund, Sweden.;Aemisegger, F (corresponding author), Swiss Fed Inst Technol, Inst Atmospher &amp; Climate Sci, Zurich, Switzerland.</t>
  </si>
  <si>
    <t>franziska.aemisegger@env.ethz.ch</t>
  </si>
  <si>
    <t>Aemisegger, Franziska/G-5340-2018; Sjolte, Jesper/N-7833-2019</t>
  </si>
  <si>
    <t>Aemisegger, Franziska/0000-0002-4022-9825; Sjolte, Jesper/0000-0003-0870-5331</t>
  </si>
  <si>
    <t>Swiss National Science Foundation (SNSF) [P2EZP2_155603]; Swiss National Supercomputing Centre (CSCS) [s520, sm08]; Swiss National Science Foundation (SNF) [P2EZP2_155603] Funding Source: Swiss National Science Foundation (SNF)</t>
  </si>
  <si>
    <t>Swiss National Science Foundation (SNSF)(Swiss National Science Foundation (SNSF)); Swiss National Supercomputing Centre (CSCS); Swiss National Science Foundation (SNF)(Swiss National Science Foundation (SNSF))</t>
  </si>
  <si>
    <t>FA acknowledges funding from the Swiss National Science Foundation (SNSF; Grant P2EZP2_155603). The research presented in this paper is a contribution to the Swedish strategic research area Modelling the Regional and Global Earth System (MERGE). MeteoSwiss and the ECMWF are acknowledged for providing access to the ERA-Interim data. This work was supported by a grant from the Swiss National Supercomputing Centre (CSCS) under projects s520 (2014-16) and sm08 (2017-19). We are grateful to Florian Adolphi (University of Bern and Lund University) for valuable discussions and Stephan Pfahl (Freie Universitat Berlin) for his helpful comments on the manuscript. We thankfully acknowledge the valuable and insightful comments from three anonymous reviewers, who helped a lot in improving the clarity and focus of this paper.</t>
  </si>
  <si>
    <t>10.1175/JCLI-D-17-0592.1</t>
  </si>
  <si>
    <t>WOS:000440402800009</t>
  </si>
  <si>
    <t>Liu, B; King, M; Dai, WJ</t>
  </si>
  <si>
    <t>Liu, Bin; King, Matt; Dai, Wujiao</t>
  </si>
  <si>
    <t>Common mode error in Antarctic GPS coordinate time-series on its effect on bedrock-uplift estimates</t>
  </si>
  <si>
    <t>Satellite geodesy; Space geodetic surveys; Antarctica; Time-series analysis</t>
  </si>
  <si>
    <t>INDEPENDENT COMPONENT ANALYSIS; GLACIAL ISOSTATIC-ADJUSTMENT; SEASONAL-VARIATIONS; HIMALAYA REGION; RATES; DEFORMATION; ALGORITHMS; PENINSULA; GRACE; NOISE</t>
  </si>
  <si>
    <t>Spatially correlated common mode error (CME) always exists in regional, or-larger, global positioning system (GPS) networks. We applied independent component analysis (ICA) to GPS vertical coordinate time-series in Antarctica from 2010 to 2014 and made a comparison with the principal component analysis (PCA). Using PCA/ICA, the time-series can be decomposed into a set of temporal components and their spatial responses. We assume the components with common spatial responses are CME. An average reduction of similar to 40 per cent about the root-mean-square (RMS) values was achieved in both PCA and ICA filtering. However, the common mode components obtained from the two approaches have different spatial and temporal features. ICA time-series present interesting correlations with modelled atmospheric and non-tidal ocean loading displacements. A white noise plus power law (PL) noise model was adopted in the GPS velocity estimation using maximum likelihood estimation analysis, with similar to 55 per cent reduction of the velocity uncertainties after filtering using ICA. Meanwhile, spatiotemporal filtering reduces the amplitude of PL and periodic terms in the GPS time-series. Finally, we compare the GPS uplift velocities, after correction for elastic effects, with recent models of glacial isostatic adjustment (GIA). The agreements of the GPS observed velocities and four GIA models are generally improved after the spatiotemporal filtering, with a mean reduction of similar to 0.9 mm yr(-1) of the weighted RMS values, possibly allowing for more confident separation of various GIA model predictions.</t>
  </si>
  <si>
    <t>[Liu, Bin; Dai, Wujiao] Cent South Univ, Dept Surveying &amp; Remote Sensing Engn, Changsha 410083, Hunan, Peoples R China; [Liu, Bin; King, Matt] Univ Tasmania, Sch Land &amp; Food, Surveying &amp; Spatial Sci, Hobart, Tas 7001, Australia</t>
  </si>
  <si>
    <t>Central South University; University of Tasmania</t>
  </si>
  <si>
    <t>Liu, B (corresponding author), Cent South Univ, Dept Surveying &amp; Remote Sensing Engn, Changsha 410083, Hunan, Peoples R China.;Liu, B (corresponding author), Univ Tasmania, Sch Land &amp; Food, Surveying &amp; Spatial Sci, Hobart, Tas 7001, Australia.</t>
  </si>
  <si>
    <t>csu2008bin@vip.qq.com</t>
  </si>
  <si>
    <t>King, Matt/B-4622-2008; LIU, BIN/GQH-9320-2022</t>
  </si>
  <si>
    <t>King, Matt/0000-0001-5611-9498; LIU, BIN/0000-0003-2185-1624; Dai, Wujiao/0000-0002-1606-117X</t>
  </si>
  <si>
    <t>China Scholarship Council (CSC); Key Development Program of Basic Research of China [2013CB733303]; Hunan Provincial Innovation Foundation for Postgraduate State [CX2016B051]; National Natural Science Foundation of China [41674011]; Australian Research Council Future Fellowship [FT110100207]; Australian Research Council Special Research Initiative for Antarctic Gateway Partnership [SR140300001]; Australian Antarctic Science Project [4318]</t>
  </si>
  <si>
    <t>China Scholarship Council (CSC)(China Scholarship Council); Key Development Program of Basic Research of China; Hunan Provincial Innovation Foundation for Postgraduate State; National Natural Science Foundation of China(National Natural Science Foundation of China (NSFC)); Australian Research Council Future Fellowship(Australian Research Council); Australian Research Council Special Research Initiative for Antarctic Gateway Partnership(Australian Research Council); Australian Antarctic Science Project</t>
  </si>
  <si>
    <t>The authors gratefully acknowledge financial support from China Scholarship Council (CSC) during a visit of BL to UTAS. This work was supported by the Key Development Program of Basic Research of China (Grant No. 2013CB733303), the Hunan Provincial Innovation Foundation for Postgraduate State (Grant No. CX2016B051) and the National Natural Science Foundation of China (Grant No. 41674011). MAK is a recipient of an Australian Research Council Future Fellowship (Project number FT110100207) and supported by the Australian Research Council Special Research Initiative for Antarctic Gateway Partnership (Project ID SR140300001). The work is a contribution to Australian Antarctic Science Project 4318. Comments from the Editor (Duncan Agnew) and two reviewers significantly improved the quality of the manuscript.</t>
  </si>
  <si>
    <t>10.1093/gji/ggy217</t>
  </si>
  <si>
    <t>GO0SF</t>
  </si>
  <si>
    <t>WOS:000439648000009</t>
  </si>
  <si>
    <t>Schumacher, M; King, MA; Rougier, J; Sha, Z; Khan, SA; Bamber, JL</t>
  </si>
  <si>
    <t>Schumacher, M.; King, M. A.; Rougier, J.; Sha, Z.; Khan, S. A.; Bamber, J. L.</t>
  </si>
  <si>
    <t>A new global GPS data set for testing and improving modelled GIA uplift rates</t>
  </si>
  <si>
    <t>Forward models; GIA; GPS; Inverse solutions</t>
  </si>
  <si>
    <t>GLACIAL ISOSTATIC-ADJUSTMENT; SPACE GEODESY; ICE-5G VM2; SURFACE; TRENDS; SHEET; EARTH</t>
  </si>
  <si>
    <t>Glacial isostatic adjustment (GIA) is the response of the solid Earth to past ice loading, primarily, since the Last Glacial Maximum, about 20 K yr BP. Modelling GIA is challenging because of large uncertainties in ice loading history and also the viscosity of the upper and lower mantle. GPS data contain the signature of GIA in their uplift rates but these also contain other sources of vertical land motion (VLM) such as tectonics, human and natural influences on water storage that can mask the underlying GIA signal. In this study, we use about 4000 GPS vertical velocities as observational estimates of global GIA uplift rates, after correcting for major elastic deformation effects. A novel fully automatic strategy is developed to post-process the GPS time-series and to correct for non-GIA artefacts. Before estimating vertical velocities and uncertainties, we detect outliers and jumps and correct for atmospheric mass loading displacements. We correct the resulting velocities for the elastic response of the solid Earth to global changes in ice sheets, glaciers and ocean loading, as well as for changes in the Earth's rotational pole relative to the 20th century average. We then apply a spatial median filter to remove sites where local effects are dominant to leave approximately 4000 GPS sites. The resulting novel global GPS data set shows a clean GIA signal at all post-processed stations and is therefore suitable to investigate the behavior of global GIA forward models. The results are transformed from a frame with its origin in the centre of mass of the total Earth's system (CM) into a frame with its origin in the centre of mass of the solid Earth (CE) before comparison with 13 global GIA forward model solutions, with best fits with Pur-6VM5 and ICE-6G predictions. The largest discrepancies for all models were identified for Antarctica and Greenland, which may be due to either uncertain mantle rheology, ice loading history/magnitude and/or GPS errors.</t>
  </si>
  <si>
    <t>[Schumacher, M.; Sha, Z.; Bamber, J. L.] Univ Bristol, Sch Geog Sci, Bristol, Avon, England; [King, M. A.] Univ Tasmania, Sch Technol Environm &amp; Design, Hobart, Tas, Australia; [Rougier, J.] Univ Bristol, Sch Math, Bristol, Avon, England; [Khan, S. A.] Tech Univ Denmark, DTU Space Natl Space Inst, Lyngby, Denmark</t>
  </si>
  <si>
    <t>University of Bristol; University of Tasmania; University of Bristol; Technical University of Denmark</t>
  </si>
  <si>
    <t>Schumacher, M (corresponding author), Univ Bristol, Sch Geog Sci, Bristol, Avon, England.</t>
  </si>
  <si>
    <t>maike.schumacher@bristol.ac.uk</t>
  </si>
  <si>
    <t>Khan, Shfaqat Abbas/AAP-6627-2021; Bamber, Jonathan/C-7608-2011; King, Matt/B-4622-2008</t>
  </si>
  <si>
    <t>Khan, Shfaqat Abbas/0000-0002-2689-8563; Bamber, Jonathan/0000-0002-2280-2819; King, Matt/0000-0001-5611-9498; Schumacher, Maike/0000-0003-3785-8118; Chuter, Stephen/0000-0002-2189-6235; Rougier, Jonathan/0000-0003-3072-7043</t>
  </si>
  <si>
    <t>European Research Council (ERC) under the European Union [694188]; Leverhulme Trust [RF-2016-718]; Royal Society; Australian Research Council [FT110100207]; Australian Research Council Special Research Initiative for Antarctic Gateway Partnership [SR140300001]; NERC [BIGF010001] Funding Source: UKRI</t>
  </si>
  <si>
    <t>European Research Council (ERC) under the European Union(European Research Council (ERC)); Leverhulme Trust(Leverhulme Trust); Royal Society(Royal Society); Australian Research Council(Australian Research Council); Australian Research Council Special Research Initiative for Antarctic Gateway Partnership(Australian Research Council); NERC(UK Research &amp; Innovation (UKRI)Natural Environment Research Council (NERC))</t>
  </si>
  <si>
    <t>M. Schumacher, J. Rougier, Z. Sha, and J.L. Bamber are grateful for the financial support provided by the European Research Council (ERC) under the European Union's Horizon 2020 research and innovation programme under grant agreement no 694188 (GlobalMass project). J.L. Bamber was also supported by a Leverhulme Trust Fellowship (RF-2016-718) and a Royal Society Wolfson Research Merit Award. M.A. King was funded by an Australian Research Council Future Fellowship (project number FT110100207) and supported by the Australian Research Council Special Research Initiative for Antarctic Gateway Partnership (Project ID SR140300001). We would like to thank C. Zhang, J.Y. Guo, W. Huang, C.K. Shum and W. van der Wal for providing the ensemble of 13 GIA forward model solutions.</t>
  </si>
  <si>
    <t>10.1093/gji/ggy235</t>
  </si>
  <si>
    <t>Green Submitted, hybrid, Green Accepted</t>
  </si>
  <si>
    <t>WOS:000439648000041</t>
  </si>
  <si>
    <t>Vacelet, J; Cárdenas, P</t>
  </si>
  <si>
    <t>Vacelet, Jean; Cardenas, Paco</t>
  </si>
  <si>
    <t>When is an aster not an aster? A new deep-sea Discorhabdella (Demospongiae, Poecilosclerida) with asters, from the Mozambique Channel</t>
  </si>
  <si>
    <t>Porifera; new species; Madagascar; bathyal; homoplasy</t>
  </si>
  <si>
    <t>DEMOSPONGIAE; CRAMBE; PORIFERA; SPICULES</t>
  </si>
  <si>
    <t>Discorhabdella pseudaster n. sp. is an incrusting sponge from the upper bathyal zone of the 'Banc du Geyser', north of Madagascar, Mozambique Channel This new species is described only from a single specimen but it is remarkable by the presence of spicules similar to euasters, a type of microsclere unknown in Poecilosclerida. These spicules are in fact a new example of homoplasy, being derivatives of the typical Discorhabdella pseudoastrose acanthostyles, which are here reduced to the aster-like tyles. The isochelae with a large lamella on the shaft are also quite unique in Poeciloclerida.</t>
  </si>
  <si>
    <t>[Vacelet, Jean; Cardenas, Paco] Aix Marseille Univ, Univ Avignon, CNRS, Stn Marine Endoume,IMBE,IRD, F-13007 Marseille, France; [Cardenas, Paco] Uppsala Univ, Dept Med Chem, Pharmacognosy, S-75123 Uppsala, Sweden</t>
  </si>
  <si>
    <t>Avignon Universite; Institut de Recherche pour le Developpement (IRD); Centre National de la Recherche Scientifique (CNRS); Aix-Marseille Universite; Uppsala University</t>
  </si>
  <si>
    <t>Vacelet, J (corresponding author), Aix Marseille Univ, Univ Avignon, CNRS, Stn Marine Endoume,IMBE,IRD, F-13007 Marseille, France.</t>
  </si>
  <si>
    <t>jean.vacelet@imbe.fr</t>
  </si>
  <si>
    <t>Cardenas, Paco/0000-0003-4045-6718</t>
  </si>
  <si>
    <t>European Union; European Union's Horizon 2020 research and innovation program through the SponGES project [679849]</t>
  </si>
  <si>
    <t>European Union(European Union (EU)); European Union's Horizon 2020 research and innovation program through the SponGES project</t>
  </si>
  <si>
    <t>The sponge sample in this paper originates from the deep-sea cruise BIOMAGLO conducted jointly by French National Museum of Natural History (MNHN) as part of the Tropical Deep-Sea Benthos program, the French Research Institute for Exploitation of the Sea (IFREMER), the French Southern and Antarctic Lands (TAAF), the Departmental Council of Mayotte and the French Development Agency (AFD), with the financial support of the European Union. We are grateful to the crew of R/V Antea, especially Cecile Debitus in charge of collecting and documenting sponge specimens, as well as the cruise leadersof BIOMAGLO: Laure Corbari, Karine Olu-Le Roy and Sarah Samadi. We also thank this team and Magalie Castelin for organizing the BIOMAGLO taxonomy workshop in Concarneau in April 2017, and inviting the authors, which led to the discovery of this new species. P. Cardenas is supported by the European Union's Horizon 2020 research and innovation program through the SponGES project (grant agreement No. 679849). This document reflects only the authors' view and the Executive Agency for Small and Medium-sized Enterprises (EASME) is not responsible for any use that may be made of the information it contains.</t>
  </si>
  <si>
    <t>AUG 31</t>
  </si>
  <si>
    <t>10.11646/zootaxa.4466.1.15</t>
  </si>
  <si>
    <t>GR9SI</t>
  </si>
  <si>
    <t>WOS:000443110800013</t>
  </si>
  <si>
    <t>Necula-Petrareanu, G; Lavin, P; Vasilescu, A; Purcarea, C</t>
  </si>
  <si>
    <t>Necula-Petrareanu, Georgiana; Lavin, Paris; Vasilescu, Alina; Purcarea, Cristina</t>
  </si>
  <si>
    <t>Antarctic Flavobacterium aldehyde dehydrogenase - A cold-adapted catalyst for biosensing</t>
  </si>
  <si>
    <t>JOURNAL OF BIOTECHNOLOGY</t>
  </si>
  <si>
    <t>European Biotechnology Congress</t>
  </si>
  <si>
    <t>APR 26-28, 2018</t>
  </si>
  <si>
    <t>Athens, GREECE</t>
  </si>
  <si>
    <t>[Necula-Petrareanu, Georgiana; Purcarea, Cristina] Splaiul Independentei, Inst Biol, Bucharest, Romania; [Lavin, Paris] Univ Antofagasta, Antofagasta, Chile; [Vasilescu, Alina] Int Ctr Biodynam, 1B Intrarea Portocalelor, Bucharest, Romania</t>
  </si>
  <si>
    <t>Institute of Biology Bucharest; Universidad de Antofagasta</t>
  </si>
  <si>
    <t>georgiana.petrareanu@ibiol.ro</t>
  </si>
  <si>
    <t>Vasilescu, Alina/C-5112-2011; Necula-Petrareanu, Georgiana/B-3196-2019; Purcarea, Cristina/HKO-6092-2023; Lavin, Paris/AAI-9053-2020</t>
  </si>
  <si>
    <t>Vasilescu, Alina/0000-0002-2492-0819; Purcarea, Cristina/0000-0001-5784-8545;</t>
  </si>
  <si>
    <t>UEFISCDI [PN-III-P2-2.1-PED-2016-0116]</t>
  </si>
  <si>
    <t>UEFISCDI(Consiliul National al Cercetarii Stiintifice (CNCS)Unitatea Executiva pentru Finantarea Invatamantului Superior, a Cercetarii, Dezvoltarii si Inovarii (UEFISCDI))</t>
  </si>
  <si>
    <t>This work was financially supported by UEFISCDI project PN-III-P2-2.1-PED-2016-0116.</t>
  </si>
  <si>
    <t>0168-1656</t>
  </si>
  <si>
    <t>1873-4863</t>
  </si>
  <si>
    <t>J BIOTECHNOL</t>
  </si>
  <si>
    <t>J. Biotechnol.</t>
  </si>
  <si>
    <t>AUG 30</t>
  </si>
  <si>
    <t>S</t>
  </si>
  <si>
    <t>S18</t>
  </si>
  <si>
    <t>10.1016/j.jbiotec.2018.06.054</t>
  </si>
  <si>
    <t>Biotechnology &amp; Applied Microbiology</t>
  </si>
  <si>
    <t>HG2VU</t>
  </si>
  <si>
    <t>WOS:000454825900052</t>
  </si>
  <si>
    <t>Henriques, DK; Silva, BGC; Zuñiga, GE; Câmara, PEAS</t>
  </si>
  <si>
    <t>Henriques, Diego Knop; Costa Silva, Barbara Guedes; Zuniga, Gustavo Emilio; Aguiar Saraiva Camara, Paulo Eduardo</t>
  </si>
  <si>
    <t>Contributions to the bryological knowledge of ASPA 125, Fildes Peninsula, King George Island</t>
  </si>
  <si>
    <t>BIOLOGICAL RESEARCH</t>
  </si>
  <si>
    <t>Mosses; Bryophyta; Protected areas; Antarctica; Fossil Hill</t>
  </si>
  <si>
    <t>Background: With 29 Km(2), the Fildes Peninsula is the largest ice free area in King George Island and probably in Antarctica. The region is house of six permanent bases including the only airport in the South Shetlands, which led to impacts on its original landscape and vegetation. In recognition for the need to protect natural values, an Antarctic Specially Protected Area (ASPA 125) was established in the region. Focused mostly on protecting the fossils, the ASPA also plays a role in protecting the vegetation but so far, the management plan for the area does not contain a list of moss species present there. Results: We provided an updated study and checklist of mosses present in ASPA 125. A key to species identification and photographs of main morphological features are also available in this paper. Also, six new occurrences are reported for Fildes Peninsula. Conclusion: Considering the scarce knowledge about specific local floras in Antarctica associated with highly impacted area, of which only a fraction is protected, it is suggested the necessity to invest in detailed sampling studies, as well as in a better understanding of the local floras interactions in Antarctica.</t>
  </si>
  <si>
    <t>[Henriques, Diego Knop; Costa Silva, Barbara Guedes; Aguiar Saraiva Camara, Paulo Eduardo] Univ Brasilia, Dept Bot, Campos Univ Darcy Ribeiro, BR-70910 Brasilia, DF, Brazil; [Zuniga, Gustavo Emilio] Univ Santiago Chile, Fac Quim &amp; Biol, Lab Fisiol &amp; Biotecnol Vegetal, Casilla 40,Correo 33, Santiago, Chile</t>
  </si>
  <si>
    <t>Universidade de Brasilia</t>
  </si>
  <si>
    <t>Henriques, DK (corresponding author), Univ Brasilia, Dept Bot, Campos Univ Darcy Ribeiro, BR-70910 Brasilia, DF, Brazil.</t>
  </si>
  <si>
    <t>diegoknop@gmail.com</t>
  </si>
  <si>
    <t>Zuñiga, Gustavo E/P-8306-2015; Camara, Paulo/GPP-2054-2022</t>
  </si>
  <si>
    <t>Camara, Paulo/0000-0002-3944-996X; Zuniga, Gustavo/0000-0002-8286-9468; Henriques, Diego Knop/0000-0003-2839-8877</t>
  </si>
  <si>
    <t>Fondo Nacional de Desarrollo Cientifco y Tecnologico [FONDECYT-1140189]; Proyectos Basales; Conselho Nacional de Desenvolvimento Cientifico e Tecnologico (MCTIC/CNPq-Acao Transversal) [64/2013]</t>
  </si>
  <si>
    <t>Fondo Nacional de Desarrollo Cientifco y Tecnologico; Proyectos Basales; Conselho Nacional de Desenvolvimento Cientifico e Tecnologico (MCTIC/CNPq-Acao Transversal)</t>
  </si>
  <si>
    <t>Funding was provided by Fondo Nacional de Desarrollo Cientifco y Tecnologico (FONDECYT-1140189 GEZ), Proyectos Basales (2017) and Conselho Nacional de Desenvolvimento Cientifico e Tecnologico (MCTIC/CNPq-Acao Transversal no 64/2013).</t>
  </si>
  <si>
    <t>SOC BIOLGIA CHILE</t>
  </si>
  <si>
    <t>CASILLA 16164, SANTIAGO 9, CHILE</t>
  </si>
  <si>
    <t>0716-9760</t>
  </si>
  <si>
    <t>0717-6287</t>
  </si>
  <si>
    <t>BIOL RES</t>
  </si>
  <si>
    <t>Biol. Res.</t>
  </si>
  <si>
    <t>10.1186/s40659-018-0178-3</t>
  </si>
  <si>
    <t>Biology</t>
  </si>
  <si>
    <t>Life Sciences &amp; Biomedicine - Other Topics</t>
  </si>
  <si>
    <t>GR9VA</t>
  </si>
  <si>
    <t>WOS:000443121000001</t>
  </si>
  <si>
    <t>Werner, M; Jouzel, J; Masson-Delmotte, V; Lohmann, G</t>
  </si>
  <si>
    <t>Werner, Martin; Jouzel, Jean; Masson-Delmotte, Valerie; Lohmann, Gerrit</t>
  </si>
  <si>
    <t>Reconciling glacial Antarctic water stable isotopes with ice sheet topography and the isotopic paleothermometer</t>
  </si>
  <si>
    <t>GENERAL-CIRCULATION MODEL; CLIMATE VARIABILITY; ATMOSPHERIC CIRCULATION; INTERGLACIAL CHANGES; DEUTERIUM EXCESS; SPACE GEODESY; SURFACE SNOW; GREENLAND; PRECIPITATION; TEMPERATURE</t>
  </si>
  <si>
    <t>Stable water isotope records from Antarctica are key for our understanding of Quaternary climate variations. However, the exact quantitative interpretation of these important climate proxy records in terms of surface temperature, ice sheet height and other climatic changes is still a matter of debate. Here we report results obtained with an atmospheric general circulation model equipped with water isotopes, run at a high-spatial horizontal resolution of one-by-one degree. Comparing different glacial maximum ice sheet reconstructions, a best model data match is achieved for the PMIP3 reconstruction. Reduced West Antarctic elevation changes between 400 and 800 m lead to further improved agreement with ice core data. Our modern and glacial climate simulations support the validity of the isotopic paleothermometer approach based on the use of present-day observations and reveal that a glacial ocean state as displayed in the GLAMAP reconstruction is suitable for capturing the observed glacial isotope changes in Antarctic ice cores.</t>
  </si>
  <si>
    <t>[Werner, Martin; Lohmann, Gerrit] Helmholtz Ctr Polar &amp; Marine Sci, Alfred Wegener Inst, Bussestr 24, D-27570 Bremerhaven, Germany; [Jouzel, Jean; Masson-Delmotte, Valerie] Univ Paris Saclay, CEA CNRS UVSQ, UMR 8212, Inst Pierre Simon Laplace,LSCE, F-91191 Gif Sur Yvette, France</t>
  </si>
  <si>
    <t>Helmholtz Association; Alfred Wegener Institute, Helmholtz Centre for Polar &amp; Marine Research; Universite Paris Cite; CEA; Centre National de la Recherche Scientifique (CNRS); Universite Paris Saclay; CNRS - National Institute for Earth Sciences &amp; Astronomy (INSU)</t>
  </si>
  <si>
    <t>Werner, M (corresponding author), Helmholtz Ctr Polar &amp; Marine Sci, Alfred Wegener Inst, Bussestr 24, D-27570 Bremerhaven, Germany.</t>
  </si>
  <si>
    <t>martin.werner@awi.de</t>
  </si>
  <si>
    <t>Masson-Delmotte, Valerie L/G-1995-2011; Werner, Martin/C-8067-2014</t>
  </si>
  <si>
    <t>Masson-Delmotte, Valerie L/0000-0001-8296-381X; Werner, Martin/0000-0002-6473-0243</t>
  </si>
  <si>
    <t>German Federal Ministry of Education and Research (BMBF) as Research for Sustainability initiative (FONA) [FKZ: 01LP1511B]</t>
  </si>
  <si>
    <t>German Federal Ministry of Education and Research (BMBF) as Research for Sustainability initiative (FONA)(Federal Ministry of Education &amp; Research (BMBF))</t>
  </si>
  <si>
    <t>We thank the support of the AWI supercomputing centre for performing the reported ECHAM5-wiso simulations. The work of M.W. has been performed within the framework of the PalMod project (FKZ: 01LP1511B), supported by the German Federal Ministry of Education and Research (BMBF) as Research for Sustainability initiative (FONA).</t>
  </si>
  <si>
    <t>10.1038/s41467-018-05430-y</t>
  </si>
  <si>
    <t>GS0DE</t>
  </si>
  <si>
    <t>WOS:000443155400001</t>
  </si>
  <si>
    <t>Mattern, T; Pütz, K; Garcia-Borboroglu, P; Ellenberg, U; Houston, DM; Long, R; Lüthi, B; Seddon, PJ</t>
  </si>
  <si>
    <t>Mattern, Thomas; Puetz, Klemens; Garcia-Borboroglu, Pablo; Ellenberg, Ursula; Houston, David M.; Long, Robin; Luethi, Benno; Seddon, Philip J.</t>
  </si>
  <si>
    <t>Marathon penguins - Reasons and consequences of long-range dispersal in Fiordland penguins / Tawaki during the premoult period</t>
  </si>
  <si>
    <t>NEW-ZEALAND; PRE-MOLT; SUBTROPICAL FRONT; WINTER MIGRATION; SOUTHERN-OCEAN; HABITAT; CONSERVATION; BIRDS; ATTACHMENT; SEABIRDS</t>
  </si>
  <si>
    <t>Migratory species often roam vast distances bringing them into contact with diverse conditions and threats that could play significant roles in their population dynamics. This is especially true if long-range travels occur within crucial stages of a species' annual life-cycle. Crested penguins, for example, usually disperse over several hundreds of kilometres after completing the energetically demanding breeding season and in preparation for the costly annual moult. A basic understanding of crested penguins' pre-moult dispersal is therefore paramount in order to be able to assess factors affecting individual survival. The Fiordland penguin, or Tawaki, the only crested penguin species breeding on the New Zealand mainland, is currently one of the least studied and rarest penguin species in the world. We successfully satellite tracked the pre-moult dispersal of 17 adult Tawaki from a single colony located in the species' northern breeding distribution. Over the course of 8-10 weeks the penguins travelled up to 2,500 km away from their breeding colony, covering total swimming distances of up to 6,800 km. During outbound travels all penguins headed south-west within a well-defined corridor before branching out towards two general trip destinations. Birds leaving in late November travelled towards the Subtropical Front some 800 km south of Tasmania, whereas penguins that left in December headed further towards the subantarctic front. Using K-select analysis we examined the influence of oceanographic factors on the penguins' dispersal. Water depth, surface current velocity and sea level anomalies had the greatest influence on penguin movements at the subantarctic Front, while sea surface temperature and chlorophyll a concentration were key for birds travelling to the subtropical front. We discuss our findings in the light of anthropogenic activities (or lack thereof) in the regions visited by the penguins as well as the potential consequences of Tawaki pre-moult dispersal for the species' breeding distribution on the New Zealand mainland.</t>
  </si>
  <si>
    <t>[Mattern, Thomas] Univ Otago, Dept Zool, Dunedin, New Zealand; [Mattern, Thomas; Garcia-Borboroglu, Pablo; Ellenberg, Ursula; Seddon, Philip J.] Global Penguin Soc, Marcos Zar 2716, RA-9120 Puerto Madryn, Chubut, Argentina; [Puetz, Klemens] Antarctic Res Trust, Oste Hamme Kanal 10, Bremervorde, Germany; [Garcia-Borboroglu, Pablo] Consejo Nacl Invest Cient &amp; Tecn, Ctr Nacl Patagon, Blvd Brown 2825, Puerto Madryn, Chubut, Argentina; [Ellenberg, Ursula] La Trobe Univ, Dept Ecol Environm &amp; Evolut, Melbourne, Vic, Australia; [Houston, David M.] Dept Conservat, Sci &amp; Policy Grp, Auckland, New Zealand; [Long, Robin] West Coast Penguin Trust, Hokitika, New Zealand; [Luethi, Benno] Antarctic Res Trust, Zoo Zurich, Zurichbergstr 221, Zurich, Switzerland</t>
  </si>
  <si>
    <t>University of Otago; Consejo Nacional de Investigaciones Cientificas y Tecnicas (CONICET); Centro Nacional Patagonico (CENPAT); Melbourne Genomics Health Alliance; La Trobe University</t>
  </si>
  <si>
    <t>Mattern, T (corresponding author), Univ Otago, Dept Zool, Dunedin, New Zealand.;Mattern, T (corresponding author), Global Penguin Soc, Marcos Zar 2716, RA-9120 Puerto Madryn, Chubut, Argentina.</t>
  </si>
  <si>
    <t>t.mattern@eudyptes.net</t>
  </si>
  <si>
    <t>Ellenberg, Ursula/AAF-7317-2020; Mattern, Thomas/AAJ-6325-2020; Seddon, Philip/G-8659-2011</t>
  </si>
  <si>
    <t>Ellenberg, Ursula/0000-0002-3100-6742; Mattern, Thomas/0000-0003-0745-8180; Seddon, Philip/0000-0001-9076-9566; Puetz, Klemens/0000-0003-1375-2669</t>
  </si>
  <si>
    <t>Antarctic Research Trust; Global Penguin Society; Ornithological Society New Zealand; JS Watson Trust; Forest Bird Southland</t>
  </si>
  <si>
    <t>Devices and data acquisition costs were covered by the Antarctic Research Trust to TM. This study was funded through grants by the Global Penguin Society, Ornithological Society New Zealand (Birds NZ Research grant), the JS Watson Trust and Forest &amp; Bird Southland to TM. The funders had no role in study design, data collection and analysis, decision to publish, or preparation of the manuscript.</t>
  </si>
  <si>
    <t>AUG 29</t>
  </si>
  <si>
    <t>e0198688</t>
  </si>
  <si>
    <t>10.1371/journal.pone.0198688</t>
  </si>
  <si>
    <t>GR9JD</t>
  </si>
  <si>
    <t>WOS:000443071400002</t>
  </si>
  <si>
    <t>Vanková, I; Voytenko, D; Nicholls, KW; Xie, SR; Parizek, BR; Holland, DM</t>
  </si>
  <si>
    <t>Vankova, Irena; Voytenko, Denis; Nicholls, Keith W.; Xie, Surui; Parizek, Byron R.; Holland, David M.</t>
  </si>
  <si>
    <t>Vertical Structure of Diurnal Englacial Hydrology Cycle at Helheim Glacier, East Greenland</t>
  </si>
  <si>
    <t>englacial hydrology; Helheim Glacier; ApRES; glacier dynamics; diurnal cycle; meltwater</t>
  </si>
  <si>
    <t>TERRESTRIAL RADAR INTERFEROMETRY; GROUND-PENETRATING RADAR; BASAL MELT RATES; ICE-SHEET; DRAINAGE SYSTEM; SUBGLACIAL DRAINAGE; TEMPERATE GLACIERS; SURFACE MELT; MASS-BALANCE; WATER-FLOW</t>
  </si>
  <si>
    <t>The interior dynamics of Helheim Glacier were monitored using an autonomous phase-sensitive radio-echo sounder (ApRES) during two consecutive summers. The return signals from all observational sites exhibited strong non-tidal, depth-dependent diurnal variations. We show that these variations in the glacier interior can be explained by an englacial diurnal meltwater cycle: a data interpretation that assumes constant ice-column composition through time leads to dynamical inconsistencies with concurrent observations from GPS and terrestrial radar. The observed diurnal meltwater cycle is spatially variable, both between different sites and in the vertical, consistent with the existence of a dense and complex englacial hydrologic network. Future applications of this observational technique could reveal long-term meltwater behavior inside glaciers and ice sheets, leading to an improved understanding of the spatiotemporal evolution of the basal boundary conditions needed to simulate them realistically.</t>
  </si>
  <si>
    <t>[Vankova, Irena; Voytenko, Denis; Holland, David M.] NYU, Courant Inst Math Sci, 251 Mercer St, New York, NY 10003 USA; [Vankova, Irena; Voytenko, Denis; Holland, David M.] New York Univ, Ctr Global Sea Level Change, Abu Dhabi, U Arab Emirates; [Nicholls, Keith W.] British Antarctic Survey, Nat Environm Res Council, Cambridge, England; [Xie, Surui] Univ S Florida, Sch Geosci, Tampa, FL USA; [Parizek, Byron R.] Penn State Univ, Math &amp; Geosci, Du Bois, PA USA; [Parizek, Byron R.] Penn State Univ, Dept Geosci, University Pk, PA 16802 USA</t>
  </si>
  <si>
    <t>New York University; UK Research &amp; Innovation (UKRI); Natural Environment Research Council (NERC); NERC British Antarctic Survey; State University System of Florida; University of South Florida; Pennsylvania Commonwealth System of Higher Education (PCSHE); Pennsylvania State University; Pennsylvania Commonwealth System of Higher Education (PCSHE); Pennsylvania State University; Pennsylvania State University - University Park</t>
  </si>
  <si>
    <t>Vanková, I (corresponding author), NYU, Courant Inst Math Sci, 251 Mercer St, New York, NY 10003 USA.;Vanková, I (corresponding author), New York Univ, Ctr Global Sea Level Change, Abu Dhabi, U Arab Emirates.</t>
  </si>
  <si>
    <t>vankova@cims.nyu.edu</t>
  </si>
  <si>
    <t>Xie, Surui/0000-0002-1484-0671</t>
  </si>
  <si>
    <t>New York University Abu Dhabi [G1204]; NASA Jet Propulsion Laboratory Oceans Melting Greenland (OMG) program; NSF [ARC-1304137, ANT-0424589, AGS-1338832, PLR-1443190]; Polar Geospatial Center under NSF OPP awards [1043681, 1559691, 1542736]; NERC [bas0100033] Funding Source: UKRI</t>
  </si>
  <si>
    <t>New York University Abu Dhabi; NASA Jet Propulsion Laboratory Oceans Melting Greenland (OMG) program; NSF(National Science Foundation (NSF)); Polar Geospatial Center under NSF OPP awards; NERC(UK Research &amp; Innovation (UKRI)Natural Environment Research Council (NERC))</t>
  </si>
  <si>
    <t>We are grateful to the support provided from New York University Abu Dhabi through grant G1204, the NASA Jet Propulsion Laboratory Oceans Melting Greenland (OMG) program, and NSF grants ARC-1304137, ANT-0424589, AGS-1338832, and PLR-1443190. DEMs were provided by the Polar Geospatial Center under NSF OPP awards 1043681, 1559691, and 1542736. The GPS and atmospheric data are provided as supporting information. The TRI and ApRES data are too large to be freely stored at a public repository. Therefore, these data are archived at an institutional repository at the New York University's Environmental Fluid Dynamics Laboratory server, and they are freely available upon request to efdl@nyu.edu. We thank Brian Rougeux for deploying on-glacier instruments, and Denise Holland for organizing field logistics. UNAVCO is thanked for maintaining the permanent GPS station HEL2, Annie Zaino for helping with the installation of on-glacier GPS receivers, and Brice Noel for sharing RACMO2.3p2 output. We thank three anonymous reviewers for their insightful feedback.</t>
  </si>
  <si>
    <t>AUG 28</t>
  </si>
  <si>
    <t>10.1029/2018GL077869</t>
  </si>
  <si>
    <t>GU8SO</t>
  </si>
  <si>
    <t>Green Published, Bronze, Green Accepted</t>
  </si>
  <si>
    <t>WOS:000445612500053</t>
  </si>
  <si>
    <t>Chatterjee, S; Raj, RP; Bertino, L; Skagseth, O; Ravichandran, M; Johannessen, OM</t>
  </si>
  <si>
    <t>Chatterjee, Sourav; Raj, Roshin P.; Bertino, L.; Skagseth, O.; Ravichandran, M.; Johannessen, Ola M.</t>
  </si>
  <si>
    <t>Role of Greenland Sea Gyre Circulation on Atlantic Water Temperature Variability in the Fram Strait</t>
  </si>
  <si>
    <t>Fram Strait; Atlantic Water; Greenland Sea gyre; atmospheric forcing</t>
  </si>
  <si>
    <t>NORTHERN NORTH-ATLANTIC; NORDIC SEAS; ARCTIC-OCEAN; DATA ASSIMILATION; SLOPE CURRENT; BARENTS; ICE; TRANSPORT; TOPAZ4; SYSTEM</t>
  </si>
  <si>
    <t>Atlantic Water (AW) transported from the Nordic Seas is the major source of oceanic heat to the Arctic Ocean. Based on results from the TOPAZ reanalysis, a regional coupled ice-ocean data assimilation system, we show that interannual variability of AW temperature in the Fram Strait (FS) is associated with the strength of the Greenland Sea gyre (GSG) circulation. The response of the GSG to the anomalous wind stress curl over the Nordic Seas modifies the AW inflow and thus influences the variability of AW temperature in the FS. A stronger (weaker) GSG circulation increases (decreases) the AW flow speed toward FS, leading to increased (decreased) oceanic heat content and higher (lower) AW temperature therein. This implies that the Nordic Seas circulation is not only a passive conduit of AW, but its response to overlying atmospheric variability can also largely influence the AW temperature in the FS by modifying the transport of AW.</t>
  </si>
  <si>
    <t>[Chatterjee, Sourav; Ravichandran, M.] Natl Ctr Antarctic &amp; Ocean Res, Vasco Da Gama, India; [Chatterjee, Sourav; Raj, Roshin P.; Bertino, L.] Nansen Environm &amp; Remote Sensing Ctr, Bergen, Norway; [Bertino, L.; Skagseth, O.] Bjerknes Ctr Climate Res, Bergen, Norway; [Skagseth, O.] Inst Marine Res, Bergen, Norway; [Johannessen, Ola M.] Nansen Sci Soc, Bergen, Norway</t>
  </si>
  <si>
    <t>Ministry of Earth Sciences (MoES) - India; National Centre for Polar and Ocean Research (NCPOR); Nansen Environmental &amp; Remote Sensing Center (NERSC); Bjerknes Centre for Climate Research; Institute of Marine Research - Norway</t>
  </si>
  <si>
    <t>Chatterjee, S (corresponding author), Natl Ctr Antarctic &amp; Ocean Res, Vasco Da Gama, India.;Chatterjee, S (corresponding author), Nansen Environm &amp; Remote Sensing Ctr, Bergen, Norway.</t>
  </si>
  <si>
    <t>sourav@ncaor.gov.in</t>
  </si>
  <si>
    <t>Bertino, Laurent/H-9395-2014; Chatterjee, Sourav/GLR-0397-2022; Ravichandran, M./AAM-1351-2020</t>
  </si>
  <si>
    <t>Bertino, Laurent/0000-0002-1220-7207; Chatterjee, Sourav/0000-0003-4003-4371; , Roshin/0000-0001-5863-5269</t>
  </si>
  <si>
    <t>Norwegian supercomputing project NOTUR2 [nn2993k]; Ministry of Earth Sciences, Govt. of India; ESSO-NCAOR; Nansen Scientific Society; Copernicus Arctic MFC services; NFR project EPOCASA</t>
  </si>
  <si>
    <t>Norwegian supercomputing project NOTUR2; Ministry of Earth Sciences, Govt. of India; ESSO-NCAOR; Nansen Scientific Society; Copernicus Arctic MFC services; NFR project EPOCASA</t>
  </si>
  <si>
    <t>The authors are thankful to J. Xie and F. Counillon for assistance with the TOPAZ4 data and J. E. O. Nilsen for useful discussions during the study. The authors also thank Subeesh M. P for useful discussions and help with data processing during the course of the study. TOPAZ Reanalysis product is obtained from E.U. Copernicus Marine Services, http://marine.copernicus.eu/, and supported by the grant nn2993k from the Norwegian supercomputing project NOTUR2. Temperature observations from FS and Svinoy are obtained from https://doi.pangaea.de/10.1594/PANGAEA.150006?format=html#download and http://www.ices.dk/marine-data/data-portals/Pages/ocean.aspx, respectively. The Ministry of Earth Sciences, Govt. of India, and Director, ESSO-NCAOR, are acknowledged for their support in this study. Sourav Chatterjee was funded by Nansen Scientific Society during a 2-month research visit at the Nansen Center in Bergen, Norway. Authors Roshin. P. Raj and Laurent Bertino are funded by the Copernicus Arctic MFC services, and O.S. was funded by the NFR project EPOCASA. This is NCAOR contribution 37/2018.</t>
  </si>
  <si>
    <t>10.1029/2018GL079174</t>
  </si>
  <si>
    <t>WOS:000445612500058</t>
  </si>
  <si>
    <t>Nosé, M; Matsuoka, A; Kasahara, S; Yokota, S; Teramoto, M; Keika, K; Yamamoto, K; Nomura, R; Fujimoto, A; Higashio, N; Koshiishi, H; Imajo, S; Oimatsu, S; Tanaka, YM; Shinohara, M; Shinohara, I; Miyoshi, Y</t>
  </si>
  <si>
    <t>Nose, M.; Matsuoka, A.; Kasahara, S.; Yokota, S.; Teramoto, M.; Keika, K.; Yamamoto, K.; Nomura, R.; Fujimoto, A.; Higashio, N.; Koshiishi, H.; Imajo, S.; Oimatsu, S.; Tanaka, Y. -M.; Shinohara, M.; Shinohara, I.; Miyoshi, Y.</t>
  </si>
  <si>
    <t>Magnetic Field Dipolarization and Its Associated Ion Flux Variations in the Dawnside Deep Inner Magnetosphere: Arase Observations</t>
  </si>
  <si>
    <t>dipolarization; inner magnetosphere; O+ outflow; acceleration; partial ring current</t>
  </si>
  <si>
    <t>TAIL CURRENT DISRUPTION; GEOMAGNETIC STORMS; ENERGY-SPECTRA; CURRENT SHEET; GROWTH-PHASE; RING CURRENT; SUBSTORM; MODELS; FLUCTUATIONS; SIGNATURES</t>
  </si>
  <si>
    <t>The Arase satellite observed clear dipolarization signatures at r similar to 4.3-4.6 R-E, GMLAT similar to 16 degrees-18 degrees, and MLT similar to 5.5-5.7 hr around 15:00 UT on 27 March 2017 when Dst similar to-70 nT. Strong magnetic field fluctuations were embedded and their characteristic frequency was close to the local gyrofrequency of O+ ions. After the dipolarization, O+ flux was enhanced at &lt;= 15 keV, while H+ flux showed no clear variations. These observations provide evidence for the direct supply of O+ ions from the ionosphere. There were no clear signatures for the nonadiabatic local acceleration of O+ ions. We consider that a bump-on-tail structure in the energy spectrum around 30-50 keV due to a combination of charge exchange loss and drift motion of ions masks the nonadiabatic acceleration. Occurrence of the magnetic field dipolarization at dawn, which is far from the well-known premidnight occurrence peak, may be due to an eastward skewing of partial ring current during the storm main phase. Plain Language Summary The Exploration of energization and Radiation in Geospace (ERG) Arase satellite was launched by Japan Aerospace Exploration Agency on 20 December 2016. Arase was placed in an elliptical orbit having initially a perigee of similar to 460-km altitude and an apogee of 6.0 R-E to survey the inner magnetosphere. This unique orbit makes it possible for Arase to successfully observe a clear magnetic field dipolarization and its associated ion flux variations in the dawnside deep inner magnetosphere, which have not been reported in previous studies. Observations provide evidence for the direct supply of O+ ions from the ionosphere to the deep inner magnetosphere. Occurrence of the magnetic field dipolarization at dawn, which is far from the well-known premidnight occurrence peak, may be due to an eastward skewing of partial ring current during the storm main phase.</t>
  </si>
  <si>
    <t>[Nose, M.; Yamamoto, K.; Imajo, S.; Oimatsu, S.] Kyoto Univ, Grad Sch Sci, Kyoto, Japan; [Matsuoka, A.; Shinohara, I.] Japan Aerosp Explorat Agcy, Inst Space &amp; Astronaut Sci, Sagamihara, Kanagawa, Japan; [Kasahara, S.; Keika, K.] Univ Tokyo, Grad Sch Sci, Tokyo, Japan; [Yokota, S.] Osaka Univ, Grad Sch Sci, Toyonaka, Osaka, Japan; [Teramoto, M.; Miyoshi, Y.] Nagoya Univ, Inst Space Earth Environm Res, Nagoya, Aichi, Japan; [Nomura, R.; Higashio, N.; Koshiishi, H.] Japan Aerosp Explorat Agcy, Res &amp; Dev Directorate, Tsukuba, Ibaraki, Japan; [Fujimoto, A.] Kyushu Inst Technol, Iizuka, Fukuoka, Japan; [Tanaka, Y. -M.] Natl Inst Polar Res, Tachikawa, Tokyo, Japan; [Tanaka, Y. -M.] Res Org Informat &amp; Syst, Joint Support Ctr Data Sci Res, Polar Environm Data Sci Ctr, Tachikawa, Tokyo, Japan; [Tanaka, Y. -M.] Grad Univ Adv Studies, Sch Multidisciplinary Sci, Dept Polar Sci, Tachikawa, Tokyo, Japan; [Shinohara, M.] Kagoshima Natl Coll Technol, Kirishima, Japan</t>
  </si>
  <si>
    <t>Kyoto University; Japan Aerospace Exploration Agency (JAXA); Institute of Space &amp; Astronautical Science (ISAS); University of Tokyo; Osaka University; Nagoya University; Japan Aerospace Exploration Agency (JAXA); Kyushu Institute of Technology; Research Organization of Information &amp; Systems (ROIS); National Institute of Polar Research (NIPR) - Japan; Research Organization of Information &amp; Systems (ROIS); Graduate University for Advanced Studies - Japan</t>
  </si>
  <si>
    <t>Nosé, M (corresponding author), Kyoto Univ, Grad Sch Sci, Kyoto, Japan.</t>
  </si>
  <si>
    <t>nose@kugi.kyoto-u.ac.jp</t>
  </si>
  <si>
    <t>Nose, Masahito/B-1900-2015; Miyoshi, Yoshizumi/T-5748-2019; Nose, Masahito/ISU-3248-2023; Kasahara, Satoshi/T-4592-2019</t>
  </si>
  <si>
    <t>Nose, Masahito/0000-0002-2789-3588; Miyoshi, Yoshizumi/0000-0001-7998-1240; Kasahara, Satoshi/0000-0002-3479-772X; Imajo, Shun/0000-0002-9862-844X; Teramoto, Mariko/0000-0001-5983-1149; Yamamoto, Kazuhiro/0000-0002-2515-8643; yokota, shoichiro/0000-0001-8851-9146; Keika, Kunihiro/0000-0003-0265-4318</t>
  </si>
  <si>
    <t>Japan Society for the Promotion of Science (JSPS) [16H04057, 17K18804, 16H06286, 15H05815, 17K14400]; Grants-in-Aid for Scientific Research [17K18804, 17K14400] Funding Source: KAKEN</t>
  </si>
  <si>
    <t>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</si>
  <si>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Science data of the ERG (Arase) satellite were obtained from the ERG Science Center operated by ISAS/JAXA and ISEE/Nagoya University (https://ergsc. isee.nagoya-u.ac.jp/index.shtml.en). The Arase satellite data will be publicly available via ERG Science Center on a project-agreed schedule. The present study analyzed the MGF v02.01 data and the MEP-i v01_00 data. Geomagnetic field data from College, Tixie Bay, and Fort Churchill are originally provided by United States Geological Survey, Arctic and Antarctic Research Institute, and Geological Survey of Canada, respectively; these data were downloaded with the SPEDAS software (http://spedas.org). Geomagnetic field by the IGRF-12, T89, and T045 models is calculated with GEOPACK routines developed by N.A. Tsyganenko and coded by H. Korth. This study is supported by the Japan Society for the Promotion of Science (JSPS), Grant-in-Aid for Scientific Research (B) (grant 16H04057), Challenging Research (Pioneering) (grant 17K18804), and Grant-in-Aid for Specially Promoted Research (grant 16H06286). Y.M. is supported by the Japan Society for the Promotion of Science (JSPS), Grant-in Aid for Scientific Research on Innovative Areas (grant 15H05815). K.K. is supported by the Japan Society for the Promotion of Science (JSPS), Grant-in Aid for Young Scientists (B) (grant 17K14400).</t>
  </si>
  <si>
    <t>10.1029/2018GL078825</t>
  </si>
  <si>
    <t>WOS:000445612500007</t>
  </si>
  <si>
    <t>Martos, YM; Jordan, TA; Catalán, M; Jordan, TM; Bamber, JL; Vaughan, DG</t>
  </si>
  <si>
    <t>Martos, Yasmina M.; Jordan, Tom A.; Catalan, Manuel; Jordan, Thomas M.; Bamber, Jonathan L.; Vaughan, David G.</t>
  </si>
  <si>
    <t>Geothermal Heat Flux Reveals the Iceland Hotspot Track Underneath Greenland</t>
  </si>
  <si>
    <t>CURIE-POINT DEPTH; ICE-SHEET; BASAL MELT; CONTINENTAL LITHOSPHERE; SEISMIC MODEL; FLOW; MOHO; ATLANTIC; TEMPERATURES; ANOMALIES</t>
  </si>
  <si>
    <t>Curie depths beneath Greenland are revealed by spectral analysis of data from the World Digital Magnetic Anomaly Map 2. A thermal model of the lithosphere then provides a corresponding geothermal heat flux map. This new map exhibits significantly higher frequency but lower amplitude variation than earlier heat flux maps and provides an important boundary condition for numerical ice-sheet models and interpretation of borehole temperature profiles. In addition, it reveals new geologically significant features. Notably, we identify a prominent quasi-linear elevated geothermal heat flux anomaly running northwest-southeast across Greenland. We interpret this feature to be the relic of the passage of the Iceland hotspot from 80 to 50 Ma. The expected partial melting of the lithosphere and magmatic underplating or intrusion into the lower crust is compatible with models of observed satellite gravity data and recent seismic observations. Our geological interpretation has potentially significant implications for the geodynamic evolution of Greenland. Plain Language Summary Heat escaping from the Earth's interior provides important clues about areas of geology and geodynamics. In addition, where a region is covered by an ice sheet, such as Greenland, variations in the heat supplied from the Earth's interior can potentially influence how the ice flows, and hence its future changes. Unfortunately, in ice covered regions direct measurements of heat flow are limited to sparse boreholes, meaning this important quantity is poorly understood. In this study we used variations in the Earth's magnetic field to map out the variations in the amount of heat being supplied to the base of the Greenland Ice Sheet from the Earth's interior. Ice sheet models incorporating these new and improved results will help better constrain future predictions of ice sheet evolution. Overall, the new map not only shows less extreme variations than previous studies, but also reveals a previously unseen band of warmer than expected rock stretching northwest to southeast across Greenland. This band, together with lithospheric models derived fromgravity data, is interpreted to be the scar left as the Greenland tectonic plate moved over a region of hot upwelling mantle (the material beneath the tectonic plates), which now underlies Iceland.</t>
  </si>
  <si>
    <t>[Martos, Yasmina M.; Jordan, Tom A.; Vaughan, David G.] British Antarctic Survey, NERC, Cambridge, England; [Martos, Yasmina M.] NASA, Goddard Space Flight Ctr, Greenbelt, MD 20771 USA; [Martos, Yasmina M.] Univ Maryland, College Pk, MD 20742 USA; [Catalan, Manuel] Royal Observ Spanish Navy, Cadiz, Spain; [Jordan, Thomas M.; Bamber, Jonathan L.] Univ Bristol, Sch Geog Sci, Bristol Glaciol Ctr, Bristol, Avon, England; [Jordan, Thomas M.] Stanford Univ, Dept Geophys, Stanford, CA 94305 USA</t>
  </si>
  <si>
    <t>UK Research &amp; Innovation (UKRI); Natural Environment Research Council (NERC); NERC British Antarctic Survey; National Aeronautics &amp; Space Administration (NASA); NASA Goddard Space Flight Center; University System of Maryland; University of Maryland College Park; University of Bristol; Stanford University</t>
  </si>
  <si>
    <t>Martos, YM (corresponding author), British Antarctic Survey, NERC, Cambridge, England.;Martos, YM (corresponding author), NASA, Goddard Space Flight Ctr, Greenbelt, MD 20771 USA.;Martos, YM (corresponding author), Univ Maryland, College Pk, MD 20742 USA.</t>
  </si>
  <si>
    <t>yasmina.martos@nasa.gov</t>
  </si>
  <si>
    <t>Vaughan, David/C-8348-2011; Bamber, Jonathan/C-7608-2011; Catalan, Manuel/R-6956-2018</t>
  </si>
  <si>
    <t>Bamber, Jonathan/0000-0002-2280-2819; Jordan, Tom/0000-0003-2780-1986; Jordan, Thomas/0000-0002-2096-8858; Catalan, Manuel/0000-0001-9691-7101</t>
  </si>
  <si>
    <t>Marie Sklodowska-Curie Program (European Commission) [657187]; NERC [bas0100029, NE/R016038/1, bas010011] Funding Source: UKRI; Marie Curie Actions (MSCA) [657187] Funding Source: Marie Curie Actions (MSCA)</t>
  </si>
  <si>
    <t>Marie Sklodowska-Curie Program (European Commission); NERC(UK Research &amp; Innovation (UKRI)Natural Environment Research Council (NERC)); Marie Curie Actions (MSCA)(Marie Curie Actions)</t>
  </si>
  <si>
    <t>We wish to thank three anonymous reviewers for their constructive comments and suggestions who helped us to improve our manuscript. Y. M. M. thanks the Marie Sklodowska-Curie Program (European Commission Grant ID 657187) for supporting this research. The supporting information file contains details about the magnetic and borehole data, methodology, and results. The resulting Curie depth and geothermal heat flux model as well as their associated uncertainties can be found at PANGAEA (https://doi.pangaea.de/10.1594/PANGAEA.892973).</t>
  </si>
  <si>
    <t>10.1029/2018GL078289</t>
  </si>
  <si>
    <t>Bronze, Green Published, Green Submitted, Green Accepted</t>
  </si>
  <si>
    <t>WOS:000445612500039</t>
  </si>
  <si>
    <t>Huhn, O; Hattermann, T; Davis, PED; Dunker, E; Hellmer, HH; Nicholls, KW; Osterhus, S; Rhein, M; Schröder, M; Sültenfuss, J</t>
  </si>
  <si>
    <t>Huhn, Oliver; Hattermann, Tore; Davis, Peter E. D.; Dunker, Erich; Hellmer, Hartmut H.; Nicholls, Keith W.; Osterhus, Svein; Rhein, Monika; Schroeder, Michael; Sueltenfuss, Juergen</t>
  </si>
  <si>
    <t>Basal Melt and Freezing Rates From First Noble Gas Samples Beneath an Ice Shelf</t>
  </si>
  <si>
    <t>ice shelf-ocean interaction; basal glacial melting and refreezing; ice shelf cavity; noble gases helium and neon; Antarctica; Filchner-Ronne Ice Shelf</t>
  </si>
  <si>
    <t>GLACIAL MELTWATER; DEEP-WATER; AMUNDSEN SEA; WEDDELL SEA; OCEAN CIRCULATION; HELIUM-ISOTOPES; ANTARCTICA; NEON; PACIFIC; TRACERS</t>
  </si>
  <si>
    <t>A climatically induced acceleration in ocean-driven melting of Antarctic ice shelves would have consequences for both the discharge of continental ice into the ocean and thus global sea level, and for the formation of Antarctic Bottom Water and the oceanic meridional overturning circulation. Using a novel gas-tight in situ water sampler, noble gas samples have been collected from six locations beneath the Filchner Ice Shelf, the first such samples from beneath an Antarctic ice shelf. Helium and neon are uniquely suited as tracers of glacial meltwater in the ocean. Basal meltwater fractions range from 3.6% near the ice shelf base to 0.5% near the sea floor, with distinct regional differences. We estimate an average basal melt rate for the Filchner-Ronne Ice Shelf of 177 +/- 95 Gt/year, independently confirming previous results. We calculate that up to 2.7% of the meltwater has been refrozen, and we identify a local source of crustal helium.</t>
  </si>
  <si>
    <t>[Huhn, Oliver; Rhein, Monika; Sueltenfuss, Juergen] Univ Bremen, Inst Environm Phys IUP, Oceanog Dept, Bremen, Germany; [Huhn, Oliver; Hattermann, Tore; Dunker, Erich; Hellmer, Hartmut H.; Schroeder, Michael] Alfred Wegener Inst, Helmholtz Ctr Polar &amp; Marine Res, Bremerhaven, Germany; [Davis, Peter E. D.; Nicholls, Keith W.] British Antarctic Survey, Cambridge, England; [Osterhus, Svein] Uni Res Climate, Bergen, Norway; [Rhein, Monika] Univ Bremen, Ctr Marine Environm Sci MARUM, Bremen, Germany</t>
  </si>
  <si>
    <t>University of Bremen; Helmholtz Association; Alfred Wegener Institute, Helmholtz Centre for Polar &amp; Marine Research; UK Research &amp; Innovation (UKRI); Natural Environment Research Council (NERC); NERC British Antarctic Survey; University of Bremen</t>
  </si>
  <si>
    <t>Huhn, O (corresponding author), Univ Bremen, Inst Environm Phys IUP, Oceanog Dept, Bremen, Germany.;Huhn, O (corresponding author), Alfred Wegener Inst, Helmholtz Ctr Polar &amp; Marine Res, Bremerhaven, Germany.</t>
  </si>
  <si>
    <t>ohuhn@uni-bremen.de</t>
  </si>
  <si>
    <t>Rhein, Monika/P-1969-2016</t>
  </si>
  <si>
    <t>Rhein, Monika/0000-0003-1496-2828; Huhn, Oliver/0000-0003-3626-9135; Hellmer, Hartmut/0000-0002-9357-9853; Sultenfuss, Jurgen/0000-0003-3169-0422; Osterhus, Svein/0000-0001-9915-2685; Davis, Peter/0000-0002-6471-6310</t>
  </si>
  <si>
    <t>Alfred Wegener Institute (AWI); British Antarctic Survey (BAS); Deutsche Forschungsgemeinschaft (DFG) [SPP 1158, HU 1544/2, HU 1544/4]; NERC [NE/R016038/1, bas0100033, NE/L013770/1] Funding Source: UKRI</t>
  </si>
  <si>
    <t>Alfred Wegener Institute (AWI); British Antarctic Survey (BAS); Deutsche Forschungsgemeinschaft (DFG)(German Research Foundation (DFG)); NERC(UK Research &amp; Innovation (UKRI)Natural Environment Research Council (NERC))</t>
  </si>
  <si>
    <t>We like to thank the Alfred Wegener Institute (AWI) and the British Antarctic Survey (BAS) for supporting the FISP (https://www.awi.de/en/science/climate-sciences/physical-oceanography/projects/fisp.html) and FISS (https://www.bas.ac.uk/project/fiss/) drilling campaigns 2015/2016 and 2016/2017 by logistics and funding. We acknowledge the work of Gerhard Fraas, who designed an early version of a noble-gas in situ water sampler. O. Huhn acknowledges funding by the Deutsche Forschungsgemeinschaft (DFG, SPP 1158 Antarktisforschung, grants HU 1544/2 and HU 1544/4). The used data are archived and can be retrieved from Pangaea: https://doi.pangaea.de/10.1594/PANGAEA.883808 (FIS ice shelf cavity, 2015/2016 and 2016/2017), https://doi.pangaea.de/10.1594/PANGAEA.883799 (ANT29/9, 2013/2014), https://doi.pangaea.de/10.1594/PANGAEA.883832 (ANT 12/3, 1995).</t>
  </si>
  <si>
    <t>10.1029/2018GL079706</t>
  </si>
  <si>
    <t>WOS:000445612500064</t>
  </si>
  <si>
    <t>Polichtchouk, I; Shepherd, TG; Byrne, NJ</t>
  </si>
  <si>
    <t>Polichtchouk, Irma; Shepherd, Theodore G.; Byrne, Nicholas J.</t>
  </si>
  <si>
    <t>Impact of Parametrized Nonorographic Gravity Wave Drag on Stratosphere-Troposphere Coupling in the Northern and Southern Hemispheres</t>
  </si>
  <si>
    <t>GENERAL-CIRCULATION MODELS; DOWNWARD PROPAGATION; ANTARCTIC OZONE; SUDDEN WARMINGS; POLAR VORTEX; VARIABILITY; EVENTS; WINTER; HOLE</t>
  </si>
  <si>
    <t>The impact of parametrized nonorographic gravity wave drag (NOGWD) on the stratosphere-troposphere dynamical coupling in atmospheric models is relatively unexplored. Using the European Centre for Medium-Range Weather Forecasts Integrated Forecast System, we find that changes in NOGWD strength have a substantial impact on the tropospheric eddy-driven jet (EDJ) in both hemispheres, but the sense of the impact is opposite in the two hemispheres. In the Northern Hemisphere the impact occurs via changes in the amplitude and persistence of stratospheric anomalies. In the Southern Hemisphere it occurs instead via differences in the sensitivity of the EDJ to a given stratospheric anomaly, arising from changes in the seasonal cycle leading up to the polar vortex breakdown. Increasing NOGWD eliminates the springtime phase of the Southern Hemisphere tropospheric semiannual oscillation, resulting in a more equatorward annual-mean EDJ and showing that the semiannual oscillation cannot be explained entirely from tropospheric mechanisms. Plain Language Summary The parametrization of the drag exerted by unresolved nonorographic gravity waves (NOGWD) in atmospheric models is highly uncertain but is known to be of first-order importance in the representation of stratospheric and mesospheric circulation. Because stratospheric variability affects tropospheric circulation, NOGWD might be expected to affect the troposphere as well. This question is explored using an atmospheric model. We find that increasing the strength of NOGWD weakens the impact of stratospheric variability on the tropospheric midlatitude jet in the Northern Hemisphere but strengthens the impact in the Southern Hemisphere. Beyond being relevant to quantifying the importance of NOGWD and the relationships between model biases, the experiments shed light on the different nature of stratosphere-troposphere coupling in the two hemispheres, an important topic in atmospheric dynamics. They also show that the tropospheric Southern Hemisphere semiannual oscillation in surface pressure cannot be explained entirely from tropospheric mechanisms, as is usually assumed.</t>
  </si>
  <si>
    <t>[Polichtchouk, Irma; Shepherd, Theodore G.; Byrne, Nicholas J.] Univ Reading, Dept Meteorol, Reading, Berks, England; [Polichtchouk, Irma] European Ctr Medium Range Weather Forecasts, Reading, Berks, England</t>
  </si>
  <si>
    <t>University of Reading; European Centre for Medium-Range Weather Forecasts (ECMWF)</t>
  </si>
  <si>
    <t>Polichtchouk, I (corresponding author), Univ Reading, Dept Meteorol, Reading, Berks, England.;Polichtchouk, I (corresponding author), European Ctr Medium Range Weather Forecasts, Reading, Berks, England.</t>
  </si>
  <si>
    <t>i.polichtchouk@reading.ac.uk</t>
  </si>
  <si>
    <t>Byrne, Nicholas/0000-0002-5088-5949; Polichtchouk, Inna/0000-0002-8943-4993</t>
  </si>
  <si>
    <t>Understanding the atmospheric circulation response to climate change (ACRCC, ERC advanced grant) [339390]</t>
  </si>
  <si>
    <t>Understanding the atmospheric circulation response to climate change (ACRCC, ERC advanced grant)</t>
  </si>
  <si>
    <t>The authors thank Peter Bechtold and Tim Stockdale for helpful discussions and the two anonymous reviewers for their insightful comments. The authors are supported by the Understanding the atmospheric circulation response to climate change (ACRCC, ERC advanced grant, 339390) project. This work used the computational facilities at ECMWF. ERA-Interim data are publicly available at the ECMWF website (http://apps.ecmwf.int/datasets/data/interim-full-daily/levtype=pl/).</t>
  </si>
  <si>
    <t>10.1029/2018GL078981</t>
  </si>
  <si>
    <t>WOS:000445612500081</t>
  </si>
  <si>
    <t>Bakker, P; Prange, M</t>
  </si>
  <si>
    <t>Bakker, Pepijn; Prange, Matthias</t>
  </si>
  <si>
    <t>Response of the Intertropical Convergence Zone to Antarctic Ice Sheet Melt</t>
  </si>
  <si>
    <t>Antarctic ice sheet; ITCZ; Southern Ocean; teleconnections</t>
  </si>
  <si>
    <t>SOUTHERN-OCEAN; HEAT-TRANSPORT; SENSITIVITY; IMPACT; CIRCULATION; WINDS; WATER</t>
  </si>
  <si>
    <t>Past cooling events in the Northern Hemisphere have been shown to impact the location of the intertropical convergence zone (ITCZ) and therewith induce a southward shift of tropical precipitation. Here we use high resolution coupled ocean-atmosphere simulations to show that reasonable past melt rates of the Antarctic Ice Sheet can similarly have led to shifts of the ITCZ, albeit in opposite direction, through large-scale surface air temperature changes over the Southern Ocean. Through sensitivity experiments employing slightly negative to large positive meltwater fluxes, we deduce that meridional shifts of the Hadley cell and therewith the ITCZ are, to a first order, a linear response to Southern Hemisphere high-latitude surface air temperature changes and Antarctic Ice Sheet melt rates. This highlights the possibility to use past episodes of anomalous melt rates to better constrain a possible future response of low latitude precipitation to continued global warming and a shrinking Antarctic Ice Sheet. Plain Language Summary Changes in high-latitude climate can impact the tropical regions through so-called atmospheric and oceanic teleconnections. Research has mostly focused on past southward shifts in the band of heavy tropical precipitation, called the intertropical convergence zone (ITCZ), linked to large-scale cooling in the Northern Hemisphere resulting from large-scale continental ice sheet buildup or a slowdown of the large-scale Atlantic meridional ocean cirucalation. Here we use high resolution climate simulations to show that melting of the Antarctic Ice Sheet can similarly lead to northward shifts of the ITCZ and the displacement of the accompanying rain belt. Future melt rates of the Antarctic Ice Sheet are highly uncertain, but our work shows that it might have a nonnegligible impact on the tropical climate. Moreover, we find that because of the apparent linearity of the system under consideration, studying episodes of past changes in the size of the Antarctic Ice Sheet can help us constrain the possible changes in the low latitude hydroclimate.</t>
  </si>
  <si>
    <t>[Bakker, Pepijn; Prange, Matthias] Univ Bremen, MARUM Ctr Marine Environm Sci, Bremen, Germany; [Bakker, Pepijn] Vrije Univ Amsterdam, Fac Earth &amp; Life Sci, Amsterdam, Netherlands</t>
  </si>
  <si>
    <t>University of Bremen; Vrije Universiteit Amsterdam</t>
  </si>
  <si>
    <t>Bakker, P (corresponding author), Univ Bremen, MARUM Ctr Marine Environm Sci, Bremen, Germany.;Bakker, P (corresponding author), Vrije Univ Amsterdam, Fac Earth &amp; Life Sci, Amsterdam, Netherlands.</t>
  </si>
  <si>
    <t>p.bakker@vu.nl</t>
  </si>
  <si>
    <t>Prange, Matthias/0000-0001-5874-756X</t>
  </si>
  <si>
    <t>German Federal Ministry of Education and Science (BMBF) [01LP1503D]</t>
  </si>
  <si>
    <t>German Federal Ministry of Education and Science (BMBF)(Federal Ministry of Education &amp; Research (BMBF))</t>
  </si>
  <si>
    <t>This study is a contribution to the PalMod project (01LP1503D) funded by the German Federal Ministry of Education and Science (BMBF). The climate model simulations were carried out on the supercomputer of the Norddeutscher Verbund fuer Hochund Hoechstleistungsrechnen (HLRN). For all of the described experiments, a selected number of simulated climate variables is available as netcdf-file at PANGAEA (https://doi.pangaea.de/10.1594/PANGAEA.891414).</t>
  </si>
  <si>
    <t>10.1029/2018GL078659</t>
  </si>
  <si>
    <t>WOS:000445612500088</t>
  </si>
  <si>
    <t>Xu, ZM; Wang, M; Wu, WX; Li, YF; Liu, Q; Han, YY; Jiang, Y; Shao, HB; McMinn, A; Liu, HB</t>
  </si>
  <si>
    <t>Xu, Zhimeng; Wang, Min; Wu, Wenxue; Li, Yifan; Liu, Qian; Han, Yuye; Jiang, Yong; Shao, Hongbing; McMinn, Andrew; Liu, Hongbin</t>
  </si>
  <si>
    <t>Vertical Distribution of Microbial Eukaryotes From Surface to the Hadal Zone of the Mariana Trench</t>
  </si>
  <si>
    <t>FRONTIERS IN MICROBIOLOGY</t>
  </si>
  <si>
    <t>microbial eukaryotes; size fraction; diversity; community structure; hadal zone; biotic associations; Mariana Trench</t>
  </si>
  <si>
    <t>ZOOPLANKTON FECAL PELLETS; COMMUNITY STRUCTURE; MARINE SNOW; PICOEUKARYOTIC DIVERSITY; CHALLENGER DEEP; SEA; OCEAN; ASSEMBLAGES; ECOSYSTEM; BOTTOM</t>
  </si>
  <si>
    <t>Marine microbial eukaryotes are ubiquitous, comprised of phylogenetically diverse groups and play key roles in microbial food webs and global biogeochemical cycling. However, their vertical distribution in the deep sea has received little attention. In this study, we investigated the composition and diversity of the eukaryotes of both 0.2-3 mu m and &gt; 3 mu m size fractions from the surface to the hadal zone (8727 m) of the Mariana Trench using Illumina MiSeq sequencing for the 18S rDNA. The microbial eukaryotic community structure differed substantially across size fractions and depths. Operational taxonomic unit (OTU) richness in the &gt;3 mu m fraction was higher than that in the 0.2-3 mu m fraction at the same depth. For the 0.2-3 mu m fraction, sequences of Retaria (Rhizaria) were most abundant in the surface water (53.5%). Chrysophyceae (Stramenopiles) sequences dominated mostly in the samples from water depths below 1795 m. For the &gt; 3 mu M fraction, sequences of Dinophyceae (Alveolata) were most abundant in surface waters (49.3%) and remained a significant proportion of total sequences at greater depths (9.8%, on average). Retaria sequences were abundant in samples of depths &gt;= 1000 m. Amoebozoa and Apusozoa sequences were enriched in the hadal sample, comprising 38 and 20.4% of total sequences, respectively. Fungi (Opisthokonta) sequences were most abundant at 1759 m in both size fractions. Strong positive associations were found between Syndiniales (mainly MALV-I and MALV-II) and Retaria while negative associations were shown between MALV-II and Fungi in a co-occurrence analysis. This study compared the community structure of microbial eukaryotes in different zones in the deep sea and identified a distinct hadal community in the larger size fraction, suggesting the uniqueness of the eukaryotes in the biosphere in the Mariana Trench.</t>
  </si>
  <si>
    <t>[Xu, Zhimeng; Wang, Min; Liu, Qian; Han, Yuye; Jiang, Yong; Shao, Hongbing; McMinn, Andrew; Liu, Hongbin] Ocean Univ China, Coll Marine Life Sci, Qingdao, Peoples R China; [Xu, Zhimeng; Wu, Wenxue; Liu, Hongbin] Hong Kong Univ Sci &amp; Technol, Div Life Sci, Kowloon, Hong Kong, Peoples R China; [Wang, Min; Jiang, Yong] Ocean Univ China, Inst Evolut &amp; Marine Biodivers, Qingdao, Peoples R China; [Li, Yifan] Univ Cologne, Inst Geophys &amp; Meteorol, Cologne, Germany; [McMinn, Andrew] Univ Tasmania, Inst Marine &amp; Antarctic Studies, Hobart, Tas, Australia</t>
  </si>
  <si>
    <t>Ocean University of China; Hong Kong University of Science &amp; Technology; Ocean University of China; University of Cologne; University of Tasmania</t>
  </si>
  <si>
    <t>Wang, M; Liu, HB (corresponding author), Ocean Univ China, Coll Marine Life Sci, Qingdao, Peoples R China.;Liu, HB (corresponding author), Hong Kong Univ Sci &amp; Technol, Div Life Sci, Kowloon, Hong Kong, Peoples R China.;Wang, M (corresponding author), Ocean Univ China, Inst Evolut &amp; Marine Biodivers, Qingdao, Peoples R China.</t>
  </si>
  <si>
    <t>mingwang@ouc.edu.cn; liuhb@ust.hk</t>
  </si>
  <si>
    <t>UzK, IGMK/HGU-4003-2022; Li, Yifan/JCE-0660-2023; Liu, Yi/HTN-4916-2023; Wang, Min/AFR-9645-2022; Liu, Hongbin/AAV-8862-2020; LIU, HE/IQR-5714-2023; Li, Yifan/HGA-6843-2022; Jiang, Yong/AGK-3016-2022; LI, yi/HKO-0480-2023; McMinn, Andrew/A-9910-2008</t>
  </si>
  <si>
    <t>Li, Yifan/0000-0002-3249-1778; Wang, Min/0000-0002-2357-589X; Li, Yifan/0000-0002-3249-1778; Jiang, Yong/0000-0002-4072-1668; Jiang, Yong/0000-0001-6055-488X; Wu, Wenxue/0000-0003-2196-2594</t>
  </si>
  <si>
    <t>National Natural Science Foundation of China (NSFC) [31500339, 41676178, 41076088]; China Postdoctoral Science Foundation [2015M570612, 2016T90649]; Fundamental Research Funds for the Central Universities [201562018]; Hong Kong Research Grants Council through a GRF grant [16101917]</t>
  </si>
  <si>
    <t>National Natural Science Foundation of China (NSFC)(National Natural Science Foundation of China (NSFC)); China Postdoctoral Science Foundation(China Postdoctoral Science Foundation); Fundamental Research Funds for the Central Universities(Fundamental Research Funds for the Central Universities); Hong Kong Research Grants Council through a GRF grant(Hong Kong Research Grants Council)</t>
  </si>
  <si>
    <t>This study was funded by National Natural Science Foundation of China (NSFC) (Nos. 31500339; 41676178; and 41076088); China Postdoctoral Science Foundation (Nos. 2015M570612 and 2016T90649); and Fundamental Research Funds for the Central Universities (No. 201562018). HL wishes to acknowledge the support of Hong Kong Research Grants Council through a GRF grant (16101917).</t>
  </si>
  <si>
    <t>1664-302X</t>
  </si>
  <si>
    <t>FRONT MICROBIOL</t>
  </si>
  <si>
    <t>Front. Microbiol.</t>
  </si>
  <si>
    <t>10.3389/fmicb.2018.02023</t>
  </si>
  <si>
    <t>GR7KX</t>
  </si>
  <si>
    <t>WOS:000442869000001</t>
  </si>
  <si>
    <t>Kim, JH; Moon, W; Wells, AJ; Wilkinson, JP; Langton, T; Hwang, B; Granskog, MA; Jones, DWR</t>
  </si>
  <si>
    <t>Kim, Joo-Hong; Moon, Woosok; Wells, Andrew J.; Wilkinson, Jeremy P.; Langton, Tom; Hwang, Byongjun; Granskog, Mats A.; Jones, David W. Rees</t>
  </si>
  <si>
    <t>Salinity Control of Thermal Evolution of Late Summer Melt Ponds on Arctic Sea Ice</t>
  </si>
  <si>
    <t>melt ponds; Arctic sea ice; salinity of melt ponds; heat flux; ice mass balance buoy; 2-D melt pond model</t>
  </si>
  <si>
    <t>ALBEDO; MODEL</t>
  </si>
  <si>
    <t>The thermal evolution of melt ponds on Arctic sea ice was investigated through a combination of autonomous observations and two-dimensional high-resolution fluid dynamics simulations. We observed one relatively fresh pond and one saline pond on the same ice floe, with similar depth. The comparison of observations and simulations indicates that thermal convection dominates in relatively fresh ponds, but conductive heat transfer dominates in salt-stratified ponds. Using a parameterized surface energy balance, we estimate that the heat flux to the ice is larger under the saline pond than the freshwater pond when averaged over the observational period. The deviation is sensitive to assumed wind, varying between 3 and 14 W/m(2) for winds from 0 to 5 m/s. If this effect persists as conditions evolve through the melt season, our results suggest that this imbalance potentially has a climatologically significant impact on sea-ice evolution. Plain Language Summary Sea ice provides key feedbacks on polar and global climate, with melt ponds being particularly significant. Melt ponds darken the ice surface, thereby increasing the absorption of sunlight and accelerating ice melt. This study provides a new perspective on melt-pond salinity, its previously unrecognized significance in controlling the thermal properties of ponds, and the potential impact on ice melting as we transition toward a younger sea ice cover. Many state-of-the-art sea ice models represent melt ponds as a freshwater layer with a surface temperature of 0 degrees C, consistent with a past Arctic ocean dominated by desalinated perennial ice and relatively fresh ponds. However, perennial ice has diminished in recent decades, with increasing prevalence of young saline ice. This leads to ponds with a wider range of salinities and temperatures. We show that salinity strongly impacts pond temperatures, using observations of adjacent freshwater and saline melt ponds on Arctic sea ice. Combining this data with model simulations, we find that melt-pond salinity impacts heat transfer to the ice below and the resulting melting rate. Our study reveals that melt-pond salinity and salt stratification are key variables influencing heat transfer in melt ponds, which need to be considered in future model development.</t>
  </si>
  <si>
    <t>[Kim, Joo-Hong] Korea Polar Res Inst, Incheon, South Korea; [Moon, Woosok] Nord Inst Theoret Phys, Stockholm, Sweden; [Moon, Woosok] Stockholm Univ, Dept Math, Stockholm, Sweden; [Wells, Andrew J.; Langton, Tom] Univ Oxford, Dept Phys, Atmospher Ocean &amp; Planetary Phys, Oxford, England; [Wilkinson, Jeremy P.] British Antarctic Survey, Cambridge, England; [Hwang, Byongjun] Scottish Assoc Marine Sci, Oban, Argyll, Scotland; [Hwang, Byongjun] Univ Huddersfield, Dept Biol &amp; Geog Sci, Huddersfield, W Yorkshire, England; [Granskog, Mats A.] Norwegian Polar Res Inst, Fram Ctr, Tromso, Norway; [Jones, David W. Rees] Univ Oxford, Dept Earth Sci, Oxford, England</t>
  </si>
  <si>
    <t>Korea Polar Research Institute (KOPRI); Nordic Institute for Theoretical Physics; Stockholm University; University of Oxford; UK Research &amp; Innovation (UKRI); Natural Environment Research Council (NERC); NERC British Antarctic Survey; UHI Millennium Institute; University of Huddersfield; Norwegian Polar Institute; University of Oxford</t>
  </si>
  <si>
    <t>Kim, JH (corresponding author), Korea Polar Res Inst, Incheon, South Korea.</t>
  </si>
  <si>
    <t>joo-hong.kim@kopri.re.kr</t>
  </si>
  <si>
    <t>Rees Jones, David W./JXL-8698-2024</t>
  </si>
  <si>
    <t>Rees Jones, David W./0000-0001-8698-401X; Langton, Thomas/0000-0002-5455-0257; Wells, Andrew/0000-0001-7929-6227; Granskog, Mats/0000-0002-5035-4347</t>
  </si>
  <si>
    <t>K-AOOS (KOPRI) project - MOF, Korea [PM18040, 20160245]; KPOPS (KOPRI) project [PE18130]; John Fell Oxford University Press Research Fund; EPSRC [EP/K032208/1]; European Union [PCIG13-GA-2013-618610 SEA-ICE-CFD]; Oxford-Met Office Academic Partnership; ICE-ARC programme, European Union 7th Framework Programme [603887]; ONR MIZ program [N000141410587, N000141512338]; Centre for Ice, Climate and Ecosystems at the Norwegian Polar Institute; Norwegian Research Council project STASIS [221961/F20]; NERC [bas0100032, NE/S002545/1] Funding Source: UKRI; U.S. Department of Defense (DOD) [N000141512338] Funding Source: U.S. Department of Defense (DOD)</t>
  </si>
  <si>
    <t>K-AOOS (KOPRI) project - MOF, Korea(Korea Polar Research Institute of Marine Research Placement (KOPRI)Ministry of Oceans &amp; Fisheries (MOF), Republic of Korea); KPOPS (KOPRI) project(Korea Polar Research Institute of Marine Research Placement (KOPRI)); John Fell Oxford University Press Research Fund; EPSRC(UK Research &amp; Innovation (UKRI)Engineering &amp; Physical Sciences Research Council (EPSRC)); European Union(European Union (EU)); Oxford-Met Office Academic Partnership; ICE-ARC programme, European Union 7th Framework Programme(European Union (EU)); ONR MIZ program; Centre for Ice, Climate and Ecosystems at the Norwegian Polar Institute; Norwegian Research Council project STASIS(Research Council of Norway); NERC(UK Research &amp; Innovation (UKRI)Natural Environment Research Council (NERC)); U.S. Department of Defense (DOD)(United States Department of Defense)</t>
  </si>
  <si>
    <t>J.-H.K. was supported by the K-AOOS (KOPRI, PM18040, 20160245) project, funded by the MOF, Korea, and the KPOPS (KOPRI, PE18130) project. A.J.W. and D.R.J. acknowledge support from the John Fell Oxford University Press Research Fund and thank the Isaac Newton Institute for Mathematical Sciences for hospitality (EPSRC Grant EP/K032208/1). A.J.W. acknowledges European Union Award PCIG13-GA-2013-618610 SEA-ICE-CFD. T.L. was supported by the Oxford-Met Office Academic Partnership. W.M., M.A.G. and J.W. acknowledge support from the ICE-ARC programme, European Union 7th Framework Programme, Grant 603887. B.H. and J.W. acknowledge the ONR MIZ program (Grants N000141410587 and N000141512338). M.A.G. was supported by the Centre for Ice, Climate and Ecosystems at the Norwegian Polar Institute and Norwegian Research Council project STASIS (Grant 221961/F20). Finally, this work could not have been performed without the help and support of the crew and officers of RV Araon. Observational data are available on the ICE-ARC data repository http://frazil.nerc-bas.ac.uk/ice-arc/csv.php?name=processed (IMB011 and IMB012), and simulation code and data from https://zenodo.org/record/1293459.</t>
  </si>
  <si>
    <t>10.1029/2018GL078077</t>
  </si>
  <si>
    <t>Green Submitted, Green Published, Green Accepted, Bronze</t>
  </si>
  <si>
    <t>WOS:000445612500048</t>
  </si>
  <si>
    <t>Raes, EJ; Bodrossy, L; van de Kamp, J; Bissett, A; Ostrowski, M; Brown, MV; Sow, SLS; Sloyan, B; Waite, AM</t>
  </si>
  <si>
    <t>Raes, Eric J.; Bodrossy, Levente; van de Kamp, Jodie; Bissett, Andrew; Ostrowski, Martin; Brown, Mark V.; Sow, Swan L. S.; Sloyan, Bernadette; Waite, Anya M.</t>
  </si>
  <si>
    <t>Oceanographic boundaries constrain microbial diversity gradients in the South Pacific Ocean</t>
  </si>
  <si>
    <t>prokaryotes; eukaryotes; Rapoport's rule; richness; latitude</t>
  </si>
  <si>
    <t>ENVIRONMENTAL DNA; MARINE; BACTERIAL; CLIMATE; PHYTOPLANKTON; COMMUNITY; PATTERNS; WATER; BIODIVERSITY; ZOOPLANKTON</t>
  </si>
  <si>
    <t>Marine microbes along with microeukaryotes are key regulators of oceanic biogeochemical pathways. Herewe present a high-resolution (every 0.5 degrees of latitude) dataset describing microbial pro-and eukaryotic richness in the surface and just below the thermocline along a 7,000-km transect from 66 degrees S at the Antarctic ice edge to the equator in the South Pacific Ocean. The transect, conducted in austral winter, covered key oceanographic features including crossing of the polar front (PF), the subtropical front (STF), and the equatorial upwelling region. Our data indicate that temperature does not determine patterns of marine microbial richness, complementing the global model data from Ladau et al. [Ladau J, et al. (2013) ISME J 7:1669-1677]. Rather, NH4+, nanophytoplankton, and primary productivity were the main drivers for archaeal and bacterial richness. Eukaryote richness was highest in the least-productive ocean region, the tropical oligotrophic province. We also observed a unique diversity pattern in the South Pacific Ocean: a regional increase in archaeal and bacterial diversity between 10 degrees S and the equator. Rapoport's rule describes the tendency for the latitudinal ranges of species to increase with latitude. Our data showed that the mean latitudinal ranges of archaea and bacteria decreased with latitude. We show that permanent oceanographic features, such as the STF and the equatorial upwelling, can have a significant influence on both alpha-diversity and beta-diversity of pro-and eukaryotes.</t>
  </si>
  <si>
    <t>[Raes, Eric J.; Waite, Anya M.] Alfred Wegener Inst, Helmholtz Ctr Polar &amp; Marine Res, D-27570 Bremerhaven, Germany; [Raes, Eric J.] Univ Western Australia, Oceans Inst M047, Crawley, WA 6009, Australia; [Raes, Eric J.; Bodrossy, Levente; van de Kamp, Jodie; Bissett, Andrew; Sow, Swan L. S.; Sloyan, Bernadette] CSIRO, Oceans &amp; Atmosphere, Hobart, Tas 7001, Australia; [Ostrowski, Martin] Macquarie Univ, Dept Chem &amp; Biomol Sci, Sydney, NSW 2109, Australia; [Brown, Mark V.] Univ Newcastle, Fac Sci, Sch Environm &amp; Life Sci, Callaghan, NSW 2308, Australia; [Sow, Swan L. S.] Univ Tasmania, Inst Marine &amp; Antarct Studies, Hobart, Tas 7001, Australia; [Waite, Anya M.] Univ Bremen, Biol Chem FB2, D-28334 Bremen, Germany</t>
  </si>
  <si>
    <t>Helmholtz Association; Alfred Wegener Institute, Helmholtz Centre for Polar &amp; Marine Research; University of Western Australia; Commonwealth Scientific &amp; Industrial Research Organisation (CSIRO); Macquarie University; University of Newcastle; University of Tasmania; University of Bremen</t>
  </si>
  <si>
    <t>Raes, EJ (corresponding author), Alfred Wegener Inst, Helmholtz Ctr Polar &amp; Marine Res, D-27570 Bremerhaven, Germany.;Raes, EJ (corresponding author), Univ Western Australia, Oceans Inst M047, Crawley, WA 6009, Australia.;Raes, EJ (corresponding author), CSIRO, Oceans &amp; Atmosphere, Hobart, Tas 7001, Australia.</t>
  </si>
  <si>
    <t>eric.raes@csiro.au</t>
  </si>
  <si>
    <t>San Sow, Swan Li/AAB-9703-2019; Sow, Swan Li San/C-3454-2016; Bissett, Andrew/AFR-3887-2022; van de Kamp, Jodie L/E-9423-2015; Ostrowski, Martin/A-7118-2010; Sloyan, Bernadette/N-8989-2014; Waite, Anya/A-5492-2015; Bodrossy, Levente/B-8054-2009</t>
  </si>
  <si>
    <t>Sow, Swan Li San/0000-0001-5887-7049; Bissett, Andrew/0000-0001-7396-1484; van de Kamp, Jodie L/0000-0003-2167-0938; Ostrowski, Martin/0000-0002-4357-3023; Sloyan, Bernadette/0000-0003-0250-0167; Waite, Anya/0000-0003-2965-0296; Bodrossy, Levente/0000-0001-6940-452X</t>
  </si>
  <si>
    <t>Bioplatforms Australia; Integrated Marine Observing System through the Australian Government National Collaborative Research Infrastructure Strategy; Integrated Marine Observing System through the Education Investment Fund Super Science Initiative; CSIRO; Australian Climate Change Science Program; Marine National Facility; Alfred Wegener Institute; University of Western Australia; CSIRO Office of Community Engagement Science Leader Fellowship [R-04202]; CSIRO Oceans and Atmosphere Environmental Genomics Grant [R-02412]</t>
  </si>
  <si>
    <t>Bioplatforms Australia; Integrated Marine Observing System through the Australian Government National Collaborative Research Infrastructure Strategy; Integrated Marine Observing System through the Education Investment Fund Super Science Initiative; CSIRO(Commonwealth Scientific &amp; Industrial Research Organisation (CSIRO)); Australian Climate Change Science Program; Marine National Facility(Commonwealth Scientific &amp; Industrial Research Organisation (CSIRO)); Alfred Wegener Institute; University of Western Australia; CSIRO Office of Community Engagement Science Leader Fellowship; CSIRO Oceans and Atmosphere Environmental Genomics Grant</t>
  </si>
  <si>
    <t>We thank Dr. Susan Wijffels and Dr. Bernadette Sloyan for the opportunity to piggyback on the P15 GO-SHIP transect voyage number IN2016_V03; Bernhard Tschitschko, Nicole Gail Hellessey, and Gabriela Paniagua Cabarrus for their sampling efforts at sea; the officers and crew of the R/V Investigator during cruise IN2016_V03 for their technical assistance while at sea; and the Marine Microbes Project consortium (https://data.bioplatforms.com) for contributions to the generation of data used in this publication. The Marine Microbes Project is supported by funding from Bioplatforms Australia and Integrated Marine Observing System through the Australian Government National Collaborative Research Infrastructure Strategy and the Education Investment Fund Super Science Initiative. This work was supported by CSIRO, the Australian Climate Change Science Program, and the Marine National Facility. A.M.W. was supported by grants from Alfred Wegener Institute and University of Western Australia. Work at CSIRO was supported by CSIRO Office of Community Engagement Science Leader Fellowship R-04202 (to L.B.) and by CSIRO Oceans and Atmosphere Environmental Genomics Grant R-02412.</t>
  </si>
  <si>
    <t>EB266</t>
  </si>
  <si>
    <t>EB275</t>
  </si>
  <si>
    <t>10.1073/pnas.1719335115</t>
  </si>
  <si>
    <t>GR7ID</t>
  </si>
  <si>
    <t>WOS:000442861600023</t>
  </si>
  <si>
    <t>Poveda, G; Gil-Durán, C; Vaca, I; Levicán, G; Chávez, R</t>
  </si>
  <si>
    <t>Poveda, Gabriela; Gil-Duran, Carlos; Vaca, Inmaculada; Levican, Gloria; Chavez, Renato</t>
  </si>
  <si>
    <t>Cold-active pectinolytic activity produced by filamentous fungi associated with Antarctic marine sponges</t>
  </si>
  <si>
    <t>Cold-active pectinases; Antarctic marine sponges; Filamentous fungi; Geomyces sp.</t>
  </si>
  <si>
    <t>POLYGALACTURONASE; ENZYMES; PURIFICATION; YEASTS; DIVERSITY; GEOMYCES; STRAINS</t>
  </si>
  <si>
    <t>Background: Pectinase enzymes catalyze the breakdown of pectin, a key component of the plant cell wall. At industrial level, pectinases are used in diverse applications, especially in food-processing industry. Currently, most of the industrial pectinases have optimal activity at mesophilic temperatures. On the contrary, very little is known about the pectinolytic activities from organisms from cold climates such as Antarctica. In this work, 27 filamentous fungi isolated from marine sponges collected in King George Island, Antarctica, were screened as new source of cold-active pectinases. Results: In semi-quantitative plate assays, 8 out 27 of these isolates showed pectinolytic activities at 15 degrees C and one of them, Geomyces sp. strain F09-T3-2, showed the highest production of pectinases in liquid medium containing pectin as sole carbon source. More interesting, Geomyces sp. F09-T3-2 showed optimal pectinolytic activity at 30 degrees C, 10 degrees C under the temperature of currently available commercial mesophilic pectinases. Conclusion: Filamentous fungi associated with Antarctic marine sponges are a promising source of pectinolytic activity. In particular, pectinases from Geomyces sp. F09-T3-2 may be potentially suitable for biotechnological applications needing cold-active pectinases. To the best of our knowledge, this is the first report describing the production of pectinolytic activity from filamentous fungi from any environment in Antarctica.</t>
  </si>
  <si>
    <t>[Poveda, Gabriela; Gil-Duran, Carlos; Levican, Gloria; Chavez, Renato] Univ Santiago Chile USACH, Dept Biol, Fac Quim &amp; Biol, Estn Cent, Alameda 3363, Santiago 9170022, Chile; [Vaca, Inmaculada] Univ Chile, Dept Quim, Fac Ciencias, Las Palmeras 3425, Santiago, Chile</t>
  </si>
  <si>
    <t>Universidad de Chile</t>
  </si>
  <si>
    <t>Chávez, R (corresponding author), Univ Santiago Chile USACH, Dept Biol, Fac Quim &amp; Biol, Estn Cent, Alameda 3363, Santiago 9170022, Chile.</t>
  </si>
  <si>
    <t>renato.chavez@usach.cl</t>
  </si>
  <si>
    <t>Levican, Gloria/R-5191-2019; Vaca, Inmaculada/I-2758-2013</t>
  </si>
  <si>
    <t>Levican, Gloria/0000-0002-1275-7399; Vaca, Inmaculada/0000-0002-8952-9036; Gil-Duran, Carlos Andres/0000-0001-9638-6902; Chavez, Renato/0000-0003-1754-3610</t>
  </si>
  <si>
    <t>Instituto Antartico Chileno [INACH G_06-10]; Fondecyt [11090192]; DICYT-USACH; [CONICYT-PFCHA/Doctorado Nacional/2014-63140056]</t>
  </si>
  <si>
    <t>Instituto Antartico Chileno; Fondecyt(Comision Nacional de Investigacion Cientifica y Tecnologica (CONICYT)CONICYT FONDECYT); DICYT-USACH;</t>
  </si>
  <si>
    <t>This work was supported by Instituto Antartico Chileno project INACH G_06-10, Fondecyt Grant 11090192, and DICYT-USACH. CGD has received doctoral fellowship CONICYT-PFCHA/Doctorado Nacional/2014-63140056. The funders had no role in the design of the study and collection, analysis, and interpretation of data and in writing the manuscript.</t>
  </si>
  <si>
    <t>AUG 27</t>
  </si>
  <si>
    <t>10.1186/s40659-018-0177-4</t>
  </si>
  <si>
    <t>GR7AO</t>
  </si>
  <si>
    <t>WOS:000442838400001</t>
  </si>
  <si>
    <t>Genthon, C; Forbes, R; Vignon, E; Gettelman, A; Madeleine, JB</t>
  </si>
  <si>
    <t>Genthon, Christophe; Forbes, Richard; Vignon, Etienne; Gettelman, Andrew; Madeleine, Jean-Baptiste</t>
  </si>
  <si>
    <t>Comment on Surface Air Relative Humidities Spuriously Exceeding 100% in CMIP5 Model Output and Their Impact on Future Projections by K. Ruosteenoja et al. (2017)</t>
  </si>
  <si>
    <t>ANTARCTIC PLATEAU; ICE NUCLEATION; DOME C; PARAMETERIZATION; SUPERSATURATION</t>
  </si>
  <si>
    <t>[Genthon, Christophe; Vignon, Etienne] Univ Grenoble Alpes, CNRS, Inst Geosci Environm, Grenoble, France; [Forbes, Richard] European Ctr Medium Range Weather Forecasts, Reading, Berks, England; [Gettelman, Andrew] Natl Ctr Atmospher Res, POB 3000, Boulder, CO 80307 USA; [Madeleine, Jean-Baptiste] UPMC Univ Paris 06, Sorbonne Univ, UMR 8539, Lab Meteorol Dynam IPSL, Paris, France</t>
  </si>
  <si>
    <t>Centre National de la Recherche Scientifique (CNRS); Communaute Universite Grenoble Alpes; Universite Grenoble Alpes (UGA); European Centre for Medium-Range Weather Forecasts (ECMWF); National Center Atmospheric Research (NCAR) - USA; Sorbonne Universite; Centre National de la Recherche Scientifique (CNRS); CNRS - National Institute for Earth Sciences &amp; Astronomy (INSU)</t>
  </si>
  <si>
    <t>Genthon, C (corresponding author), Univ Grenoble Alpes, CNRS, Inst Geosci Environm, Grenoble, France.</t>
  </si>
  <si>
    <t>Gettelman, Andrew/AAY-2312-2021</t>
  </si>
  <si>
    <t>VIGNON, Etienne/0000-0003-3801-9367; Forbes, Richard/0000-0002-3596-8287; Genthon, Christophe/0000-0002-3678-4447</t>
  </si>
  <si>
    <t>10.1029/2017JD028111</t>
  </si>
  <si>
    <t>GU5NB</t>
  </si>
  <si>
    <t>WOS:000445331900021</t>
  </si>
  <si>
    <t>Ruosteenoja, K; Jylhä, K; Räisänen, J; Mäkelä, A</t>
  </si>
  <si>
    <t>Ruosteenoja, Kimmo; Jylha, Kirsti; Raisanen, Jouni; Makela, Antti</t>
  </si>
  <si>
    <t>Reply to Comment by Genthon et al. on Surface Air Relative Humidities Spuriously Exceeding 100% in CMIP5 Model Output and Their Impact on Future Projections</t>
  </si>
  <si>
    <t>climate change; supersaturation; global climate models; model evaluation; Antarctica</t>
  </si>
  <si>
    <t>ICE; CLIMATE; SUPERSATURATION; ANTARCTICA</t>
  </si>
  <si>
    <t>The commentators regard a categorical truncation of supersaturations with respect to ice in climate model output as an inappropriate solution to the supersaturation issue. This view is supported by observational evidence from the East Antarctic Plateau. We accept this criticism to a certain degree. Even so, it is necessary to make a clear distinction between the true supersaturations measured in the atmosphere and the spurious supersaturations existing in archived model output data sets: the latter result, for example, from inconsistencies in the interpolation of temperature and specific humidity to the near-surface level. In the CMIP5 model output data sets, the largest relative humidities in near-surface air are far above those observed. Moreover, supersaturations given at the 2-m height are generally much larger than those at the lowermost tropospheric isobaric levels. Projections of relative humidity for the future may be considerably distorted if founded on unmodified output data sets.</t>
  </si>
  <si>
    <t>[Ruosteenoja, Kimmo; Jylha, Kirsti; Makela, Antti] Finnish Meteorol Inst, Helsinki, Finland; [Raisanen, Jouni] Univ Helsinki, Dept Phys, Helsinki, Finland</t>
  </si>
  <si>
    <t>Finnish Meteorological Institute; University of Helsinki</t>
  </si>
  <si>
    <t>Ruosteenoja, K (corresponding author), Finnish Meteorol Inst, Helsinki, Finland.</t>
  </si>
  <si>
    <t>kimmo.ruosteenoja@fmi.fi</t>
  </si>
  <si>
    <t>Räisänen, Jouni/A-8203-2011; Mäkelä, Antti/GOP-0320-2022</t>
  </si>
  <si>
    <t>Räisänen, Jouni/0000-0003-3657-1588; Mäkelä, Antti/0000-0002-2977-0952; Ruosteenoja, Kimmo/0000-0002-4370-0782; Jylha, Kirsti/0000-0003-0853-4747</t>
  </si>
  <si>
    <t>10.1029/2018JD028680</t>
  </si>
  <si>
    <t>WOS:000445331900022</t>
  </si>
  <si>
    <t>Prohira, S; Novikov, A; Dasgupta, P; Jain, P; Nande, S; Allison, P; Banerjee, O; Batten, L; Beatty, JJ; Belov, K; Besson, DZ; Binns, WR; Bugaev, V; Cao, P; Chen, C; Chen, P; Clem, JM; Connolly, A; Cremonesi, L; Dailey, B; Deaconu, C; Dowkontt, PF; Fox, BD; Gordon, J; Gorham, PW; Hast, C; Hill, B; Hupe, R; Israel, MH; Lam, J; Liu, TC; Ludwig, A; Matsuno, S; Miki, C; Mottram, M; Mulrey, K; Nam, J; Nichol, RJ; Oberla, E; Ratzlaff, K; Rauch, BF; Romero-Wolf, A; Rotter, B; Russell, J; Saltzberg, D; Seckel, D; Schoorlemmer, H; Stafford, S; Stockham, J; Stockham, M; Strutt, B; Tatem, K; Varner, GS; Vieregg, AG; Wissel, SA; Wu, F; Young, R</t>
  </si>
  <si>
    <t>Prohira, S.; Novikov, A.; Dasgupta, P.; Jain, P.; Nande, S.; Allison, P.; Banerjee, O.; Batten, L.; Beatty, J. J.; Belov, K.; Besson, D. Z.; Binns, W. R.; Bugaev, V.; Cao, P.; Chen, C.; Chen, P.; Clem, J. M.; Connolly, A.; Cremonesi, L.; Dailey, B.; Deaconu, C.; Dowkontt, P. F.; Fox, B. D.; Gordon, J.; Gorham, P. W.; Hast, C.; Hill, B.; Hupe, R.; Israel, M. H.; Lam, J.; Liu, T. C.; Ludwig, A.; Matsuno, S.; Miki, C.; Mottram, M.; Mulrey, K.; Nam, J.; Nichol, R. J.; Oberla, E.; Ratzlaff, K.; Rauch, B. F.; Romero-Wolf, A.; Rotter, B.; Russell, J.; Saltzberg, D.; Seckel, D.; Schoorlemmer, H.; Stafford, S.; Stockham, J.; Stockham, M.; Strutt, B.; Tatem, K.; Varner, G. S.; Vieregg, A. G.; Wissel, S. A.; Wu, F.; Young, R.</t>
  </si>
  <si>
    <t>ANITA Collaboration</t>
  </si>
  <si>
    <t>Antarctic surface reflectivity calculations and measurements from the ANITA-4 and HiCal-2 experiments</t>
  </si>
  <si>
    <t>PHYSICAL REVIEW D</t>
  </si>
  <si>
    <t>COHERENT RADIO-EMISSION</t>
  </si>
  <si>
    <t>The balloon-borne HiCal radio-frequency (RF) transmitter, in concert with the ANITA radio-frequency receiver array, is designed to measure the Antarctic surface reflectivity in the RF wavelength regime. The amplitude of surface-reflected transmissions from HiCal, registered as triggered events by ANITA, can be compared with the direct transmissions preceding them by O(10) microseconds, to infer the surface power reflection coefficient R. The first HiCal mission (HiCal-1, Jan. 2015) yielded a sample of 100 such pairs, resulting in estimates of R at highly glancing angles (i.e., zenith angles approaching 90 degrees), with measured reflectivity for those events which exceeded extant calculations [P. W. Gorham et al., Journal of Astronomical Instrumentation, 1740002 (2017)]. The HiCal-2 experiment, flying from December 2016-January 2017, provided an improvement by nearly 2 orders of magnitude in our event statistics, allowing a considerably more precise mapping of the reflectivity over a wider range of incidence angles. We find general agreement between the HiCal-2 reflectivity results and those obtained with the earlier HiCal-1 mission, as well as estimates from Solar reflections in the radio-frequency regime [D. Z. Besson et al., Radio Sci. 50, 1 (2015)]. In parallel, our calculations of expected reflectivity have matured; herein, we use a plane-wave expansion to estimate the reflectivity R from both a flat, smooth surface (and, in so doing, recover the Fresnel reflectivity equations) and also a curved surface. Multiplying our flat-smooth reflectivity by improved Earth curvature and surface roughness corrections now provides significantly better agreement between theory and the HiCal-2 measurements.</t>
  </si>
  <si>
    <t>[Prohira, S.; Novikov, A.; Besson, D. Z.; Ratzlaff, K.; Stockham, J.; Stockham, M.; Young, R.] Univ Kansas, Dept Phys &amp; Astron, Lawrence, KS 66045 USA; [Novikov, A.; Besson, D. Z.] Natl Res Nucl Univ, Moscow Engn Phys Inst, 31 Kashirskoye Highway, Moscow 115409, Russia; [Dasgupta, P.; Jain, P.; Nande, S.] Indian Inst Technol, Dept Phys, Kanpur 208016, Uttar Pradesh, India; [Allison, P.; Banerjee, O.; Beatty, J. J.; Connolly, A.; Dailey, B.; Gordon, J.; Hupe, R.; Stafford, S.] Ohio State Univ, Dept Phys, 174 W 18th Ave, Columbus, OH 43210 USA; [Allison, P.; Banerjee, O.; Beatty, J. J.; Connolly, A.] Ohio State Univ, Ctr Cosmol &amp; Particle Astrophys, Columbus, OH 43210 USA; [Batten, L.; Cremonesi, L.; Mottram, M.; Nichol, R. J.; Strutt, B.] UCL, Dept Phys &amp; Astron, Gower St, London WC1E 6BT, England; [Belov, K.; Romero-Wolf, A.] Jet Prop Lab, Pasadena, CA 91109 USA; [Binns, W. R.; Bugaev, V.; Israel, M. H.; Rauch, B. F.] Washington Univ, Dept Phys, St Louis, MO 63130 USA; [Cao, P.; Clem, J. M.; Mulrey, K.; Seckel, D.] Univ Delaware, Dept Phys, Newark, DC 19716 USA; [Chen, C.; Chen, P.; Liu, T. C.; Nam, J.] Natl Taiwan Univ, Leung Ctr Cosmol &amp; Particle Astrophys, Grad Inst Astrophys, Dept Phys, Taipei 10617, Taiwan; [Deaconu, C.; Ludwig, A.; Oberla, E.; Vieregg, A. G.] Univ Chicago, Enrico Fermi Inst, Dept Phys, Kavli Inst Cosmol Phys, Chicago, IL 60637 USA; [Dowkontt, P. F.; Lam, J.; Saltzberg, D.; Wu, F.] Univ Calif Los Angeles, Dept Phys &amp; Astron, Los Angeles, CA 90095 USA; [Fox, B. D.; Gorham, P. W.; Hill, B.; Matsuno, S.; Miki, C.; Rotter, B.; Russell, J.; Schoorlemmer, H.; Tatem, K.; Varner, G. S.] Univ Hawaii, Dept Phys &amp; Astron, Manoa, HI 96822 USA; [Hast, C.] SLAC Natl Accelerator Lab, Menlo Pk, CA 94025 USA; [Wissel, S. A.] Calif Polytech State Univ San Luis Obispo, Dept Phys, San Luis Obispo, CA 93407 USA</t>
  </si>
  <si>
    <t>University of Kansas; National Research Nuclear University MEPhI (Moscow Engineering Physics Institute); Indian Institute of Technology System (IIT System); Indian Institute of Technology (IIT) - Kanpur; University System of Ohio; Ohio State University; University System of Ohio; Ohio State University; University of London; University College London; National Aeronautics &amp; Space Administration (NASA); NASA Jet Propulsion Laboratory (JPL); Washington University (WUSTL); University of Delaware; National Taiwan University; University of Chicago; University of California System; University of California Los Angeles; University of Hawaii System; University of Hawaii Manoa; Stanford University; United States Department of Energy (DOE); SLAC National Accelerator Laboratory; California State University System; California Polytechnic State University San Luis Obispo</t>
  </si>
  <si>
    <t>Prohira, S (corresponding author), Univ Kansas, Dept Phys &amp; Astron, Lawrence, KS 66045 USA.</t>
  </si>
  <si>
    <t>Novikov, Alexander S/L-7538-2016; Nichol, Ryan/C-1645-2008; Jain, Pankaj/H-5538-2013; Belov, Konstantin V/D-2520-2013; Chen, Pisin/IAO-8769-2023; Beatty, James/D-9310-2011</t>
  </si>
  <si>
    <t>Nichol, Ryan/0000-0003-0557-0443; Belov, Konstantin V/0000-0002-8861-110X; Chen, Pisin/0000-0001-5251-7210; Beatty, James/0000-0003-0481-4952; Cremonesi, Linda/0000-0003-0711-1056; Tatem, Kathleen V./0000-0002-3097-6018; Mulrey, Katharine/0000-0001-8026-8020; Wissel, Stephanie/0000-0003-0569-6978; Gorham, Peter/0000-0002-0923-9363; Allison, Patrick/0000-0001-8141-2653; Deaconu, Cosmin/0000-0002-4953-6397; Ludwig, Andrew/0000-0001-9038-4375; Dasgupta, Dr. Paramita/0000-0002-9559-4803; prohira, steven/0000-0002-8814-6607; Novikov, Alexander/0000-0002-1086-7252</t>
  </si>
  <si>
    <t>NASA; Kavli Institute for Cosmological Physics at the University of Chicago; National Science Foundation [1255557]; Cosmology and Astroparticle Student and Postdoc Exchange Network (CASPEN); Leverhulme Trust; Taiwan s Ministry of Science and Technology (MOST) under its Vanguard Program [106-2119-M-002-011]; U.S. Department of Energy, High Energy Physics Division; NRNU, MEPhI (Moscow, Russia); Megagrant 2013 program of Russia [14.D12.31.0006]; STFC [ST/N000285/1] Funding Source: UKRI</t>
  </si>
  <si>
    <t>NASA(National Aeronautics &amp; Space Administration (NASA)); Kavli Institute for Cosmological Physics at the University of Chicago(University of Chicago); National Science Foundation(National Science Foundation (NSF)); Cosmology and Astroparticle Student and Postdoc Exchange Network (CASPEN); Leverhulme Trust(Leverhulme Trust); Taiwan s Ministry of Science and Technology (MOST) under its Vanguard Program; U.S. Department of Energy, High Energy Physics Division(United States Department of Energy (DOE)); NRNU, MEPhI (Moscow, Russia); Megagrant 2013 program of Russia; STFC(UK Research &amp; Innovation (UKRI)Science &amp; Technology Facilities Council (STFC))</t>
  </si>
  <si>
    <t>We thank NASA for their generous support of ANITA and HiCal, and the National Science Foundation for their Antarctic operations support and specifics required for the HiCal launches relative to ANITA. This work was supported by the Kavli Institute for Cosmological Physics at the University of Chicago. Computing resources were provided by the University of Chicago Research Computing Center and the Ohio Supercomputing Center at The Ohio State University. A. C. would like to thank the National Science Foundation for their support through CAREER Grant No. 1255557. O. B. and L. C. work was also supported by collaborative visits funded by the Cosmology and Astroparticle Student and Postdoc Exchange Network (CASPEN). The University College London group was also supported by the Leverhulme Trust. The Taiwan team is supported by Taiwan s Ministry of Science and Technology (MOST) under its Vanguard Program 106-2119-M-002-011. This work was also supported by the U.S. Department of Energy, High Energy Physics Division, as well as NRNU, MEPhI (Moscow, Russia) and the Megagrant 2013 program of Russia, via agreement No. 14.D12.31.0006. We are enormously indebted to the Columbia Scientific Balloon Facility for their excellent support, at all stages of this effort. Given the exacting requirements for the HiCal launch, particular recognition is due Hugo Franco, Dave Gregory, and the entire McMurdo CSBF logistical staff.</t>
  </si>
  <si>
    <t>AMER PHYSICAL SOC</t>
  </si>
  <si>
    <t>COLLEGE PK</t>
  </si>
  <si>
    <t>ONE PHYSICS ELLIPSE, COLLEGE PK, MD 20740-3844 USA</t>
  </si>
  <si>
    <t>2470-0010</t>
  </si>
  <si>
    <t>2470-0029</t>
  </si>
  <si>
    <t>PHYS REV D</t>
  </si>
  <si>
    <t>Phys. Rev. D</t>
  </si>
  <si>
    <t>10.1103/PhysRevD.98.042004</t>
  </si>
  <si>
    <t>Astronomy &amp; Astrophysics; Physics, Particles &amp; Fields</t>
  </si>
  <si>
    <t>Astronomy &amp; Astrophysics; Physics</t>
  </si>
  <si>
    <t>GR6VL</t>
  </si>
  <si>
    <t>hybrid, Green Published, Green Submitted</t>
  </si>
  <si>
    <t>WOS:000442810800001</t>
  </si>
  <si>
    <t>Spector, P; Stone, J; Pollard, D; Hillebrand, T; Lewis, C; Gombiner, J</t>
  </si>
  <si>
    <t>Spector, Perry; Stone, John; Pollard, David; Hillebrand, Trevor; Lewis, Cameron; Gombiner, Joel</t>
  </si>
  <si>
    <t>West Antarctic sites for subglacial drilling to test for past ice-sheet collapse</t>
  </si>
  <si>
    <t>MARIE-BYRD-LAND; LAST GLACIAL MAXIMUM; SEA-LEVEL RISE; EXPOSURE AGES; HOLOCENE DEGLACIATION; PENSACOLA MOUNTAINS; COSMOGENIC NUCLIDES; THWAITES GLACIER; GREENLAND; BE-10</t>
  </si>
  <si>
    <t>Mass loss from the West Antarctic Ice Sheet (WAIS) is increasing, and there is concern that an incipient large-scale deglaciation of the marine basins may already be underway. Measurements of cosmogenic nuclides in subglacial bedrock surfaces have the potential to establish whether and when the marine-based portions of the WAIS deglaciated in the past. However, because most of the bedrock revealed by ice-sheet collapse would remain below sea level, shielded from the cosmic-ray flux, drill sites for subglacial sampling must be located in areas where thinning of the residual ice sheet would expose presently subglacial bedrock surfaces. In this paper we discuss the criteria and considerations for choosing drill sites where subglacial samples will provide maximum information about WAIS extent during past interglacial periods. We evaluate candidate sites in West Antarctica and find that sites located adjacent to the large marine basins of West Antarctica will be most diagnostic of past ice-sheet collapse. There are important considerations for drill site selection on the kilometer scale that can only be assessed by field reconnaissance. As a case study of these considerations, we describe reconnaissance at sites in West Antarctica, focusing on the Pirrit Hills, where in the summer of 2016-2017 an 8 m bedrock core was retrieved from below 150 m of ice.</t>
  </si>
  <si>
    <t>[Spector, Perry; Stone, John; Hillebrand, Trevor; Gombiner, Joel] Univ Washington, Dept Earth &amp; Space Sci, Seattle, WA 98195 USA; [Spector, Perry] Berkeley Geochronol Ctr, 2455 Ridge Rd, Berkeley, CA 94709 USA; [Pollard, David] Penn State Univ, Earth &amp; Environm Syst Inst, University Pk, PA 16802 USA; [Lewis, Cameron] Univ Kansas, Ctr Remote Sensing Ice Sheets CReSIS, Lawrence, KS 66045 USA</t>
  </si>
  <si>
    <t>University of Washington; University of Washington Seattle; Berkeley Geochronolgy Center; Pennsylvania Commonwealth System of Higher Education (PCSHE); Pennsylvania State University; Pennsylvania State University - University Park; University of Kansas</t>
  </si>
  <si>
    <t>Spector, P (corresponding author), Univ Washington, Dept Earth &amp; Space Sci, Seattle, WA 98195 USA.;Spector, P (corresponding author), Berkeley Geochronol Ctr, 2455 Ridge Rd, Berkeley, CA 94709 USA.</t>
  </si>
  <si>
    <t>spectorp@gmail.com</t>
  </si>
  <si>
    <t>Hillebrand, Trevor/0000-0003-3535-1540</t>
  </si>
  <si>
    <t>US National Science Foundation (NSF) [1142162, 1341728]; United States Antarctic Program; NSF; Polar Geospatial Center under NSF OPP [1043681, 1559691]; Office of Polar Programs (OPP); Directorate For Geosciences [1142162, 1341728] Funding Source: National Science Foundation</t>
  </si>
  <si>
    <t>US National Science Foundation (NSF)(National Science Foundation (NSF)); United States Antarctic Program; NSF(National Science Foundation (NSF)); Polar Geospatial Center under NSF OPP; Office of Polar Programs (OPP); Directorate For Geosciences(National Science Foundation (NSF)NSF - Directorate for Geosciences (GEO))</t>
  </si>
  <si>
    <t>Support for this work was provided through US National Science Foundation (NSF) grants 1142162 and 1341728 and the United States Antarctic Program. Perry Spector received funding from the NSF Graduate Research Fellowship Program. We thank Maurice Conway and Paul Koubek for assistance in the field, Seth Campbell for guidance in collection and processing of radar data, and Taryn Black and Mika Usher for field and laboratory assistance. Geospatial support for this work provided by the Polar Geospatial Center under NSF OPP awards 1043681 and 1559691.</t>
  </si>
  <si>
    <t>AUG 24</t>
  </si>
  <si>
    <t>10.5194/tc-12-2741-2018</t>
  </si>
  <si>
    <t>GR5AG</t>
  </si>
  <si>
    <t>WOS:000442633800001</t>
  </si>
  <si>
    <t>Nakayama, Y; Menemenlis, D; Zhang, H; Schodlok, M; Rignot, E</t>
  </si>
  <si>
    <t>Nakayama, Yoshihiro; Menemenlis, Dimitris; Zhang, Hong; Schodlok, Michael; Rignot, Eric</t>
  </si>
  <si>
    <t>Origin of Circumpolar Deep Water intruding onto the Amundsen and Bellingshausen Sea continental shelves</t>
  </si>
  <si>
    <t>WEST ANTARCTIC PENINSULA; PINE ISLAND GLACIER; ANNULAR MODE; BASAL MELT; OCEAN; CIRCULATION; SENSITIVITY; EMBAYMENT; TRANSPORT; VARIABILITY</t>
  </si>
  <si>
    <t>Melting of West Antarctic ice shelves is enhanced by Circumpolar Deep Water (CDW) intruding onto the Amundsen and Bellingshausen Seas (ABS) continental shelves. Despite existing studies of cross-shelf and on-shelf CDW transports, CDW pathways onto the ABS originating from further offshore have never been investigated. Here, we investigate CDW pathways onto the ABS using a regional ocean model. Simulated CDW tracers from a zonal section across 67 degrees S (SO4P) circulate along the Antarctic Circumpolar Current (ACC) and Ross Gyre (RG) and travel into ABS continental shelf after 3-5 years, but source locations are shifted westward by similar to 900 km along S04P in 2001-2006 compared to 2009-2014. We find that simulated on- and off-shelf CDW is similar to 0.1-0.2 degrees C warmer in the 2009-2014 case than in the 2001-2006 case together with changes in simulated ocean circulation. These differences are primarily caused by lateral, rather than surface, boundary conditions, implying that large-scale atmospheric and ocean circulations are able to control CDW pathways and thus off- and on-shelf CDW properties.</t>
  </si>
  <si>
    <t>[Nakayama, Yoshihiro; Menemenlis, Dimitris; Zhang, Hong; Schodlok, Michael; Rignot, Eric] CALTECH, Jet Prop Lab, 4800 Oak Grove Dr, Pasadena, CA 91109 USA; [Zhang, Hong; Schodlok, Michael] Univ Calif Los Angeles, Joint Inst Reg Earth Syst Sci &amp; Engn, 4242 Young Hall,Box 95722, Los Angeles, CA 90095 USA; [Rignot, Eric] Univ Calif Irvine, Dept Earth Syst Sci, Croul Hall, Irvine, CA 92697 USA</t>
  </si>
  <si>
    <t>National Aeronautics &amp; Space Administration (NASA); NASA Jet Propulsion Laboratory (JPL); California Institute of Technology; University of California System; University of California Los Angeles; University of California System; University of California Irvine</t>
  </si>
  <si>
    <t>Nakayama, Y (corresponding author), CALTECH, Jet Prop Lab, 4800 Oak Grove Dr, Pasadena, CA 91109 USA.</t>
  </si>
  <si>
    <t>Yoshihiro.Nakayama@jpl.nasa.gov</t>
  </si>
  <si>
    <t>Menemenlis, Dimitris/G-8091-2017; Nakayama, Yoshihiro/R-4325-2019; Rignot, Eric/A-4560-2014</t>
  </si>
  <si>
    <t>Menemenlis, Dimitris/0000-0001-9940-8409; Nakayama, Yoshihiro/0000-0001-6543-529X; Rignot, Eric/0000-0002-3366-0481</t>
  </si>
  <si>
    <t>National Aeronautics and Space Administration (NASA); NASA Cryosphere program; NASA Modeling, Analysis, and Prediction program</t>
  </si>
  <si>
    <t>National Aeronautics and Space Administration (NASA)(National Aeronautics &amp; Space Administration (NASA)); NASA Cryosphere program; NASA Modeling, Analysis, and Prediction program(National Aeronautics &amp; Space Administration (NASA))</t>
  </si>
  <si>
    <t>The research was carried out at the Jet Propulsion Laboratory, California Institute of Technology, under a contract with the National Aeronautics and Space Administration (NASA) and at the University of California, Irvine. Support was provided by an appointment to the NASA Postdoctoral Program; the NASA Cryosphere program; and the NASA Modeling, Analysis, and Prediction program. Computations were carried out at the NASA Advanced Supercomputing facilities. We thank Shigeru Aoki, Karen M. Assmann, and Catherine C. Walker for their useful comments and suggestions. Some of the figures are created with software Paraview51 and Ocean Data View 52.</t>
  </si>
  <si>
    <t>10.1038/s41467-018-05813-1</t>
  </si>
  <si>
    <t>GR4PA</t>
  </si>
  <si>
    <t>WOS:000442594800005</t>
  </si>
  <si>
    <t>Momberg, M; Greve, M; van der Merwe, S; le Roux, PC</t>
  </si>
  <si>
    <t>Momberg, Mia; Greve, Michelle; van der Merwe, Stephni; le Roux, Peter C.</t>
  </si>
  <si>
    <t>Fine- and broad-scale distribution of a cushion plant species: Patterns and predictors for Euphorbia clavarioides</t>
  </si>
  <si>
    <t>Cushion growth form; geographic range; spatial scales; species distribution modeling</t>
  </si>
  <si>
    <t>CLIMATE-CHANGE; ALTITUDINAL DISTRIBUTION; AZORELLA-COMPACTA; ALPINE VEGETATION; LIFE FORM; COMMUNITY; ECOSYSTEM; GROWTH; COVER; BIOGEOGRAPHY</t>
  </si>
  <si>
    <t>Cushion plants are a key Arctic, Antarctic, and alpine growth form, with many cushion-forming species strongly affecting community structure in abiotically stressful environments. Despite their ecological importance, there is little information about what drives the distribution of species exhibiting this growth form. This study investigates the determinants of the distribution of a cushion plant species, Euphorbia clavarioides at (1) a fine scale, using field-collected predictors from an alpine landscape; and (2) a broad scale, using distribution records and climate data across the species' distributional range. At the fine scale, the species was locally rare (occurring in about 4 percent of samples) and may be limited to specific microsites by interspecific competition with taller-growing species. Broad-scale species distribution modeling showed that both temperature and rainfall are important in predicting the distribution of E. clavarioides with a higher probability of occurrence in areas with higher annual precipitation and mean annual temperatures &lt; 15 degrees C. Given the species' sensitivity to competition and abiotic conditions (high temperatures and low precipitation), E. clavarioides may be vulnerable to environmental changes. Therefore, assuming that other cushion plant species exhibit similar patterns, species of this growth form may be particularly useful indicators of change in alpine, Arctic, and Antarctic areas.</t>
  </si>
  <si>
    <t>[Momberg, Mia; Greve, Michelle; van der Merwe, Stephni; le Roux, Peter C.] Univ Pretoria, Dept Plant &amp; Soil Sci, Pretoria, South Africa</t>
  </si>
  <si>
    <t>University of Pretoria</t>
  </si>
  <si>
    <t>Momberg, M (corresponding author), Univ Pretoria, Dept Plant &amp; Soil Sci, Pretoria, South Africa.</t>
  </si>
  <si>
    <t>miamomberg@gmail.com</t>
  </si>
  <si>
    <t>Momberg, Mia/ABB-8770-2021; le Roux, Peter Christiaan/E-7784-2011</t>
  </si>
  <si>
    <t>Momberg, Mia/0000-0002-8901-9271; le Roux, Peter Christiaan/0000-0002-7941-7444; Greve, Michelle/0000-0002-6229-8506; van der Merwe, Stephni/0000-0002-6385-8536</t>
  </si>
  <si>
    <t>University of Pretoria's Research Development Programme; National Research Foundation [95768]; South African Association of Botanists; National Research Foundation's Scarce Skills Programme</t>
  </si>
  <si>
    <t>University of Pretoria's Research Development Programme; National Research Foundation; South African Association of Botanists; National Research Foundation's Scarce Skills Programme</t>
  </si>
  <si>
    <t>We acknowledge funding from the University of Pretoria's Research Development Programme and the National Research Foundation (Incentive Funding for Rated Researchers, grant number 95768). MM received additional funding from the South African Association of Botanists and the National Research Foundation's Scarce Skills Programme.</t>
  </si>
  <si>
    <t>AUG 23</t>
  </si>
  <si>
    <t>e1505136</t>
  </si>
  <si>
    <t>10.1080/15230430.2018.1505136</t>
  </si>
  <si>
    <t>GS4PU</t>
  </si>
  <si>
    <t>WOS:000443631800001</t>
  </si>
  <si>
    <t>Schlosser, C; Schmidt, K; Aquilina, A; Homoky, WB; Castrillejo, M; Mills, RA; Patey, MD; Fielding, S; Atkinson, A; Achterberg, EP</t>
  </si>
  <si>
    <t>Schlosser, Christian; Schmidt, Katrin; Aquilina, Alfred; Homoky, William B.; Castrillejo, Maxi; Mills, Rachel A.; Patey, Matthew D.; Fielding, Sophie; Atkinson, Angus; Achterberg, Eric P.</t>
  </si>
  <si>
    <t>Mechanisms of dissolved and labile particulate iron supply to shelf waters and phytoplankton blooms off South Georgia, Southern Ocean</t>
  </si>
  <si>
    <t>BIOGEOSCIENCES</t>
  </si>
  <si>
    <t>COLLOIDAL IRON; SEA; SOLUBILITY; VARIABILITY; MANGANESE; FLUXES; AVAILABILITY; REGENERATION; PARTICLES; SEDIMENTS</t>
  </si>
  <si>
    <t>The island of South Georgia is situated in the iron (Fe)-depleted Antarctic Circumpolar Current of the Southern Ocean. Iron emanating from its shelf system fuels large phytoplankton blooms downstream of the island, but the actual supply mechanisms are unclear. To address this, we present an inventory of Fe, manganese (Mn), and aluminium (Al) in shelf sediments, pore waters, and the water column in the vicinity of South Georgia, alongside data on zooplankton-mediated Fe cycling processes, and provide estimates of the relative dissolved Fe (DFe) fluxes from these sources. Seafloor sediments, modified by authigenic Fe precipitation, were the main particulate Fe source to shelf bottom waters as indicated by the similar Fe / Mn and Fe / Al ratios for shelf sediments and suspended particles in the water column. Less than 1% of the total particulate Fe pool was leachable surface-adsorbed (labile) Fe and therefore potentially available to organisms. Pore waters formed the primary DFe source to shelf bottom waters, supplying 0.1-44 mu mol DFe m(-2) d(-1). However, we estimate that only 0.41 +/- 0.26 mu mol DFe m(-2) d(-1) was transferred to the surface mixed layer by vertical diffusive and advective mixing. Other trace metal sources to surface waters included glacial flour released by melting glaciers and via zooplankton egestion and excretion processes. On average 6.5 +/- 8.2 mu mol m(-2) d(-1) of labile particulate Fe was supplied to the surface mixed layer via faecal pellets formed by Antarctic krill (Euphausia superba), with a further 1.1 +/- 2.2 mu mol DFe m(-2) d(-1) released directly by the krill. The faecal pellets released by krill included seafloor-derived lithogenic and authigenic material and settled algal debris, in addition to freshly ingested suspended phytoplankton cells. The Fe requirement of the phytoplankton blooms similar to 1250 km downstream of South Georgia was estimated as 0.33 +/- 0.11 mu mol m(-2) d(-1), with the DFe supply by horizontal/vertical mixing, deep winter mixing, and aeolian dust estimated as similar to 0.12 mu mol m(-2) d(-1). We hypothesize that a substantial contribution of DFe was provided through recycling of biogenically stored Fe following luxury Fe uptake by phytoplankton on the Fe-rich shelf. This process would allow Fe to be retained in the surface mixed layer of waters downstream of South Georgia through continuous recycling and biological uptake, supplying the large downstream phytoplankton blooms.</t>
  </si>
  <si>
    <t>[Schlosser, Christian; Aquilina, Alfred; Homoky, William B.; Castrillejo, Maxi; Mills, Rachel A.; Patey, Matthew D.; Achterberg, Eric P.] Univ Southampton, Natl Oceanog Ctr Southampton, Ocean &amp; Earth Sci, Southampton SO14 3ZH, Hants, England; [Schlosser, Christian; Achterberg, Eric P.] GEOMAR Helmholtz Ctr Ocean Res, Wischhofstr 1-3, D-24148 Kiel, Germany; [Schmidt, Katrin; Fielding, Sophie; Atkinson, Angus] British Antarctic Survey, Cambridge CB3 0ET, England; [Schmidt, Katrin] Univ Plymouth, Sch Geog Earth &amp; Environm Sci, Plymouth PL4 8AA, Devon, England; [Homoky, William B.] Univ Oxford, Dept Earth Sci, Oxford OX1 3AN, England; [Castrillejo, Maxi] Univ Autonoma Barcelona, Inst Ciencia &amp; Tecnol Ambientals, Bellaterra 08193, Spain; [Castrillejo, Maxi] Univ Autonoma Barcelona, Dept Fis, Bellaterra 08193, Spain; [Atkinson, Angus] Plymouth Marine Lab, Prospect Pl, Plymouth PL1 3DH, Devon, England</t>
  </si>
  <si>
    <t>NERC National Oceanography Centre; University of Southampton; Helmholtz Association; GEOMAR Helmholtz Center for Ocean Research Kiel; UK Research &amp; Innovation (UKRI); Natural Environment Research Council (NERC); NERC British Antarctic Survey; University of Plymouth; University of Oxford; Autonomous University of Barcelona; Autonomous University of Barcelona; Plymouth Marine Laboratory</t>
  </si>
  <si>
    <t>Schlosser, C (corresponding author), Univ Southampton, Natl Oceanog Ctr Southampton, Ocean &amp; Earth Sci, Southampton SO14 3ZH, Hants, England.;Schlosser, C (corresponding author), GEOMAR Helmholtz Ctr Ocean Res, Wischhofstr 1-3, D-24148 Kiel, Germany.</t>
  </si>
  <si>
    <t>cschlosser@geomar.de</t>
  </si>
  <si>
    <t>Homoky, Will/HNS-8005-2023; Patey, Matthew D/N-3001-2015; Atkinson, Angus/HOH-3417-2023; Homoky, Will/JCE-2062-2023; Achterberg, Eric P/C-5820-2009; Fielding, Sophie/E-5137-2012; Mills, Rachel/A-1150-2011</t>
  </si>
  <si>
    <t>Patey, Matthew D/0000-0001-8677-2818; CASTRILLEJO, MAXI/0000-0001-5149-2218; Mills, Rachel/0000-0002-9811-246X; Homoky, William/0000-0002-9562-8591</t>
  </si>
  <si>
    <t>NERC-AFI [AFI9/07, NE/F01547X/1]; NERC grant [NE/01249X/1, NE/H004394/1]; NERC [NE/K009532/1]; NERC [NE/F01547X/1, NE/F017197/1, NE/K009532/1, NE/H004394/1, noc010013] Funding Source: UKRI; Natural Environment Research Council [NE/F01547X/1] Funding Source: researchfish</t>
  </si>
  <si>
    <t>NERC-AFI(UK Research &amp; Innovation (UKRI)Natural Environment Research Council (NERC)); NERC grant(UK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</si>
  <si>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the officers and crew of RRS James Clark Ross for assistance with the pelagic sampling and those of RRS James Cook for the benthic coring. In addition, we thank the two anonymous reviewers for reviewing the manuscript. This work forms part of the NERC-AFI grant AFI9/07 to Angus Atkinson and Eric P. Achterberg (NE/F01547X/1). Rachel A. Mills was funded by NERC grants NE/01249X/1 and NE/H004394/1. William B. Homoky was supported by NERC fellowship NE/K009532/1.</t>
  </si>
  <si>
    <t>1726-4170</t>
  </si>
  <si>
    <t>1726-4189</t>
  </si>
  <si>
    <t>Biogeosciences</t>
  </si>
  <si>
    <t>AUG 22</t>
  </si>
  <si>
    <t>10.5194/bg-15-4973-2018</t>
  </si>
  <si>
    <t>Ecology; Geosciences, Multidisciplinary</t>
  </si>
  <si>
    <t>GR2KK</t>
  </si>
  <si>
    <t>Green Accepted, gold, Green Submitted, Green Published</t>
  </si>
  <si>
    <t>WOS:000442399400003</t>
  </si>
  <si>
    <t>Driemel, A; Augustine, J; Behrens, K; Colle, S; Cox, C; Cuevas-Agulló, E; Denn, FM; Duprat, T; Fukuda, M; Grobe, H; Haeffelin, M; Hodges, G; Hyett, N; Ijima, O; Kallis, A; Knap, W; Kustov, V; Long, CN; Longenecker, D; Lupi, A; Maturilli, M; Mimouni, M; Ntsangwane, L; Ogihara, H; Olano, X; Olefs, M; Omori, M; Passamani, L; Pereira, EB; Schmithüsen, H; Schumacher, S; Sieger, R; Tamlyn, J; Vogt, R; Vuilleumier, L; Xia, XG; Ohmura, A; König-Langlo, G</t>
  </si>
  <si>
    <t>Driemel, Amelie; Augustine, John; Behrens, Klaus; Colle, Sergio; Cox, Christopher; Cuevas-Agullo, Emilio; Denn, Fred M.; Duprat, Thierry; Fukuda, Masato; Grobe, Hannes; Haeffelin, Martial; Hodges, Gary; Hyett, Nicole; Ijima, Osamu; Kallis, Ain; Knap, Wouter; Kustov, Vasilii; Long, Charles N.; Longenecker, David; Lupi, Angelo; Maturilli, Marion; Mimouni, Mohamed; Ntsangwane, Lucky; Ogihara, Hiroyuki; Olano, Xabier; Olefs, Marc; Omori, Masao; Passamani, Lance; Pereira, Enio Bueno; Schmithuesen, Holger; Schumacher, Stefanie; Sieger, Rainer; Tamlyn, Jonathan; Vogt, Roland; Vuilleumier, Laurent; Xia, Xiangao; Ohmura, Atsumu; Koenig-Langlo, Gert</t>
  </si>
  <si>
    <t>Baseline Surface Radiation Network (BSRN): structure and data description (1992-2017)</t>
  </si>
  <si>
    <t>Small changes in the radiation budget at the earth's surface can lead to large climatological responses when persistent over time. With the increasing debate on anthropogenic influences on climatic processes during the 1980s the need for accurate radiometric measurements with higher temporal resolution was identified, and it was determined that the existing measurement networks did not have the resolution or accuracy required to meet this need. In 1988 the WMO therefore proposed the establishment of a new international Baseline Surface Radiation Network (BSRN), which should collect and centrally archive high-quality ground-based radiation measurements in 1 min resolution. BSRN began its work in 1992 with 9 stations; currently (status 2018-01-01), the network comprises 59 stations (delivering data to the archive) and 9 candidates (stations recently accepted into the network with data forthcoming to the archive) distributed over all continents and oceanic environments. The BSRN database is the World Radiation Monitoring Center (WRMC). It is hosted at the Alfred Wegener Institute (AWI) in Bremerhaven, Germany, and now offers more than 10 300 months of data from the years 1992 to 2017.</t>
  </si>
  <si>
    <t>[Driemel, Amelie; Grobe, Hannes; Schmithuesen, Holger; Schumacher, Stefanie; Sieger, Rainer; Koenig-Langlo, Gert] Helmholtz Zentrum Polar &amp; Meeresforsch, Alfred Wegener Inst, Bremerhaven, Germany; [Augustine, John; Long, Charles N.; Longenecker, David] NOAA, ESRL, Global Monitoring Div, Boulder, CO USA; [Behrens, Klaus] Richard Assmann Observ, Meteorol Observ Lindenberg, Deutsch Wetterdienst, Tauche, Germany; [Colle, Sergio] Univ Fed Santa Catarina, Florianopolis, SC, Brazil; [Cox, Christopher] NOAA, CIRES, ESRL, Div Phys Sci, Boulder, CO USA; [Cuevas-Agullo, Emilio] Izana Atmospher Res Ctr AEMET, Tenerife, Spain; [Denn, Fred M.] Sci Syst &amp; Applicat Inc, Lanham, MD USA; [Duprat, Thierry] Meteo France, Carpentras, France; [Fukuda, Masato; Ijima, Osamu; Ogihara, Hiroyuki; Omori, Masao] Japan Meteorol Agcy, Tokyo, Japan; [Haeffelin, Martial] Lab Meteorol Dynam, Paris, France; [Hodges, Gary] Univ Colorado, CIRES, Boulder, CO 80309 USA; [Hyett, Nicole; Passamani, Lance] Bur Meteorol, Melbourne, Vic, Australia; [Kallis, Ain] Estonian Environm Agcy, Toravere, Estonia; [Knap, Wouter] Royal Netherlands Meteorol Inst, De Bilt, Netherlands; [Kustov, Vasilii] Arctic &amp; Antarctic Res Inst, St Petersburg, Russia; [Lupi, Angelo] Natl Res Council Italy, Inst Atmospher Sci &amp; Climate, Bologna, Italy; [Maturilli, Marion] Helmholtz Zentrum Polar &amp; Meeresforsch, Alfred Wegener Inst, Potsdam, Germany; [Mimouni, Mohamed] Off Natl Meteorol, Algiers, Algeria; [Ntsangwane, Lucky] South African Weather Serv, Pretoria, South Africa; [Olano, Xabier] Natl Renewable Energy Ctr, Sarriguren, Spain; [Olefs, Marc] ZAMG, Vienna, Austria; [Pereira, Enio Bueno] Inst Nacl Pesquisas Espaciais, Sao Jose Dos Campos, Brazil; [Tamlyn, Jonathan] Met Off, Exeter, Devon, England; [Vogt, Roland] Univ Basel, Dept Environm Sci, Meteorol Climatol &amp; Remote Sensing, Basel, Switzerland; [Vuilleumier, Laurent] MeteoSwiss, Fed Off Meteorol &amp; Climatol, Payerne, Switzerland; [Xia, Xiangao] Chinese Acad Sci, Inst Atmospher Phys, LAGEO, Beijing, Peoples R China; [Behrens, Klaus; Ohmura, Atsumu] Swiss Fed Inst Technol, Inst Atmospher &amp; Climate Sci, Zurich, Switzerland</t>
  </si>
  <si>
    <t>Helmholtz Association; Alfred Wegener Institute, Helmholtz Centre for Polar &amp; Marine Research; National Oceanic Atmospheric Admin (NOAA) - USA; Deutscher Wetterdienst; Universidade Federal de Santa Catarina (UFSC); National Oceanic Atmospheric Admin (NOAA) - USA; University of Colorado System; University of Colorado Boulder; Agencia Estatal de Meteorologia (AEMET); Centro de Investigacion Atmosferica de Izana (CIAI); Science Systems and Applications Inc; Japan Meteorological Agency; Sorbonne Universite; University of Colorado System; University of Colorado Boulder; Bureau of Meteorology - Australia; Royal Netherlands Meteorological Institute; Arctic &amp; Antarctic Research Institute; Consiglio Nazionale delle Ricerche (CNR); Istituto di Scienze dell'Atmosfera e del Clima (ISAC-CNR); Helmholtz Association; Alfred Wegener Institute, Helmholtz Centre for Polar &amp; Marine Research; South African Weather Service (SAWS); Instituto Nacional de Pesquisas Espaciais (INPE); Met Office - UK; University of Basel; Federal Office of Meteorology &amp; Climatology (MeteoSwiss); Chinese Academy of Sciences; Institute of Atmospheric Physics, CAS; Swiss Federal Institutes of Technology Domain; ETH Zurich</t>
  </si>
  <si>
    <t>Driemel, A (corresponding author), Helmholtz Zentrum Polar &amp; Meeresforsch, Alfred Wegener Inst, Bremerhaven, Germany.</t>
  </si>
  <si>
    <t>amelie.driemel@awi.de</t>
  </si>
  <si>
    <t>Cuevas, Emilio/L-2109-2013; Pereira, Enio/AAH-3308-2020; Xia, Xiangao/N-1475-2019; LAPC, IAP/AAI-6991-2020; Xia, Xiangao/G-5545-2011; Schumacher, Stefanie/R-6427-2017; Vuilleumier, Laurent/H-4012-2019; Vogt, Roland/E-1589-2014; Xia, Xiangao/K-8292-2019; Augustine, John/AAG-8203-2019; COX, CHRISTOPHER/O-4276-2016; Maturilli, Marion/A-4344-2017</t>
  </si>
  <si>
    <t>Cuevas, Emilio/0000-0003-1843-8302; Pereira, Enio/0000-0002-5095-0085; LAPC, IAP/0000-0002-0025-3484; Xia, Xiangao/0000-0002-4187-6311; Vuilleumier, Laurent/0000-0003-0222-2566; Xia, Xiangao/0000-0002-4187-6311; Augustine, John/0000-0002-6645-7404; Olefs, Marc/0000-0002-5813-236X; lupi, angelo/0000-0002-5009-9876; COX, CHRISTOPHER/0000-0003-2203-7173; Maturilli, Marion/0000-0001-6818-7383; Driemel, Amelie/0000-0001-8667-5217</t>
  </si>
  <si>
    <t>AUG 21</t>
  </si>
  <si>
    <t>10.5194/essd-10-1491-2018</t>
  </si>
  <si>
    <t>GR0XI</t>
  </si>
  <si>
    <t>WOS:000442248000001</t>
  </si>
  <si>
    <t>Núñez-Pons, L; Work, TM; Angulo-Preckler, C; Moles, J; Avila, C</t>
  </si>
  <si>
    <t>Nunez-Pons, Laura; Work, Thierry M.; Angulo-Preckler, Carlos; Moles, Juan; Avila, Conxita</t>
  </si>
  <si>
    <t>Exploring the pathology of an epidermal disease affecting a circum-Antarctic sea star (vol 8, 11353, 2018)</t>
  </si>
  <si>
    <t>[Nunez-Pons, Laura] Sect Biol &amp; Evolut Marine Organisms BEOM, Stn Zool Anton Dohrn SZN, I-80121 Naples, Italy; [Nunez-Pons, Laura] STRI, Tupper Naos Bocas Toro Labs, Panama City 084303092, Panama; [Work, Thierry M.] US Geol Survey, Natl Wildlife Hlth Ctr, Honolulu Field Stn, Honolulu, HI 96850 USA; [Angulo-Preckler, Carlos; Avila, Conxita] Univ Barcelona, Fac Biol, Dept Evolutionary Biol Ecol &amp; Environm Sci, Ave Diagonal 643, E-08028 Barcelona, Catalonia, Spain; [Angulo-Preckler, Carlos; Avila, Conxita] Univ Barcelona, Fac Biol, Biodivers Res Inst IrBIO, Ave Diagonal 643, E-08028 Barcelona, Catalonia, Spain; [Moles, Juan] Harvard Univ, Museum Comparat Zool, 26 Oxford St, Cambridge, MA 02138 USA; [Moles, Juan] Harvard Univ, Dept Organism &amp; Evolutionary Biol, 26 Oxford St, Cambridge, MA 02138 USA</t>
  </si>
  <si>
    <t>Stazione Zoologica Anton Dohrn di Napoli; Smithsonian Institution; Smithsonian Tropical Research Institute; United States Department of the Interior; United States Geological Survey; University of Barcelona; University of Barcelona; Harvard University; Harvard University</t>
  </si>
  <si>
    <t>Núñez-Pons, L (corresponding author), Sect Biol &amp; Evolut Marine Organisms BEOM, Stn Zool Anton Dohrn SZN, I-80121 Naples, Italy.;Núñez-Pons, L (corresponding author), STRI, Tupper Naos Bocas Toro Labs, Panama City 084303092, Panama.</t>
  </si>
  <si>
    <t>lauguau@gmail.com</t>
  </si>
  <si>
    <t>Moles, Juan/H-4786-2018; Angulo_Preckler, Carlos/A-6456-2011; Avila, Conxita/B-9466-2008; Work, Thierry/F-1550-2015</t>
  </si>
  <si>
    <t>Moles, Juan/0000-0003-4511-4055; Angulo_Preckler, Carlos/0000-0001-9028-274X; Avila, Conxita/0000-0002-5489-8376; Nunez Pons, Laura/0000-0001-8155-3798; Work, Thierry/0000-0002-4426-9090</t>
  </si>
  <si>
    <t>10.1038/s41598-018-31112-2</t>
  </si>
  <si>
    <t>GR1GK</t>
  </si>
  <si>
    <t>WOS:000442279900004</t>
  </si>
  <si>
    <t>Redd, NT</t>
  </si>
  <si>
    <t>Redd, Nola Taylor</t>
  </si>
  <si>
    <t>After years of listening with detectors buried in Antarctic ice, IceCube researchers trace neutrino source</t>
  </si>
  <si>
    <t>10.1073/pnas.1811817115</t>
  </si>
  <si>
    <t>GR1YB</t>
  </si>
  <si>
    <t>WOS:000442351000030</t>
  </si>
  <si>
    <t>Pyle, KM; Hendry, KR; Sherrell, RM; Legge, O; Hind, AJ; Bakker, D; Venables, H; Meredith, MP</t>
  </si>
  <si>
    <t>Pyle, Kimberley M.; Hendry, Katharine R.; Sherrell, Robert M.; Legge, Oliver; Hind, Andrew J.; Bakker, Dorothee; Venables, Hugh; Meredith, Michael P.</t>
  </si>
  <si>
    <t>Oceanic fronts control the distribution of dissolved barium in the Southern Ocean</t>
  </si>
  <si>
    <t>MARINE CHEMISTRY</t>
  </si>
  <si>
    <t>ORGANIC-CARBON REMINERALIZATION; ANTARCTIC CIRCUMPOLAR CURRENT; MARINE BARITE; PACIFIC SECTOR; SILICIC-ACID; BOTTOM-WATER; POLAR FRONT; SCOTIA SEA; CIRCULATION; EXPORT</t>
  </si>
  <si>
    <t>The globally-observed relationship between oceanic barium and the macronutrient silicic acid results from the shared influence of large-scale ocean circulation and mixing on the two elements, and the inherent link between barium and organic matter formation and dissolution. A detailed examination of deviations from barium-silicon correlations can reveal variations in non-conservative processes within the marine barium cycle. Here, we present a high-resolution dataset of dissolved barium and macronutrients from the Drake Passage and the Scotia and Weddell Seas. Our new results highlight the influence of Southern Ocean frontal zones on barium cycling and the deviations of barium and macronutrient distributions as a result of spatial variations in phytoplankton assemblages and in barite formation processes. These new data also reinforce findings that water mass mixing and ocean circulation, in particular the location of oxygen minima, play a key role in barium distribution. Our findings have implications for the use of sedimentary barium as a proxy for export production, which may be complicated by physical water circulation changes or shifts in plankton community structure.</t>
  </si>
  <si>
    <t>[Pyle, Kimberley M.; Hendry, Katharine R.] Univ Bristol, Sch Earth Sci, Wills Mem Bldg,Queens Rd, Bristol BS8 1RJ, Avon, England; [Sherrell, Robert M.] Rutgers State Univ, Dept Marine &amp; Coastal Sci, New Brunswick, NJ USA; [Sherrell, Robert M.] Rutgers State Univ, Dept Earth &amp; Planetary Sci, New Brunswick, NJ USA; [Legge, Oliver; Hind, Andrew J.; Bakker, Dorothee] Univ East Anglia, Sch Environm Sci, Ctr Ocean &amp; Atmospher Sci, Norwich NR4 7TJ, Norfolk, England; [Venables, Hugh; Meredith, Michael P.] British Antarctic Survey, Madingley Rd, Cambridge CB3 0ET, England</t>
  </si>
  <si>
    <t>University of Bristol; Rutgers University System; Rutgers University New Brunswick; Rutgers University System; Rutgers University New Brunswick; University of East Anglia; UK Research &amp; Innovation (UKRI); Natural Environment Research Council (NERC); NERC British Antarctic Survey</t>
  </si>
  <si>
    <t>Hendry, KR (corresponding author), Univ Bristol, Sch Earth Sci, Wills Mem Bldg,Queens Rd, Bristol BS8 1RJ, Avon, England.</t>
  </si>
  <si>
    <t>k.hendry@bristol.ac.uk</t>
  </si>
  <si>
    <t>Hendry, Katharine/E-4793-2011; Bakker, Dorothee/E-4951-2015</t>
  </si>
  <si>
    <t>Hendry, Katharine/0000-0002-0790-5895; Hind, Andrew/0000-0001-6213-6403; Meredith, Michael/0000-0002-7342-7756; Bakker, Dorothee/0000-0001-9234-5337</t>
  </si>
  <si>
    <t>NERC PhD Studentship; EU FP7_PEOPLE20120-CIG [320070]; Royal Society University Research Fellowship; NERC [bas0100033] Funding Source: UKRI</t>
  </si>
  <si>
    <t>NERC PhD Studentship(UK Research &amp; Innovation (UKRI)Natural Environment Research Council (NERC)); EU FP7_PEOPLE20120-CIG(European Union (EU)); Royal Society University Research Fellowship(Royal Society); NERC(UK Research &amp; Innovation (UKRI)Natural Environment Research Council (NERC))</t>
  </si>
  <si>
    <t>We would like to thank the captain and crew of the RRS James Clark Ross. KMP was supported by a NERC PhD Studentship. Many thanks to Christopher D. Coath for help in the laboratory. The labwork and barium analyses were funded by a grant to KH (EU FP7_PEOPLE20120-CIG Proposal number 320070). KH is also funded by a Royal Society University Research Fellowship.</t>
  </si>
  <si>
    <t>0304-4203</t>
  </si>
  <si>
    <t>1872-7581</t>
  </si>
  <si>
    <t>MAR CHEM</t>
  </si>
  <si>
    <t>Mar. Chem.</t>
  </si>
  <si>
    <t>AUG 20</t>
  </si>
  <si>
    <t>10.1016/j.marchem.2018.07.002</t>
  </si>
  <si>
    <t>Chemistry, Multidisciplinary; Oceanography</t>
  </si>
  <si>
    <t>Chemistry; Oceanography</t>
  </si>
  <si>
    <t>GS5AH</t>
  </si>
  <si>
    <t>WOS:000443668500009</t>
  </si>
  <si>
    <t>Verbitsky, MY; Crucifix, M; Volobuev, DM</t>
  </si>
  <si>
    <t>Verbitsky, Mikhail Y.; Crucifix, Michel; Volobuev, Dmitry M.</t>
  </si>
  <si>
    <t>A theory of Pleistocene glacial rhythmicity</t>
  </si>
  <si>
    <t>EARTH SYSTEM DYNAMICS</t>
  </si>
  <si>
    <t>ANTARCTIC ICE-SHEET; SEA-LEVEL; PHASE-SPACE; MODEL; CYCLES; CO2; TRANSITION; CLIMATE; DRIVEN; OSCILLATIONS</t>
  </si>
  <si>
    <t>Variations in Northern Hemisphere ice volume over the past 3 million years have been described in numerous studies and well documented. These studies depict the mid-Pleistocene transition from 40 kyr oscillations of global ice to predominantly 100 kyr oscillations around 1 million years ago. It is generally accepted to attribute the 40 kyr period to astronomical forcing and to attribute the transition to the 100 kyr mode to a phenomenon caused by a slow trend, which around the mid-Pleistocene enabled the manifestation of nonlinear processes. However, both the physical nature of this nonlinearity and its interpretation in terms of dynamical systems theory are debated. Here, we show that ice-sheet physics coupled with a linear climate temperature feedback conceal enough dynamics to satisfactorily explain the system response over the full Pleistocene. There is no need, a priori, to call for a nonlinear response of the carbon cycle. Without astronomical forcing, the obtained dynamical system evolves to equilibrium. When it is astronomically forced, depending on the values of the parameters involved, the system is capable of producing different modes of nonlinearity and consequently different periods of rhythmicity. The crucial factor that defines a specific mode of system response is the relative intensity of glaciation (negative) and climate temperature (positive) feedbacks. To measure this factor, we introduce a dimensionless variability number, V. When positive feedback is weak (V similar to 0), the system exhibits fluctuations with dominating periods of about 40 kyr which is in fact a combination of a doubled precession period and (to smaller extent) obliquity period. When positive feedback increases (V similar to 0.75), the system evolves with a roughly 100 kyr period due to a doubled obliquity period. If positive feedback increases further (V similar to 0.95), the system produces fluctuations of about 400 kyr. When the V number is gradually increased from its low early Pleistocene values to its late Pleistocene value of V similar to 0.75, the system reproduces the mid-Pleistocene transition from mostly 40 kyr fluctuations to a 100 kyr period rhythmicity. Since the V number is a combination of multiple parameters, it implies that multiple scenarios are possible to account for the mid-Pleistocene transition. Thus, our theory is capable of explaining all major features of the Pleistocene climate, such as the mostly 40 kyr fluctuations of the early Pleistocene, a transition from an early Pleistocene type of nonlinear regime to a late Pleistocene type of nonlinear regime, and the 100 kyr fluctuations of the late Pleistocene. When the dynamical climate system is expanded to include Antarctic glaciation, it becomes apparent that climate temperature positive feedback (or its absence) plays a crucial role in the Southern Hemisphere as well. While the Northern Hemisphere insolation impact is amplified by the outside-of-glacier climate and eventually affects Antarctic surface and basal temperatures, the Antarctic ice-sheet area of glaciation is limited by the area of the Antarctic continent, and therefore it cannot engage in strong positive climate feedback. This may serve as a plausible explanation for the synchronous response of the Northern and Southern Hemisphere to Northern Hemisphere insolation variations. Given that the V number is dimensionless, we consider that this model could be used as a framework to investigate other physics that may possibly be involved in producing ice ages. In such a case, the equation currently representing climate temperature would describe some other climate component of interest, and as long as this component is capable of producing an appropriate V number, it may perhaps be considered a feasible candidate.</t>
  </si>
  <si>
    <t>[Verbitsky, Mikhail Y.; Volobuev, Dmitry M.] Russian Acad Sci Pulkovo, Cent Astron Observ, St Petersburg, Russia; [Crucifix, Michel] Catholic Univ Louvain, Georges Lemaitre Ctr Earth &amp; Climate Res, Earth &amp; Life Inst, Louvain La Neuve, Belgium</t>
  </si>
  <si>
    <t>Pulkovo Observatory; Russian Academy of Sciences; St. Petersburg Scientific Centre of the Russian Academy of Sciences; Universite Catholique Louvain</t>
  </si>
  <si>
    <t>Verbitsky, MY (corresponding author), Russian Acad Sci Pulkovo, Cent Astron Observ, St Petersburg, Russia.</t>
  </si>
  <si>
    <t>verbitskys@gmail.com</t>
  </si>
  <si>
    <t>Volobuev, Dmitry/C-2953-2014</t>
  </si>
  <si>
    <t>Volobuev, Dmitry/0000-0002-5407-3155; Crucifix, Michel/0000-0002-3437-4911</t>
  </si>
  <si>
    <t>2190-4979</t>
  </si>
  <si>
    <t>2190-4987</t>
  </si>
  <si>
    <t>EARTH SYST DYNAM</t>
  </si>
  <si>
    <t>Earth Syst. Dynam.</t>
  </si>
  <si>
    <t>10.5194/esd-9-1025-2018</t>
  </si>
  <si>
    <t>GQ9QD</t>
  </si>
  <si>
    <t>WOS:000442117400001</t>
  </si>
  <si>
    <t>Hernández, AC; Bastias, J; Matus, D; Mahaney, WC</t>
  </si>
  <si>
    <t>Hernandez, Ana C.; Bastias, Joaquin; Matus, Daniela; Mahaney, William C.</t>
  </si>
  <si>
    <t>Provenance, transport and diagenesis of sediment in polar areas: a case study in Profound Lake, King George Island, Antarctica</t>
  </si>
  <si>
    <t>lake sediment; micro-texture characteristics; hydrothermal alteration; quartz grain micromorphology; environmental interpretation; EDS: energy dispersive spectrometry; SEM: scanning electron microscopy; XRD: x-ray diffraction</t>
  </si>
  <si>
    <t>SURFACE TEXTURAL ANALYSIS; SOUTH-SHETLAND ISLANDS; QUARTZ SAND GRAINS; MARITIME ANTARCTICA; SEM MICROTEXTURES; FILDES PENINSULA; PALEOCLIMATE; PALEOSOLS; EVOLUTION; MOUNTAIN</t>
  </si>
  <si>
    <t>Detailed scanning electron microscopy (SEM) micro-texture and mineralogical analysis of lacustrine sediment recovered from Profound Lake (also known as Uruguay Lake), Antarctica, was conducted in the foreland area of the Collins Glacier, King George Island. Very coarse and coarse sand grade size fractions (2 mm - 600 m) were examined with SEM/energy dispersive spectrometry, while the total sand fraction and fines (silt + clay) were examined using x-ray diffraction to determine relationships to source rock, weathering and transport history and long-term clay mineral weathering, all of which are poorly understood in polar areas. The mineralogy of these sediments was compared with petrographical information of the country rock to identify potential detrital sources. The association of recovered detrital minerals, sometimes strongly pre-weathered, supports release from source rock of basaltic and andesitic compositions. The micro-texture analysis of quartz, magnetite and various plagioclase grains show micro-features that reveal a complex weathering-diagenesis history tentatively extending into the Paleogene. The bedrock was eroded mostly by glacial processes and mechanical action presumed to result from glacial crushing. Alteration minerals, likely the product of pre-weathering, are probably sourced from weathered bedrock during contact with the sub-aerial atmosphere prior to entrainment. However, amorphous silica precipitation indicates weathering subsequent to glacial erosion from the source bedrock. Cracks of variable dimensions are mostly characteristic of either frost weathering or glacial transport, and involve mechanical and chemical processes.</t>
  </si>
  <si>
    <t>[Hernandez, Ana C.] Inst Venezolano Invest Cient, Ctr Oceanol &amp; Estudios Antart, Caracas, Venezuela; [Hernandez, Ana C.] Univ Cent Venezuela, Dept Geol, Escuela Geol Minas &amp; Geofis, Fac Ingn, Ciudad Univ, Caracas, Venezuela; [Bastias, Joaquin] Univ Geneva, Dept Earth Sci, 13 Rue Maraichers, CH-1205 Geneva, Switzerland; [Bastias, Joaquin] Univ Chile, Dept Geol, Santiago, Chile; [Matus, Daniela] Univ Andres Bello, Escuela Ciencias Tierra, Santiago, Chile; [Mahaney, William C.] Quaternary Surveys, Thornhill, ON, Canada</t>
  </si>
  <si>
    <t>Venezuelan Institute Science Research; University of Central Venezuela; University of Geneva; Universidad de Chile; Universidad Andres Bello</t>
  </si>
  <si>
    <t>Bastias, J (corresponding author), Univ Geneva, Dept Earth Sci, 13 Rue Maraichers, CH-1205 Geneva, Switzerland.</t>
  </si>
  <si>
    <t>j.bastias.silva@gmail.com</t>
  </si>
  <si>
    <t>Bastias, Joaquin/A-6995-2016</t>
  </si>
  <si>
    <t>Bastias, Joaquin/0000-0001-6678-3173</t>
  </si>
  <si>
    <t>Venezuelan Antarctic Program of the Ministerio del Poder Popular para la Ciencia, Tecnologia e Innovacion; Instituto Antartico Chileno project [INACH RT0614]</t>
  </si>
  <si>
    <t>Venezuelan Antarctic Program of the Ministerio del Poder Popular para la Ciencia, Tecnologia e Innovacion; Instituto Antartico Chileno project</t>
  </si>
  <si>
    <t>This study was supported by the Venezuelan Antarctic Program of the Ministerio del Poder Popular para la Ciencia, Tecnologia e Innovacion. JB acknowledges the Instituto Antartico Chileno project INACH RT0614, which supported his participation.</t>
  </si>
  <si>
    <t>10.1080/17518369.2018.1490619</t>
  </si>
  <si>
    <t>GR1JX</t>
  </si>
  <si>
    <t>WOS:000442293400001</t>
  </si>
  <si>
    <t>Schlitzer, R; Anderson, RF; Dodas, EM; Lohan, M; Geibere, W; Tagliabue, A; Bowie, A; Jeandel, C; Maldonado, MT; Landing, WM; Cockwell, D; Abadie, C; Abouchami, W; Achterberg, EP; Agather, A; Aguliar-Islas, A; van Aken, HM; Andersen, M; Archer, C; Auro, M; de Baar, HJ; Baars, O; Baker, AR; Bakker, K; Basak, C; Baskaran, M; Bates, NR; Bauch, D; van Beek, P; Behrens, MK; Black, E; Bluhm, K; Bopp, L; Bouman, H; Bowman, K; Bown, J; Boyd, P; Boye, M; Boyle, EA; Branellec, P; Bridgestock, L; Brissebrat, G; Browning, T; Bruland, KW; Brumsack, HJ; Brzezinski, M; Buck, CS; Buck, KN; Buesseler, K; Bull, A; Butler, E; Cai, P; Mor, PC; Cardinal, D; Carlson, C; Carrasco, G; Casacuberta, N; Casciotti, KL; Castrillejo, M; Chamizo, E; Chance, R; Charette, MA; Chaves, JE; Cheng, H; Chever, F; Christl, M; Church, TM; Closset, I; Colman, A; Conway, TM; Cossa, D; Croot, P; Cullen, JT; Cutter, GA; Daniels, C; Dehairs, F; Deng, FF; Dieu, HT; Duggan, B; Dulaquais, G; Dumousseaud, C; Echegoyen-Sanz, Y; Edwards, RL; Ellwood, M; Fahrbach, E; Fitzsimmons, JN; Flegal, AR; Fleisher, MQ; van de Flierdt, T; Frank, M; Friedrich, J; Fripiat, F; Fröllje, H; Galer, SJG; Gamo, T; Ganeshram, RS; Garcia-Orellana, J; Garcia-Solsona, E; Gault-Ringold, M; George, E; Gerringa, LJA; Gilbert, M; Godoy, JM; Goldstein, SL; Gonzalez, SR; Grissom, K; Hammerschmidt, C; Hartman, A; Hassler, CS; Hathorne, EC; Hatta, M; Hawco, N; Hayes, CT; Heimbürger, LE; Helgoe, J; Heller, M; Henderson, GM; Henderson, PB; van Heuven, S; Ho, P; Horner, TJ; Hsieh, YT; Huang, KF; Humphreys, MP; Isshiki, K; Jacquot, JE; Janssen, DJ; Jenkins, WJ; John, S; Jones, EM; Jones, JL; Kadko, DC; Kayser, R; Kenna, TC; Khondoker, R; Kim, T; Kipp, L; Klar, JK; Klunder, M; Kretschmer, S; Kumamoto, Y; Laan, P; Labatut, M; Lacan, F; Lam, PJ; Lambelet, M; Lamborg, CH; Le Moigne, FAC; Le Roy, E; Lechtenfeld, OJ; Lee, JM; Lherminier, P; Little, S; López-Lora, M; Lu, YB; Masque, P; Mawji, E; Mcclain, CR; Measures, C; Mehic, S; Menzel Barraqueta, JL; van der Merwe, P; Middag, R; Mieruch, S; Milne, A; Minami, T; Moffett, JW; Moncoiffe, G; Moore, WS; Morris, PJ; Morton, PL; Nakaguchi, Y; Nakayama, N; Niedermiller, J; Nishioka, J; Nishiuchi, A; Noble, A; Obata, H; Ober, S; Ohnemus, DC; van Ooijen, J; O'Sullivan, J; Owens, S; Pahnke, K; Paul, M; Pavia, F; Pena, LD; Petersh, B; Planchon, F; Planquette, H; Pradoux, C; Puigcorbé, V; Quay, P; Queroue, F; Radic, A; Rauschenberg, S; Rehkämper, M; Rember, R; Remenyi, T; Resing, JA; Rickli, J; Rigaud, S; Rijkenberg, MJA; Rintoul, S; Robinson, LF; Roca-Martí, M; Rodellas, V; Roeske, T; Rolison, JM; Rosenberg, M; Roshan, S; van der Loaff, MMR; Ryabenko, E; Saito, MA; Salt, LA; Sanial, V; Sarthou, G; Schallenberg, C; Schauer, U; Scher, H; Schlosser, C; Schnetger, B; Scott, P; Sedwick, PN; Semiletov, I; Shelley, R; Sherrell, RM; Shiller, AM; Sigman, DM; Singh, SK; Slagter, HA; Slater, E; Smethie, WM; Snaith, H; Sohrin, Y; Sohst, B; Sonke, JE; Speich, S; Steinfeldt, R; Stewart, G; Stichel, T; Stirling, CH; Stutsman, J; Swarr, GJ; Swift, JH; Thomas, A; Thorne, K; Till, CP; Till, R; Townsend, AT; Townsend, E; Tuerena, R; Twining, BS; Vance, D; Velazquez, S; Venchiarutti, C; Villa-Alfageme, M; Vivancos, SM; Voelker, AHL; Wake, B; Warner, MJ; Watson, R; van Weerlee, E; Weigand, MA; Weinstein, Y; Weiss, D; Wisotzki, A; Woodward, EMS; Wu, JF; Wu, YZ; Wuttig, K; Wyatt, N; Xiang, Y; Xie, RFC; Xue, ZC; Yoshikawa, H; Zhang, J; Zhang, P; Zhao, Y; Zheng, LJ; Zheng, XY; Zieringer, M; Zimmer, LA; Ziveri, P; Zunino, P; Zurbrick, C</t>
  </si>
  <si>
    <t>Schlitzer, Reiner; Anderson, Robert F.; Dodas, Elena Masferrer; Lohan, Maeve; Geibere, Walter; Tagliabue, Alessandro; Bowie, Andrew; Jeandel, Catherine; Maldonado, Maria T.; Landing, William M.; Cockwell, Donna; Abadie, Cyril; Abouchami, Wafa; Achterberg, Eric P.; Agather, Alison; Aguliar-Islas, Ana; van Aken, Hendrik M.; Andersen, Morten; Archer, Corey; Auro, Maureen; de Baar, Hein J.; Baars, Oliver; Baker, Alex R.; Bakker, Karel; Basak, Chandranath; Baskaran, Mark; Bates, Nicholas R.; Bauch, Dorothea; van Beek, Pieter; Behrens, Melanie K.; Black, Erin; Bluhm, Katrin; Bopp, Laurent; Bouman, Heather; Bowman, Katlin; Bown, Johann; Boyd, Philip; Boye, Marie; Boyle, Edward A.; Branellec, Pierre; Bridgestock, Luke; Brissebrat, Guillaume; Browning, Thomas; Bruland, Kenneth W.; Brumsack, Hans-Juergen; Brzezinski, Mark; Buck, Clifton S.; Buck, Kristen N.; Buesseler, Ken; Bull, Abby; Butler, Edward; Cai, Pinghe; Camara Mor, Patricia; Cardinal, Damien; Carlson, Craig; Carrasco, Gonzalo; Casacuberta, Nuria; Casciotti, Karen L.; Castrillejo, Maxi; Chamizo, Elena; Chance, Rosie; Charette, Matthew A.; Chaves, Joaquin E.; Cheng, Hai; Chever, Fanny; Christl, Marcus; Church, Thomas M.; Closset, Ivia; Colman, Albert; Conway, Tim M.; Cossa, Daniel; Croot, Peter; Cullen, Jay T.; Cutter, Gregory A.; Daniels, Chris; Dehairs, Frank; Deng, Feifei; Dieu, Huong Thi; Duggan, Brian; Dulaquais, Gabriel; Dumousseaud, Cynthia; Echegoyen-Sanz, Yolanda; Edwards, R. Lawrence; Ellwood, Michael; Fahrbach, Eberhard; Fitzsimmons, Jessica N.; Flegal, A. Russell; Fleisher, Martin Q.; van de Flierdt, Tina; Frank, Martin; Friedrich, Jana; Fripiat, Francois; Froellje, Henning; Galer, Stephen J. G.; Gamo, Toshitaka; Ganeshram, Raja S.; Garcia-Orellana, Jordi; Garcia-Solsona, Ester; Gault-Ringold, Melanie; George, Ejin; Gerringa, Loes J. A.; Gilbert, Melissa; Godoy, Jose M.; Goldstein, Steven L.; Gonzalez, Santiago R.; Grissom, Karen; Hammerschmidt, Chad; Hartman, Alison; Hassler, Christel S.; Hathorne, Ed C.; Hatta, Mariko; Hawco, Nicholas; Hayes, Christopher T.; Heimburger, Lars-Eric; Helgoe, Josh; Heller, Maija; Henderson, Gideon M.; Henderson, Paul B.; van Heuven, Steven; Ho, Peng; Horner, Tristan J.; Hsieh, Yu-Te; Huang, Kuo-Fang; Humphreys, Matthew P.; Isshiki, Kenji; Jacquot, Jeremy E.; Janssen, David J.; Jenkins, William J.; John, Seth; Jones, Elizabeth M.; Jones, Janice L.; Kadko, David C.; Kayser, Rick; Kenna, Timothy C.; Khondoker, Roulin; Kim, Taejin; Kipp, Lauren; Klar, Jessica K.; Klunder, Maarten; Kretschmer, Sven; Kumamoto, Yuichiro; Laan, Patrick; Labatut, Marie; Lacan, Francois; Lam, Phoebe J.; Lambelet, Myriam; Lamborg, Carl H.; Le Moigne, Frederic A. C.; Le Roy, Emilie; Lechtenfeld, Oliver J.; Lee, Jong-Mi; Lherminier, Pascale; Little, Susan; Lopez-Lora, Mercedes; Lu, Yanbin; Masque, Pere; Mawji, Edward; Mcclain, Charles R.; Measures, Christopher; Mehic, Sanjin; Menzel Barraqueta, Jan-Lukas; van der Merwe, Pier; Middag, Rob; Mieruch, Sebastian; Milne, Angela; Minami, Tomoharu; Moffett, James W.; Moncoiffe, Gwenaelle; Moore, Willard S.; Morris, Paul J.; Morton, Peter L.; Nakaguchi, Yuzuru; Nakayama, Noriko; Niedermiller, John; Nishioka, Jun; Nishiuchi, Akira; Noble, Abigail; Obata, Hajime; Ober, Sven; Ohnemus, Daniel C.; van Ooijen, Jan; O'Sullivan, Jeanette; Owens, Stephanie; Pahnke, Katharina; Paul, Maxence; Pavia, Frank; Pena, Leopoldo D.; Petersh, Brian; Planchon, Frederic; Planquette, Helene; Pradoux, Catherine; Puigcorbe, Viena; Quay, Paul; Queroue, Fabien; Radic, Amandine; Rauschenberg, S.; Rehkamper, Mark; Rember, Robert; Remenyi, Tomas; Resing, Joseph A.; Rickli, Joerg; Rigaud, Sylvain; Rijkenberg, Micha J. A.; Rintoul, Stephen; Robinson, Laura F.; Roca-Marti, Montserrat; Rodellas, Valenti; Roeske, Tobias; Rolison, John M.; Rosenberg, Mark; Roshan, Saeed; van der Loaff, Michiel M. Rutgers; Ryabenko, Evgenia; Saito, Mak A.; Salt, Lesley A.; Sanial, Virginie; Sarthou, Geraldine; Schallenberg, Christina; Schauer, Ursula; Scher, Howie; Schlosser, Christian; Schnetger, Bernhard; Scott, Peter; Sedwick, Peter N.; Semiletov, Igor; Shelley, Rachel; Sherrell, Robert M.; Shiller, Alan M.; Sigman, Daniel M.; Singh, Sunil Kumar; Slagter, Hans A.; Slater, Emma; Smethie, William M.; Snaith, Helen; Sohrin, Yoshiki; Sohst, Bettina; Sonke, Jeroen E.; Speich, Sabrina; Steinfeldt, Reiner; Stewart, Gillian; Stichel, Torben; Stirling, Claudine H.; Stutsman, Johnny; Swarr, Gretchen J.; Swift, James H.; Thomas, Alexander; Thorne, Kay; Till, Claire P.; Till, Ralph; Townsend, Ashley T.; Townsend, Emily; Tuerena, Robyn; Twining, Benjamin S.; Vance, Derek; Velazquez, Sue; Venchiarutti, Celia; Villa-Alfageme, Maria; Vivancos, Sebastian M.; Voelker, Antje H. L.; Wake, Bronwyn; Warner, Mark J.; Watson, Ros; van Weerlee, Evaline; Weigand, M. Alexandra; Weinstein, Yishai; Weiss, Dominik; Wisotzki, Andreas; Woodward, E. Malcolm S.; Wu, Jingfeng; Wu, Yingzhe; Wuttig, Kathrin; Wyatt, Neil; Xiang, Yang; Xie, Ruifang C.; Xue, Zichen; Yoshikawa, Hisayuki; Zhang, Jing; Zhang, Pu; Zhao, Ye; Zheng, Linjie; Zheng, Xin-Yuan; Zieringer, Moritz; Zimmer, Louise A.; Ziveri, Patrizia; Zunino, Patricia; Zurbrick, Cheryl</t>
  </si>
  <si>
    <t>The GEOTRACES Intermediate Data Product 2017</t>
  </si>
  <si>
    <t>CHEMICAL GEOLOGY</t>
  </si>
  <si>
    <t>GEOTRACES; Trace elements; Isotopes; Electronic atlas; IDP2017</t>
  </si>
  <si>
    <t>MODELS</t>
  </si>
  <si>
    <t>The GEOTRACES Intermediate Data Product 2017 (IDP2017) is the second publicly available data product of the international GEOTRACES programme, and contains data measured and quality controlled before the end of 2016. The IDP2017 includes data from the Atlantic, Pacific, Arctic, Southern and Indian oceans, with about twice the data volume of the previous IDP2014. For the first time, the IDP2017 contains data for a large suite of biogeochemical parameters as well as aerosol and rain data characterising atmospheric trace element and isotope (TEI) sources. The TEI data in the IDP2017 are quality controlled by careful assessment of intercalibration results and multi-laboratory data comparisons at crossover stations. The IDP2017 consists of two parts: (1) a compilation of digital data for more than 450 TEIs as well as standard hydrographic parameters, and (2) the eGEOTRACES Electronic Atlas providing an on-line atlas that includes more than 590 section plots and 130 animated 3D scenes. The digital data are provided in several formats, including ASCII, Excel spreadsheet, netCDF, and Ocean Data View collection. Users can download the full data packages or make their own custom selections with a new on-line data extraction service. In addition to the actual data values, the IDP2017 also contains data quality flags and 1-s data error values where available. Quality flags and error values are useful for data filtering and for statistical analysis. Metadata about data originators, analytical methods and original publications related to the data are linked in an easily accessible way. The eGEOTRACES Electronic Atlas is the visual representation of the IDP2017 as section plots and rotating 3D scenes. The basin-wide 3D scenes combine data from many cruises and provide quick overviews of large-scale tracer distributions. These 3D scenes provide geographical and bathymetric context that is crucial for the interpretation and assessment of tracer plumes near ocean margins or along ridges. The IDP2017 is the result of a truly international effort involving 326 researchers from 25 countries. This publication provides the critical reference for unpublished data, as well as for studies that make use of a large cross-section of data from the IDP2017. This article is part of a special issue entitled: Conway GEOTRACES-edited by Tim M. Conway, Tristan Horner, Yves Plancherel, and Aridane G. Gonzalez.</t>
  </si>
  <si>
    <t>[Schlitzer, Reiner; Geibere, Walter; Fahrbach, Eberhard; Friedrich, Jana; Kretschmer, Sven; Mieruch, Sebastian; Roeske, Tobias; van der Loaff, Michiel M. Rutgers; Schauer, Ursula; Venchiarutti, Celia; Wisotzki, Andreas] Helmholtz Ctr Polar &amp; Marine Res, Alfred Wegener Inst, Handelshafen 12, D-27570 Bremerhaven, Germany; [Anderson, Robert F.; Fleisher, Martin Q.; Goldstein, Steven L.; Hartman, Alison; Kenna, Timothy C.; Pavia, Frank; Pena, Leopoldo D.; Smethie, William M.; Vivancos, Sebastian M.; Wu, Yingzhe] Columbia Univ, Lamont Doherty Earth Observ, POB 1000,61 Route 9W, Palisades, NY 10964 USA; [Dodas, Elena Masferrer; Jeandel, Catherine; Abadie, Cyril; van Beek, Pieter; Klar, Jessica K.; Labatut, Marie; Lacan, Francois; Le Roy, Emilie; Pradoux, Catherine; Radic, Amandine] Univ Toulouse, LEGOS, CNRS, IRD,CNES,UPS, Toulouse, France; [Milne, Angela] Univ Plymouth, Sch Geog Earth &amp; Environm Sci, Plymouth PL4 8AA, Devon, England; [Tagliabue, Alessandro] Univ Liverpool, Sch Environm Sci, Dept Earth Ocean &amp; Ecol Sci, Liverpool, Merseyside, England; [Bowie, Andrew; Boyd, Philip; Gault-Ringold, Melanie; van der Merwe, Pier; Remenyi, Tomas; Rintoul, Stephen; Rosenberg, Mark; Schallenberg, Christina; Wuttig, Kathrin] Univ Tasmania, Antarctic Climate &amp; Ecosyst CRC, Private Bag 80, Hobart, Tas 7001, Australia; [Bowie, Andrew; Boyd, Philip; Gault-Ringold, Melanie; van der Merwe, Pier; Remenyi, Tomas; Rintoul, Stephen; Rosenberg, Mark; Schallenberg, Christina; Wuttig, Kathrin] Univ Tasmania, Inst Marine &amp; Antarctic Studies, Private Bag 80, Hobart, Tas 7001, Australia; [van Aken, Hendrik M.; de Baar, Hein J.; Bakker, Karel; Gerringa, Loes J. A.; Gonzalez, Santiago R.; van Heuven, Steven; Jones, Elizabeth M.; Klunder, Maarten; Middag, Rob; Ober, Sven; van Ooijen, Jan; Rijkenberg, Micha J. A.; Salt, Lesley A.; Slagter, Hans A.; van Weerlee, Evaline] NIOZ Royal Netherlands Inst Sea Res, POB 59, NL-1790 AB Den Burg, Netherlands; [van Aken, Hendrik M.; de Baar, Hein J.; Bakker, Karel; Gerringa, Loes J. A.; Gonzalez, Santiago R.; van Heuven, Steven; Jones, Elizabeth M.; Klunder, Maarten; Middag, Rob; Ober, Sven; van Ooijen, Jan; Rijkenberg, Micha J. A.; Salt, Lesley A.; Slagter, Hans A.; van Weerlee, Evaline] Univ Utrecht, POB 59, NL-1790 AB Den Burg, Netherlands; [Maldonado, Maria T.] Univ British Columbia, Dept Earth Ocean &amp; Atmospher Sci, Earth Sci Bldg,2207 Main Mall, Vancouver, BC V6T 1Z4, Canada; [Baskaran, Mark; Niedermiller, John] Wayne State Univ, Dept Geol, 0224 Old Main,4841 Cass Ave, Detroit, MI 48202 USA; [Bates, Nicholas R.; Buck, Kristen N.] Bermuda Inst Ocean Sci, 17 Biol Lane,GE01, Ferry Reach, St Georges, Bermuda; [Achterberg, Eric P.; Baars, Oliver; Bauch, Dorothea; Browning, Thomas; Frank, Martin; Hathorne, Ed C.; Le Moigne, Frederic A. C.; Menzel Barraqueta, Jan-Lukas; Ryabenko, Evgenia; Schlosser, Christian; Xie, Ruifang C.; Zieringer, Moritz] Helmholtz Ctr Ocean Res Kiel, GEOMAR, Wischhofstr 1-3, D-24148 Kiel, Germany; [Bown, Johann; Boye, Marie; Chever, Fanny; Dulaquais, Gabriel; Planchon, Frederic; Planquette, Helene; Queroue, Fabien; Sarthou, Geraldine; Shelley, Rachel; Wake, Bronwyn] IUEM, UMR CNRS UBO IRD Ifremer 6539, LEMAR, Lab Marine Environm Sci, Pl Nicolas Copernic,Technopole Brest Iroise, F-29280 Plouzane, France; [Boyle, Edward A.; Carrasco, Gonzalo; Echegoyen-Sanz, Yolanda; Kayser, Rick; Zurbrick, Cheryl] MIT, Dept Earth Atmospher &amp; Planetary Sci, Bldg E25-619,77 Massachusetts Ave, Cambridge, MA 02139 USA; [Bowman, Katlin; Bruland, Kenneth W.; Lam, Phoebe J.; Lamborg, Carl H.; Lee, Jong-Mi; Mehic, Sanjin; Till, Claire P.; Xiang, Yang] Univ Calif Santa Cruz, Dept Ocean Sci, 1156 High 54, Santa Cruz, CA 95064 USA; [Brzezinski, Mark; Carlson, Craig; Closset, Ivia; Heller, Maija; Jones, Janice L.] Univ Calif Santa Barbara, Marine Sci Inst, Santa Barbara, CA 93106 USA; [Auro, Maureen; Black, Erin; Buesseler, Ken; Charette, Matthew A.; Hawco, Nicholas; Henderson, Paul B.; Horner, Tristan J.; Jenkins, William J.; Kipp, Lauren; Morris, Paul J.; Owens, Stephanie; Robinson, Laura F.; Saito, Mak A.; Sanial, Virginie; Swarr, Gretchen J.] Woods Hole Oceanog Inst, Dept Marine Chem &amp; Geochem, 266 Woods Hole Rd, Woods Hole, MA 02543 USA; [Butler, Edward] Australian Inst Marine Sci, POB 41775, Casuarina, NT 0811, Australia; [Cai, Pinghe] Xiamen Univ, State Key Lab Marine Environm Sci, 422 Siming South Rd, Xiamen 361005, Peoples R China; [Chaves, Joaquin E.; Mcclain, Charles R.] NASA, Goddard Space Flight Ctr, Ocean Ecol Lab, Code 616, Greenbelt, MD 20771 USA; [Cheng, Hai] Xi An Jiao Tong Univ, Inst Global Environm Change, 99 Yanxiang Rd,Western 1 Bldg, Xian 710049, Shaanxi, Peoples R China; [Sigman, Daniel M.; Weigand, M. Alexandra] Princeton Univ, Dept Geosci, Princeton, NJ 08544 USA; [Church, Thomas M.; Rigaud, Sylvain] Univ Delaware, Coll Earth Ocean &amp;Environm, 111 Robinson Hall, Newark, DE 19716 USA; [Colman, Albert] Univ Chicago, Dept Geophys Sci, 5734 S Ellis Ave, Chicago, IL 60637 USA; [Duggan, Brian; Helgoe, Josh; Moore, Willard S.; Scher, Howie; Townsend, Emily] Univ South Carolina, Dept Earth &amp; Ocean Sci, 701 Sumter St,EWS 617, Columbia, SC 29208 USA; [Croot, Peter] Natl Univ Ireland Galway, Dept Earth &amp; Ocean Sci, Univ Rd, Galway, Ireland; [Sedwick, Peter N.; Sohst, Bettina] Old Dominion Univ, Dept Ocean Earth &amp; Atmospher Sci, 4600 Elkhorn Ave, Norfolk, VA 23529 USA; [Dehairs, Frank; Fripiat, Francois] Vrije Univ Brussel, Analyt Environm &amp; Geochem Dept, Pleinlaan 2, B-1050 Brussels, Belgium; [Bouman, Heather; Bridgestock, Luke; Browning, Thomas; Deng, Feifei; Henderson, Gideon M.; Hsieh, Yu-Te; Scott, Peter; Zheng, Xin-Yuan] Univ Oxford, Dept Earth Sci, South Parks Rd, Oxford OX1 3AN, England; [Dieu, Huong Thi] Kyoto Univ, Inst Chem Res, Uji 6110011, Japan; [Cheng, Hai; Edwards, R. Lawrence; Lu, Yanbin; Zhang, Pu] Univ Minnesota, Dept Earth Sci, 116 Church St SE, Minneapolis, MN 55455 USA; [Friedrich, Jana] Helmholtz Zentrum Geesthacht Ctr Mat &amp; Coastal Re, Max Planck Str 1, D-21502 Geesthacht, Germany; [Gamo, Toshitaka; Kim, Taejin; Nakayama, Noriko; Obata, Hajime] Univ Tokyo, Atmosphere &amp; Ocean Res Inst, 5-1-5 Kashiwanoha, Kashiwa, Chiba 2778564, Japan; [Hatta, Mariko; Measures, Christopher] Univ Hawaii Manoa, Dept Oceanog, 1000 Pope Rd, Honolulu, HI 96822 USA; [van Heuven, Steven; Jones, Elizabeth M.] Univ Groningen, Energy &amp; Sustainabil Res Inst Groningen, Nijenborgh 4, NL-9747 AG Groningen, Netherlands; [Huang, Kuo-Fang] Acad Sinica, Inst Earth Sci, 128,Sec 2,Acad Rd, Taipei 11529, Taiwan; [Kumamoto, Yuichiro] Japan Agcy Marine Earth Sci &amp; Technol, Res &amp; Dev Ctr Global Change, 2-15 Natsushima Cho, Yokosuka, Kanagawa 2370061, Japan; [Cockwell, Donna; Bull, Abby; Daniels, Chris; Mawji, Edward; Snaith, Helen] Natl Oceanog Ctr, British Oceanog Data Ctr, European Way, Southampton SO14 3ZH, Hants, England; [Gault-Ringold, Melanie; George, Ejin; Rolison, John M.; Stirling, Claudine H.] NIWA Univ Otago Res Ctr Oceanog, Dept Chem, POB 56, Dunedin 9054, New Zealand; [Nishioka, Jun] Hokkaido Univ, Inst Low Temp Sci, Kita Ku, Kita 19,Nishi 8, Sapporo, Hokkaido 0600819, Japan; [Noble, Abigail] Environm Chem Grp, 20 Univ Rd, Cambridge, MA 02138 USA; [Quay, Paul; Stutsman, Johnny; Warner, Mark J.] Univ Washington, Sch Oceanog, POB 357940, Seattle, WA 98195 USA; [Brumsack, Hans-Juergen; Schnetger, Bernhard] Carl von Ossietzky Univ Oldenburg, ICBM, Postfach 2503, D-26111 Oldenburg, Germany; [Robinson, Laura F.] Univ Bristol, Dept Earth Sci, Wills Mem Bldg,Queens Rd, Bristol BS8 1RJ, Avon, England; [Baars, Oliver] NC State Univ, Dept Entomol &amp; Plant Pathol, Raleigh, NC 27601 USA; [Roshan, Saeed; Wu, Jingfeng] Univ Miami, RSMAS, MAC, 4600 Rickenbacker Causeway, Miami, FL 33149 USA; [Gilbert, Melissa; Grissom, Karen; Hayes, Christopher T.; Ho, Peng; Shiller, Alan M.] Univ Southern Mississippi, Div Marine Sci, 1020 Balch Blvd, Stennis Space Ctr, MS 39529 USA; [Camara Mor, Patricia; Castrillejo, Maxi; Garcia-Orellana, Jordi; Masque, Pere; Roca-Marti, Montserrat; Ziveri, Patrizia] Univ Autonoma Barcelona, Inst Environm Sci &amp; Technol, Bellaterra 08193, Spain; [Speich, Sabrina] Univ Western Brittany, Ocean Phys Lab, 6 Ave Victor Le Gorgeu,BP 809, F-29285 Brest, France; [Lohan, Maeve; Dumousseaud, Cynthia; Humphreys, Matthew P.; Klar, Jessica K.; Schlosser, Christian; Stichel, Torben; Wyatt, Neil] Univ Southampton, Natl Oceanog Ctr Southampton, Ocean &amp; Earth Sci, Southampton SO14 3ZH, Hants, England; [Ganeshram, Raja S.; Thomas, Alexander; Tuerena, Robyn] Univ Edinburgh, Sch GeoSci, Grant Inst, James Hutton Rd, Edinburgh EH9 3FE, Midlothian, Scotland; [Ohnemus, Daniel C.; Rauschenberg, S.; Twining, Benjamin S.] Bigelow Lab Ocean Sci, 60 Bigelow Dr,POB 380, East Boothbay, ME 04544 USA; [Voelker, Antje H. L.] Portuguese Inst Sea &amp; Atmosphere, Rua Alfredo Magalhaes Ramalho 6, P-1495006 Lisbon, Portugal; [Minami, Tomoharu; Sohrin, Yoshiki; Zheng, Linjie] Kyoto Univ, Inst Chem Res, Uji, Kyoto 6110011, Japan; [Wu, Jingfeng] Shenzhen Univ, Sch Biol &amp; Marine Sci, Shenzhen, Peoples R China; [Boye, Marie; Cardinal, Damien; Closset, Ivia] Sorbonne Univ, LOCEAN, 4 Pl Jussieu, F-75252 Paris, France; [Godoy, Jose M.] Pontifical Catholic Univ Rio de Janeiro, Dept Chem, Rua Marques Sao Vicente 225, BR-22453900 Rio De Janeiro, Brazil; [Butler, Edward; O'Sullivan, Jeanette; Watson, Ros] CSIRO Marine &amp; Atmospher Res, Hobart, Tas 7000, Australia; [Bridgestock, Luke; van de Flierdt, Tina; Khondoker, Roulin; Lambelet, Myriam; Little, Susan; Paul, Maxence; Rehkamper, Mark; Weiss, Dominik; Xue, Zichen] Imperial Coll London, Dept Earth Sci &amp; Engn, London SW7 2AZ, England; [Woodward, E. Malcolm S.] Plymouth Marine Lab, Prospect Pl, Plymouth PL1 3DH, Devon, England; [Basak, Chandranath; Behrens, Melanie K.; Froellje, Henning; Pahnke, Katharina] Carl von Ossietzky Univ Oldenburg, Inst Chem &amp; Biol Marine Environm ICBM, Max Planck Res Grp Marine Isotope Geochem, Carl von Ossietzky Str 9-11, D-26129 Oldenburg, Germany; [Moncoiffe, Gwenaelle; Slater, Emma; Thorne, Kay] Natl Oceanog Ctr, British Oceanog Data Ctr, Joseph Proudman Bldg,6 Brownlow St, Liverpool L3 5DA, Merseyside, England; [Landing, William M.; Shelley, Rachel] Florida State Univ, Earth Ocean &amp; Atmospher Sci, Tallahassee, FL 32306 USA; [Casacuberta, Nuria; Castrillejo, Maxi; Christl, Marcus] Swiss Fed Inst Technol, Lab Ion Beam Phys, Otto Stem Weg 5, CH-8093 Zurich, Switzerland; [Cossa, Daniel] Univ Grenoble Alpes, ISTerre, CS 40700, F-38058 Grenoble 9, France; [Steinfeldt, Reiner] Univ Bremen, Inst Environm Phys, Otto Hahn Allee, D-28359 Bremen, Germany; [Kadko, David C.] Florida Int Univ, Appl Res Ctr, Miami, FL 33174 USA; [Buck, Kristen N.] Univ S Florida, Coll Marine Sci, St Petersburg, FL 33701 USA; [Archer, Corey; Rickli, Joerg; Vance, Derek] Swiss Fed Inst Technol, Dept Earth Sci, Inst Geochem &amp; Petrol, Clausiusstr 25, CH-8092 Zurich, Switzerland; [Kim, Taejin] Seoul Natl Univ, Sch Earth &amp; Environm Sci, 1 Gwanak Ro, Seoul 08826, South Korea; [Bopp, Laurent; Speich, Sabrina] Ecole Normale Super, LMD IPSL, Dept Geosci, Paris, France; [Bopp, Laurent; Speich, Sabrina] Paris Sci Lettres, Paris, France; [Cullen, Jay T.; Janssen, David J.; Velazquez, Sue] Univ Victoria, Sch Earth &amp; Ocean Sci, Victoria, BC, Canada; [Rodellas, Valenti] Aix Marseille Univ, CNRS, IRD, INRA,Coll France,CEREGE, F-13545 Aix En Provence, France; [Zheng, Xin-Yuan] Univ Wisconsin, Dept Geosci, Madison, WI 53706 USA; [John, Seth; Moffett, James W.] Univ Southern Calif, Dept Earth Sci, 3651 Trousdale Pkwy, Los Angeles, CA 90089 USA; [Fitzsimmons, Jessica N.] Texas A&amp;M Univ, Dept Oceanog, College Stn, TX 77843 USA; [Fitzsimmons, Jessica N.; Sherrell, Robert M.] Rutgers State Univ, Dept Marine &amp; Coastal Sci, New Brunswick, NJ 08901 USA; [Swift, James H.] Univ Calif San Diego, Scripps Inst Oceanog, 9500 Gilman Dr,MC 0236, La Jolla, CA 92093 USA; [Bown, Johann; Jacquot, Jeremy E.; Laan, Patrick] Univ Southern Calif, Dept Biol Sci, 3616 Trousdale Pkwy, Los Angeles, CA 90089 USA; [Masque, Pere; Puigcorbe, Viena] Edith Cowan Univ, Ctr Marine Ecosyst Res, Sch Sci, 270 Joondalup Dr, Joondalup, WA 6025, Australia; [Bruland, Kenneth W.; Flegal, A. Russell; Till, Ralph] Univ Calif Santa Cruz, Inst Marine Sci, 1156 High St, Santa Cruz, CA 95064 USA; [Roshan, Saeed] Univ Calif Santa Barbara, Dept Geog, Santa Barbara, CA 93106 USA; [Aguliar-Islas, Ana] Univ Alaska, Coll Fisheries &amp; Ocean Sci, Fairbanks, AK 99775 USA; [Buck, Clifton S.] Univ Georgia, Skidaway Inst Oceanog, Savannah, GA 31411 USA; [Heimburger, Lars-Eric] Aix Marseille Univ, CNRS INSU, Univ Toulon, IRD,Mediterranean Inst Oceanog MIO UM 110, F-13288 Marseille, France; [Semiletov, Igor] Russian Acad Sci, Far Eastern Branch, Pacific Oceanol Inst, 43 Balt St, Vladivostok 690041, Russia; [Semiletov, Igor; Yoshikawa, Hisayuki] Natl Tomsk Polytech Univ, 30 Prospect Lenina, Tomsk, Russia; [Yoshikawa, Hisayuki] Hokkaido Univ, Fac Environm Earth Sci, Kita Ku, Kita 10,Nishi 5, Sapporo, Hokkaido 0600810, Japan; [Conway, Tim M.; Galer, Stephen J. G.; Xie, Ruifang C.] Univ S Florida, Coll Marine Sci, Tampa, FL 33620 USA; [Conway, Tim M.; Galer, Stephen J. G.; Xie, Ruifang C.] Univ S Florida, Sch Geosci, Tampa, FL 33620 USA; [Abouchami, Wafa] Max Planck Inst Chem, Climate Geochem Dept, Hahn Meitner Weg 1, D-55128 Mainz, Germany; [Castrillejo, Maxi; Garcia-Orellana, Jordi; Masque, Pere] Univ Autonoma Barcelona, Dept Phys, Bellaterra 08193, Spain; [Rigaud, Sylvain] Univ Nimes, EA CHROME 7352, Rue Dr Georges Salan, F-30021 Nimes, France; [Zimmer, Louise A.] Danish Technol Inst, Kongsvang Alle 29, DK-8000 Aarhus C, Denmark; [Resing, Joseph A.] Univ Washington, Joint Inst Study Atmosphere &amp; Ocean, 7600 Sand Point Way NE, Seattle, WA 98115 USA; [Resing, Joseph A.] NOAA, Pacific Marine Environm Lab, 7600 Sand Point Way NE, Seattle, WA 98115 USA; [Bluhm, Katrin] Akvaplan Niva AS, Framsenteret, Postboks 6606, N-9296 Tromso, Norway; [Huang, Kuo-Fang] Woods Hole Oceanog Inst, Dept Geol &amp; Geophys, Woods Hole, MA 02543 USA; [Baker, Alex R.; Chance, Rosie; Humphreys, Matthew P.; Zhang, Jing] Univ East Anglia, Sch Environm Sci, Ctr Ocean &amp; Atmospher Sci, Norwich NR4 7TJ, Norfolk, England; [Zhang, Jing] Univ Toyama, Grad Sch Sci &amp; Engn, 3190 Gofuku, Toyama 9308555, Japan; [Sherrell, Robert M.] Rutgers State Univ, Dept Earth &amp; Planetary Sci, Piscataway, NJ 08854 USA; [Garcia-Solsona, Ester; Pena, Leopoldo D.] Univ Barcelona, Dept Earth &amp; Ocean Dynam, E-08028 Barcelona, Spain; [Lechtenfeld, Oliver J.] UFZ Helmholtz Ctr Environm Res, Dept Analyt Chem, Permoserstr 15, D-04318 Leipzig, Germany; [Scott, Peter] Oregon State Univ, CEOAS, Corvallis, OR 97331 USA; [Morton, Peter L.] Natl High Magnet Field Lab, Geochem, Tallahassee, FL 32310 USA; [Casciotti, Karen L.; Petersh, Brian] Stanford Univ, Dept Earth Syst Sci, Stanford, CA 94305 USA; [Carrasco, Gonzalo] Singapore MIT Alliance Res &amp; Technol, Singapore 138602, Singapore; [Townsend, Ashley T.] Univ Tasmania, Cent Sci Lab, Hobart, Tas, Australia; [Hassler, Christel S.] Univ Geneva, Dept FA Forel Environm &amp; Aquat Sci, 66 Bvd Carl Vogt, CH-1211 Geneva 4, Switzerland; [Mawji, Edward] Natl Oceanog Ctr, Ocean Biogeochem &amp; Ecosyst, European Way, Southampton SO14 3ZH, Hants, England; [Brissebrat, Guillaume] Univ Toulouse, Observ Midipyrenees, CNRS, CNES,IRD,Meteo France,UPS, Toulouse, France; [Agather, Alison; Hammerschmidt, Chad] Wright State Univ, Dept Earth &amp; Environm Sci, Dayton, OH 45435 USA; [Branellec, Pierre; Lherminier, Pascale; Zunino, Patricia] Univ Brest, Ifremer, CNRS, IRD,LOPS,IUEM, F-29280 Plouzane, France; [Sonke, Jeroen E.] Univ Toulouse 3, Geosci Environm, CNRS, Geosci Environm Toulouse, Toulouse, France; [Rember, Robert] Univ Alaska, Int Arctic Res Ctr, Fairbanks, AK 99701 USA; [Nakaguchi, Yuzuru; Nishiuchi, Akira] Kindai Univ, Sch Sci &amp; Engn, 3-4-1 Kowakae, Higashiosaka, Osaka 5778502, Japan; [Ziveri, Patrizia] ICREA, Pg Lluis Co 23, Barcelona 08010, Spain; [Villa-Alfageme, Maria] Univ Seville, Dept Appl Phys, Av Reina Mercedes 4A, Seville 41004, Spain; [Chamizo, Elena; Lopez-Lora, Mercedes] Univ Seville, CSIC JA, Ctr Nacl Aceleradores, Seville 41092, Spain; [Singh, Sunil Kumar] Phys Res Lab, Ahmadabad 380001, Gujarat, India; [Singh, Sunil Kumar] CSIR Natl Inst Oceanog, Panaji, Goa, India; [Till, Claire P.] Humboldt State Univ, Chem Dept, Arcata, CA 95521 USA; [Rintoul, Stephen] CSIRO Oceans &amp; Atmosphere, Hobart, Tas 7000, Australia; [Rintoul, Stephen] Ctr Southern Hemisphere Ocean Res, Hobart, Tas 7000, Australia; [Isshiki, Kenji] Univ Kochi, Community Ctr Adv Educ &amp; Res, 2-22 Eikokuji Cho, Kochi 7808515, Japan; [Andersen, Morten] Cardiff Univ, Sch Earth &amp; Ocean Sci, Cardiff CF10 3AT, S Glam, Wales; [Stewart, Gillian] CUNY Queens Coll, Sch Earth &amp; Environm Sci, Flushing, NY 11217 USA; [Cutter, Gregory A.] Old Dominion Univ, Dept Ocean Earth &amp; Atmospher Sci, Norfolk, VA 23529 USA; [Weinstein, Yishai] Bar Ilan Univ, IL-5290002 Ramat Gan, Israel; [Zhao, Ye] Nu Instruments Ltd, Unit 74,Clywedog Rd South,Wrexham Ind Estate, Wrexham LL13 9XS, Wales; [Jones, Elizabeth M.] Inst Marine Res, Sykehusveien 23, N-9019 Tromso, Norway; [Ellwood, Michael] Australian Natl Univ, Res Sch Earth Sci, Canberra, ACT 2601, Australia</t>
  </si>
  <si>
    <t>Helmholtz Association; Alfred Wegener Institute, Helmholtz Centre for Polar &amp; Marine Research; Columbia University; Universite de Toulouse; Universite Toulouse III - Paul Sabatier; Centre National de la Recherche Scientifique (CNRS); Institut de Recherche pour le Developpement (IRD); Laboratoire d'Etudes en Geophysique et oceanographie spatiales; University of Plymouth; University of Liverpool; University of Tasmania; University of Tasmania; Utrecht University; Royal Netherlands Institute for Sea Research (NIOZ); Utrecht University; University of British Columbia; Wayne State University; Bermuda Institute of Ocean Sciences; Helmholtz Association; GEOMAR Helmholtz Center for Ocean Research Kiel; Centre National de la Recherche Scientifique (CNRS); Ifremer; Institut de Recherche pour le Developpement (IRD); Universite de Bretagne Occidentale; Institut Universitaire Europeen de la Mer (IUEM); Massachusetts Institute of Technology (MIT); University of California System; University of California Santa Cruz; University of California System; University of California Santa Barbara; Woods Hole Oceanographic Institution; Australian Institute of Marine Science; Xiamen University; National Aeronautics &amp; Space Administration (NASA); NASA Goddard Space Flight Center; Xi'an Jiaotong University; Princeton University; University of Delaware; University of Chicago; University of South Carolina System; University of South Carolina Columbia; Ollscoil na Gaillimhe-University of Galway; Old Dominion University; Vrije Universiteit Brussel; University of Oxford; Kyoto University; University of Minnesota System; University of Minnesota Twin Cities; Helmholtz Association; Helmholtz-Zentrum Hereon; Max Planck Society; University of Tokyo; University of Hawaii System; University of Hawaii Manoa; University of Groningen; Academia Sinica - Taiwan; Japan Agency for Marine-Earth Science &amp; Technology (JAMSTEC); NERC National Oceanography Centre; University of Southampton; Hokkaido University; University of Washington; University of Washington Seattle; Carl von Ossietzky Universitat Oldenburg; University of Bristol; North Carolina State University; University of Miami; University of Southern Mississippi; Autonomous University of Barcelona; Universite de Bretagne Occidentale; NERC National Oceanography Centre; University of Southampton; University of Edinburgh; Bigelow Laboratory for Ocean Sciences; Instituto Portugues do Mar e da Atmosfera; Kyoto University; Shenzhen University; Sorbonne Universite; Museum National d'Histoire Naturelle (MNHN); Pontificia Universidade Catolica do Rio de Janeiro; Commonwealth Scientific &amp; Industrial Research Organisation (CSIRO); Imperial College London; Plymouth Marine Laboratory; Carl von Ossietzky Universitat Oldenburg; NERC National Oceanography Centre; State University System of Florida; Florida State University; Swiss Federal Institutes of Technology Domain; ETH Zurich; Communaute Universite Grenoble Alpes; Universite Grenoble Alpes (UGA); Centre National de la Recherche Scientifique (CNRS); Institut de Recherche pour le Developpement (IRD); Universite Gustave-Eiffel; Universite Savoie Mont Blanc; University of Bremen; State University System of Florida; Florida International University; State University System of Florida; University of South Florida; Swiss Federal Institutes of Technology Domain; ETH Zurich; Seoul National University (SNU); Ecole des Ponts ParisTech; Universite PSL; Ecole Normale Superieure (ENS); Universite PSL; University of Victoria; Institut de Recherche pour le Developpement (IRD); Centre National de la Recherche Scientifique (CNRS); Aix-Marseille Universite; Universite PSL; College de France; INRAE; University of Wisconsin System; University of Wisconsin Madison; University of Southern California; Texas A&amp;M University System; Texas A&amp;M University College Station; Rutgers University System; Rutgers University New Brunswick; University of California System; University of California San Diego; Scripps Institution of Oceanography; University of Southern California; Edith Cowan University; University of California System; University of California Santa Cruz; University of California System; University of California Santa Barbara; University of Alaska System; University of Alaska Fairbanks; University System of Georgia; University of Georgia; Skidaway Institute of Oceanography; Institut de Recherche pour le Developpement (IRD); Aix-Marseille Universite; Centre National de la Recherche Scientifique (CNRS); CNRS - National Institute for Earth Sciences &amp; Astronomy (INSU); Ilichev Pacific Oceanological Institute; Russian Academy of Sciences; Tomsk Polytechnic University; Hokkaido University; State University System of Florida; University of South Florida; State University System of Florida; University of South Florida; Max Planck Society; Autonomous University of Barcelona; Universite de Nimes; Danish Technological Institute; University of Washington; University of Washington Seattle; National Oceanic Atmospheric Admin (NOAA) - USA; Akvaplan-niva; Woods Hole Oceanographic Institution; University of East Anglia; University of Toyama; Rutgers University System; Rutgers University New Brunswick; University of Barcelona; Helmholtz Association; Helmholtz Center for Environmental Research (UFZ); Oregon State University; State University System of Florida; Florida State University; Stanford University; Singapore-MIT Alliance for Research &amp; Technology Centre (SMART); University of Tasmania; University of Geneva; NERC National Oceanography Centre; University of Southampton; Institut de Recherche pour le Developpement (IRD); Universite de Toulouse; Universite Toulouse III - Paul Sabatier; Meteo France; Centre National de la Recherche Scientifique (CNRS); University System of Ohio; Wright State University Dayton; Institut de Recherche pour le Developpement (IRD); Ifremer; Centre National de la Recherche Scientifique (CNRS); Universite de Bretagne Occidentale; Institut Universitaire Europeen de la Mer (IUEM); Universite de Toulouse; Universite Toulouse III - Paul Sabatier; Centre National de la Recherche Scientifique (CNRS); University of Alaska System; University of Alaska Fairbanks; Kindai University (Kinki University); ICREA; University of Sevilla; Consejo Superior de Investigaciones Cientificas (CSIC); University of Sevilla; CSIC - Centro Nacional de Aceleradores (CNA); Department of Space (DoS), Government of India; Physical Research Laboratory - India; Council of Scientific &amp; Industrial Research (CSIR) - India; CSIR - National Institute of Oceanography (NIO); California State University System; California State Polytechnic University, Humboldt; Commonwealth Scientific &amp; Industrial Research Organisation (CSIRO); Kochi University; Cardiff University; City University of New York (CUNY) System; Queens College NY (CUNY); Old Dominion University; Bar Ilan University; Institute of Marine Research - Norway; Australian National University</t>
  </si>
  <si>
    <t>Schlitzer, R (corresponding author), Helmholtz Ctr Polar &amp; Marine Res, Alfred Wegener Inst, Handelshafen 12, D-27570 Bremerhaven, Germany.</t>
  </si>
  <si>
    <t>Reiner.Schlitzer@awi.de</t>
  </si>
  <si>
    <t>Fripiat, François/ABB-8918-2021; Ziveri, Patrizia/I-3856-2015; Cullen, Jay T./AAE-8379-2019; Watson, Roslyn J./JVN-9055-2024; Thomas, Alex L/D-1028-2012; Masque, Pere/AAC-9349-2022; Christl, Marcus/J-4769-2016; Sigman, Daniel M./IYJ-2613-2023; Ganeshram, Raja S/JPX-5314-2023; Lechtenfeld, Oliver J./A-6480-2013; Rintoul, Stephen R/A-1471-2012; Townsend, Ashley/J-7445-2014; Schallenberg, Christina/N-4187-2017; Xie, Ruifang/JMD-0243-2023; Achterberg, Eric P/C-5820-2009; Rijkenberg, Micha JA/C-3245-2012; Barraqueta, Jan-Lukas Menzel/AAI-2093-2019; Lherminier, Pascale/L-3181-2014; Fitzsimmons, Jessica N/G-1343-2011; Godoy, Jose Marcus/B-2579-2014; Sonke, Jeroen E/A-2444-2010; Semiletov, Igor/CAJ-4412-2022; Lam, Phoebe/GQQ-7325-2022; Weinstein, Yishai/AAB-2018-2020; Echegoyen, Yolanda/GZL-0388-2022; Klar, Jessica/B-7129-2014; Scher, Howie/C-4927-2013; Ohnemus, Daniel C/X-7728-2018; López Lora, Mercedes/AIB-6730-2022; Martí, Montserrat Roca/AAD-2094-2022; Croot, Peter/C-8460-2009; Baskaran, Mark/AAN-2253-2020; Ellwood, Michael J/G-7390-2011; CHENG, HAI/H-3413-2017; John, Sunday/GRS-5348-2022; Baker, Alex R/D-1233-2011; bopp, laurent/ABF-5302-2020; Heller, Maija I/AAU-4901-2020; labatut, marie/G-1016-2010; Woodward, Ernest M S/D-5755-2016; Carrasco, Gonzalo/JRW-2000-2023; Cullen, Jay/AAB-2769-2019; Saito, Mak/ADT-4986-2022; Hayes, Christopher T/P-3145-2016; Voelker, Antje/C-5427-2012; Daniels, Chris J/H-2627-2014; Le Roy, Emilie/HHN-0611-2022; Gault-Ringold, Melanie/H-4089-2011; López-Lora, Mercedes/AAE-3924-2019; Villa-Alfageme, Maria/AAG-2363-2020; Hathorne, Ed/AAC-6315-2020; Hawco, Nicholas/GSE-4005-2022; Puigcorbé, Viena/I-9349-2016; Friedrich, Jana/AAG-4840-2021; Villa-Alfageme, Maria/K-6700-2013; Speich, Sabrina/L-3780-2014; Buck, Clifton/F-5820-2010; Buck, Kristen/O-3988-2014; Resing, Joseph A/J-6110-2017; Edwards, Richard/JAX-3732-2023; Charette, Matthew/I-9495-2012; Chamizo, Elena/G-5100-2015; Rodellas, Valentí/F-3475-2013; Landing, William/KBA-8522-2024; Huang, Kuo-Fang/M-2740-2019; Garcia-Orellana, Jordi/L-7758-2014; Moore, Willard S/B-6096-2016; Masque, Pere/B-7379-2008; Casacuberta, Nuria/AAS-2189-2020; Nishioka, Jun/F-5314-2011; Edwards, R. Lawrence/I-3124-2014; Xiang, Yang/ABF-9483-2020; Yoshikawa, Hisayuki/A-4056-2012; Morton, Peter L/C-5078-2014; Garcia-Solsona, Ester/AAD-4655-2021; Cardinal, Damien/AAM-6215-2021; Croot, Peter/U-5296-2019; Geibert, Walter/ABA-9785-2020; Heimbürger-Boavida, Lars-Eric/AAF-6856-2021; Brumsack, Hans-Jürgen/O-7942-2016; Browning, Thomas J/B-8451-2019; Wuttig, Kathrin/O-2888-2019; Lacan, Francois/B-8032-2009; Sigman, Daniel M./A-2649-2008; Sanial, Virginie/D-6160-2019; Tuerena, Robyn/A-8289-2016; Le Moigne, Frederic/O-9851-2014; Middag, Rob/D-6423-2013; Scott, Peter/N-4355-2017; Sohrin, Yoshiki/A-8133-2011; Pena, Leopoldo D./A-7085-2015; Milne, Angela/O-2786-2016; Bowie, Andrew/C-8677-2013; van der Merwe, Pier/C-9210-2015; Boyd, Philip/J-7624-2014; Till, Claire/S-2830-2017</t>
  </si>
  <si>
    <t>Ziveri, Patrizia/0000-0002-5576-0301; Cullen, Jay T./0000-0002-6484-2421; Masque, Pere/0000-0002-1789-320X; Christl, Marcus/0000-0002-3131-6652; Lechtenfeld, Oliver J./0000-0001-5313-6014; Rintoul, Stephen R/0000-0002-7055-9876; Townsend, Ashley/0000-0002-2972-2678; Schallenberg, Christina/0000-0002-3073-7500; Lherminier, Pascale/0000-0001-9007-2160; Godoy, Jose Marcus/0000-0001-6135-090X; Ohnemus, Daniel C/0000-0001-6362-4134; Martí, Montserrat Roca/0000-0002-4719-9358; Croot, Peter/0000-0003-1396-0601; Baskaran, Mark/0000-0002-2218-4328; CHENG, HAI/0000-0002-5305-9458; John, Sunday/0000-0003-2296-7653; bopp, laurent/0000-0003-4732-4953; Heller, Maija I/0000-0002-1258-8660; Voelker, Antje/0000-0001-6465-6023; Le Roy, Emilie/0000-0001-6292-3618; López-Lora, Mercedes/0000-0003-2124-5077; Villa-Alfageme, Maria/0000-0001-7157-8588; Hathorne, Ed/0000-0002-7813-2455; Puigcorbé, Viena/0000-0001-5892-2305; Villa-Alfageme, Maria/0000-0001-7157-8588; Speich, Sabrina/0000-0002-5452-8287; Buck, Clifton/0000-0002-5691-9636; Buck, Kristen/0000-0002-3871-870X; Resing, Joseph A/0000-0002-7334-4176; Rodellas, Valentí/0000-0002-5896-9987; Landing, William/0000-0002-7514-3247; Huang, Kuo-Fang/0000-0002-7858-4865; Garcia-Orellana, Jordi/0000-0002-0543-2641; Moore, Willard S/0000-0001-5930-5325; Masque, Pere/0000-0002-1789-320X; Casacuberta, Nuria/0000-0001-7316-1655; Nishioka, Jun/0000-0003-1723-9344; Xiang, Yang/0000-0003-1862-0948; Cardinal, Damien/0000-0003-1238-8412; Geibert, Walter/0000-0001-8646-2334; Heimbürger-Boavida, Lars-Eric/0000-0003-0632-5183; Browning, Thomas J/0000-0002-2864-6087; Wuttig, Kathrin/0000-0003-4010-5918; Lacan, Francois/0000-0001-6794-2279; Sigman, Daniel M./0000-0002-7923-1973; Ellwood, Michael/0000-0003-4288-8530; Sanial, Virginie/0000-0002-0800-5127; Vivancos, Sebastian M./0000-0002-8057-5685; Minami, Tomoharu/0000-0001-6788-0434; Tuerena, Robyn/0000-0001-7664-840X; Frank, Martin/0000-0002-8606-4421; Baars, Oliver/0000-0002-4644-5086; Behrens, Melanie K./0000-0001-6013-6178; Le Moigne, Frederic/0000-0001-7316-5111; Stichel, Torben/0000-0002-5925-1301; Twining, Benjamin/0000-0002-1365-9192; Baker, Alex/0000-0002-8365-8953; Lam, Phoebe J./0000-0001-6609-698X; Middag, Rob/0000-0002-3326-530X; Semiletov, Igor/0000-0003-1741-6734; Wu, Yingzhe/0000-0002-3975-1368; dulaquais, gabriel/0000-0001-9110-0469; Carrasco, Gonzalo/0000-0002-4803-5005; Hatta, Mariko/0000-0002-4892-7708; Scott, Peter/0000-0002-1352-5901; CASTRILLEJO, MAXI/0000-0001-5149-2218; Brissebrat, Guillaume/0000-0001-8911-7253; Janssen, David/0000-0002-9091-8936; Little, Susan/0000-0002-9957-2636; Schnetger, Bernhard/0000-0003-1638-3977; Hawco, Nicholas/0000-0002-5897-0830; Sohrin, Yoshiki/0000-0001-6744-6048; Casciotti, Karen/0000-0002-5286-7795; Echegoyen Sanz, Yolanda/0000-0002-3729-460X; Black, Erin/0000-0003-2781-7531; Slagter, Hans/0000-0002-4243-9869; van Beek, Pieter/0000-0002-3872-8916; Lamborg, Carl/0000-0003-4379-3904; Schlitzer, Reiner/0000-0002-3740-6499; Deng, Feifei/0000-0002-5139-4631; Fitzsimmons, Jessica/0000-0002-9829-2464; Pena, Leopoldo D./0000-0001-6414-6293; Hsieh, Yu-Te/0000-0002-9248-5628; Hassler, Christel/0000-0002-8976-5469; Warner, Mark J/0000-0001-7678-441X; Milne, Angela/0000-0002-3304-8962; Kipp, Lauren/0000-0002-5111-9779; Rickli, Jorg/0000-0001-8186-2750; Mieruch, Sebastian/0000-0003-1150-221X; Bowie, Andrew/0000-0002-5144-7799; van der Merwe, Pier/0000-0002-7428-8030; Closset, Ivia/0000-0002-6286-3296; Boyd, Philip/0000-0001-7850-1911; Wake, Bronwyn/0000-0002-9053-1264; Sarthou, Geraldine/0000-0001-6560-6669; Adamczyk, Katlin/0000-0003-3324-0062; John, Seth/0000-0002-8257-626X; Zhao, Ye/0000-0002-6300-4477; Zheng, Linjie/0000-0002-5266-4939; Bridgestock, Luke/0000-0001-7636-6090; Zunino, Patricia/0000-0001-7057-7049; Sonke, Jeroen/0000-0001-7146-3035; Shiller, Alan/0000-0002-2068-7909; Masferrer, Elena/0000-0003-0879-1954; Thomas, Alexander/0000-0002-0734-9593; Moncoiffe, Gwenaelle/0000-0001-6559-4178; Horner, Tristan/0000-0003-1784-0391; Pahnke, Katharina/0000-0001-9114-8411; Helgoe, Joshua/0000-0002-9883-5772; Grissom, Karen/0000-0002-1639-6850; Henderson, Gideon/0000-0002-6279-7137; Sedwick, Peter/0000-0003-0663-8323; Fripiat, Francois/0000-0002-2591-6301; Till, Claire/0000-0003-2508-1524; Wyatt, Neil/0000-0002-1080-7778; Morton, Peter/0000-0002-4248-2357; Weinstein, Yishai/0000-0003-4482-6691; Menzel Barraqueta, Jan Lukas/0000-0002-9735-1231; Zheng, Xin-Yuan/0000-0002-7959-8046; Butler, Edward/0000-0002-6660-3985; Lohan, Maeve/0000-0002-5340-3108; Goldstein, Steven L/0000-0001-7252-8064</t>
  </si>
  <si>
    <t>Scientific Committee on Oceanic Research (SCOR) from the U.S. National Science Foundation [OCE-0608600, OCE-0938349, OCE-1243377, OCE-1546580]; UK Natural Environment Research Council (NERC); Ministry of Earth Science of India; Centre National de Recherche Scientifique, l'Universite Paul Sabatier de Toulouse; Observatoire Midi-Pyrenees Toulouse; Universitat Autonoma de Barcelona; Kiel Excellence Cluster The Future Ocean; Swedish Museum of Natural History; University of Tokyo; University of British Columbia; Royal Netherlands Institute for Sea Research; GEOMAR-Helmholtz Centre for Ocean Research Kiel; Alfred Wegener Institute; Directorate For Geosciences; Division Of Ocean Sciences [1436748] Funding Source: National Science Foundation; Division Of Ocean Sciences; Directorate For Geosciences [1546580] Funding Source: National Science Foundation; NERC [NE/N001141/1, NE/J021636/1, NE/G016267/1, NE/H006095/1, NE/H004289/1, NE/P018181/1, NE/H005390/1, NE/H004475/1, NE/H00548X/1] Funding Source: UKRI</t>
  </si>
  <si>
    <t>Scientific Committee on Oceanic Research (SCOR) from the U.S. National Science Foundation; UK Natural Environment Research Council (NERC)(UK Research &amp; Innovation (UKRI)Natural Environment Research Council (NERC)); Ministry of Earth Science of India; Centre National de Recherche Scientifique, l'Universite Paul Sabatier de Toulouse; Observatoire Midi-Pyrenees Toulouse; Universitat Autonoma de Barcelona; Kiel Excellence Cluster The Future Ocean; Swedish Museum of Natural History; University of Tokyo; University of British Columbia; Royal Netherlands Institute for Sea Research; GEOMAR-Helmholtz Centre for Ocean Research Kiel; Alfred Wegener Institute; Directorate For Geosciences; Division Of Ocean Sciences(National Science Foundation (NSF)NSF - Directorate for Geosciences (GEO)); Division Of Ocean Sciences; Directorate For Geosciences(National Science Foundation (NSF)NSF - Directorate for Geosciences (GEO)); NERC(UK Research &amp; Innovation (UKRI)Natural Environment Research Council (NERC))</t>
  </si>
  <si>
    <t>We gratefully acknowledge financial support by the Scientific Committee on Oceanic Research (SCOR) through grants from the U.S. National Science Foundation, including grants OCE-0608600, OCE-0938349, OCE-1243377, and OCE-1546580. Financial support was also provided by the UK Natural Environment Research Council (NERC), the Ministry of Earth Science of India, the Centre National de Recherche Scientifique, l'Universite Paul Sabatier de Toulouse, the Observatoire Midi-Pyrenees Toulouse, the Universitat Autonoma de Barcelona, the Kiel Excellence Cluster The Future Ocean, the Swedish Museum of Natural History, The University of Tokyo, The University of British Columbia, The Royal Netherlands Institute for Sea Research, the GEOMAR-Helmholtz Centre for Ocean Research Kiel, and the Alfred Wegener Institute. We thank Edward Urban for his sustained strong support of the GEOTRACES programme and for all his assistance during the creation of the intermediate data products and the preparation of this publication.</t>
  </si>
  <si>
    <t>0009-2541</t>
  </si>
  <si>
    <t>1872-6836</t>
  </si>
  <si>
    <t>CHEM GEOL</t>
  </si>
  <si>
    <t>Chem. Geol.</t>
  </si>
  <si>
    <t>10.1016/j.chemgeo.2018.05.040</t>
  </si>
  <si>
    <t>GN9ZM</t>
  </si>
  <si>
    <t>WOS:000439574000017</t>
  </si>
  <si>
    <t>Andrews-Goff, V; Bestley, S; Gales, NJ; Laverick, SM; Paton, D; Polanowski, AM; Schmitt, NT; Double, MC</t>
  </si>
  <si>
    <t>Andrews-Goff, V; Bestley, S.; Gales, N. J.; Laverick, S. M.; Paton, D.; Polanowski, A. M.; Schmitt, N. T.; Double, M. C.</t>
  </si>
  <si>
    <t>Humpback whale migrations to Antarctic summer foraging grounds through the southwest Pacific Ocean</t>
  </si>
  <si>
    <t>MEGAPTERA-NOVAEANGLIAE; ANIMAL MOVEMENT; SOUTHERN-OCEAN; BALAENOPTERA-MUSCULUS; SCIENCE TECHNOLOGIES; KRILL; BEHAVIOR; SEA; HABITAT; RECRUITMENT</t>
  </si>
  <si>
    <t>Humpback whale (Megaptera novaeangliae) populations typically undertake seasonal migrations, spending winters in low latitude breeding grounds and summers foraging in high latitude feeding grounds. Until recently, a broad scale understanding of whale movement has been derived from whaling records, Discovery marks, photo identification and genetic analyses. However, with advances in satellite tagging technology and concurrent development of analytical methodologies we can now detail finer scale humpback whale movement, infer behavioural context and examine how these animals interact with their physical environment. Here we describe the temporal and spatial characteristics of migration along the east Australian seaboard and into the Southern Ocean by 30 humpback whales satellite tagged over three consecutive austral summers. We characterise the putative Antarctic feeding grounds and identify supplemental foraging within temperate, migratory corridors. We demonstrate that Antarctic foraging habitat is associated with the marginal ice zone, with key predictors of inferred foraging behaviour including distance from the ice edge, ice melt rate and variability in ice concentration two months prior to arrival. We discuss the highly variable ice season within the putative foraging habitat and the implications that this and other environmental factors may have on the continued strong recovery of this humpback whale population.</t>
  </si>
  <si>
    <t>[Andrews-Goff, V; Gales, N. J.; Paton, D.; Schmitt, N. T.; Double, M. C.] Australian Marine Mammal Ctr, Australian Antarctic Div, 203 Channel Highway, Kingston, Tas 7050, Australia; [Bestley, S.] Univ Tasmania, Inst Marine &amp; Antarctic Studies, Private Bag 129, Hobart, Tas 7001, Australia; [Laverick, S. M.] Blue Planet Marine, Jamison Ctr, POB 919, Canberra, ACT 2614, Australia; [Bestley, S.; Polanowski, A. M.] Australian Antarctic Div, 203 Channel Highway, Kingston, Tas 7050, Australia</t>
  </si>
  <si>
    <t>Australian Antarctic Division; University of Tasmania; Australian Antarctic Division</t>
  </si>
  <si>
    <t>Andrews-Goff, V (corresponding author), Australian Marine Mammal Ctr, Australian Antarctic Div, 203 Channel Highway, Kingston, Tas 7050, Australia.</t>
  </si>
  <si>
    <t>Virginia.Andrews-Goff@aad.gov.au</t>
  </si>
  <si>
    <t>Bestley, Sophie/AAN-2483-2021</t>
  </si>
  <si>
    <t>Bestley, Sophie/0000-0001-9342-669X; Polanowski, Andrea/0000-0002-9612-220X; Andrews-Goff, Virginia/0000-0002-4609-7317</t>
  </si>
  <si>
    <t>Australian Government International Whale and Marine Mammal Conservation Initiative; Australian Research Council's Special Research Initiative for Antarctic Gateway Partnership [SR140300001]; Australian Research Council Discovery Early Career Research Award (DECRA) [DE180100828]; Australian Research Council [DE180100828] Funding Source: Australian Research Council</t>
  </si>
  <si>
    <t>Australian Government International Whale and Marine Mammal Conservation Initiative; Australian Research Council's Special Research Initiative for Antarctic Gateway Partnership(Australian Research Council); Australian Research Council Discovery Early Career Research Award (DECRA)(Australian Research Council); Australian Research Council(Australian Research Council)</t>
  </si>
  <si>
    <t>The data used in this paper was collected from three separate field trips coordinated by many and we are most grateful to all involved. For support in the field we'd particularly like to acknowledge Dave Donnelly, the Sapphire Coast Discovery Centre, the crew of 'Cat Balou' and the AWE Science Team: Jean-Benoit Charrassin, Simon Childerhouse, Rochelle Constantine, Paul Ensor, Stephane Gauthier, Jason Gedamke, Curt Jenner, Catriona Johnson, Paul Sagar and vessel and science support crew. For their ongoing persistence and dedication to the difficult task of tag development we'd like to thank Eric King (sadly deceased), Curt Jenner and Micheline Jenner. We would also like to thank James Marthick for assisting with genetic analyses and Brian Miller for comments and suggestions on an earlier version of this manuscript. The Antarctic Whale Expedition was the first voyage of the International Whaling Commission - Southern Ocean Research Partnership (IWC-SORP) which has supported the ongoing development of non-lethal research techniques in order to maximise conservation outcomes for Southern Ocean whales since 2009. We are grateful to two anonymous reviewers for their comments and suggestions that greatly improved the content of this paper. This research was funded by the Australian Government International Whale and Marine Mammal Conservation Initiative. This research was supported under Australian Research Council's Special Research Initiative for Antarctic Gateway Partnership (Project ID SR140300001) and contributes to the Australian Research Council Discovery Early Career Research Award (DECRA) granted to S.B. under Project DE180100828. The funders had no role in study design, data collection and analysis, decision to publish, or preparation of the manuscript.</t>
  </si>
  <si>
    <t>AUG 17</t>
  </si>
  <si>
    <t>10.1038/s41598-018-30748-4</t>
  </si>
  <si>
    <t>GQ6YL</t>
  </si>
  <si>
    <t>WOS:000441876700036</t>
  </si>
  <si>
    <t>Bart, PJ; DeCesare, M; Rosenheim, BE; Majewski, W; McGlannan, A</t>
  </si>
  <si>
    <t>Bart, Philip J.; DeCesare, Matthew; Rosenheim, Brad E.; Majewski, Wojceich; McGlannan, Austin</t>
  </si>
  <si>
    <t>A centuries-long delay between a paleo-ice-shelf collapse and grounding-line retreat in the Whales Deep Basin, eastern Ross Sea, Antarctica</t>
  </si>
  <si>
    <t>THWAITES GLACIER; PINE ISLAND; SHEET; WIDESPREAD; SEDIMENTATION; HISTORY; EROSION; PATTERN; STREAM; LEVEL</t>
  </si>
  <si>
    <t>Recent thinning and loss of Antarctic ice shelves has been followed by near synchronous acceleration of ice flow that may eventually lead to sustained deflation and significant contraction in the extent of grounded and floating ice. Here, we present radiocarbon dates from foraminifera that constrain the time elapsed between a previously described paleo-ice-shelf collapse and the subsequent major grounding-line retreat in the Whales Deep Basin (WDB) of eastern Ross Sea. The dates indicate that West Antarctic Ice Sheet (WAIS) grounding-line retreat from the continental shelf edge was underway prior to 14.7 +/- 0.4 cal kyr BP. A paleo-ice-shelf collapse occurred at 12.3 +/- 0.2 cal kyr BP. The grounding position was maintained on the outer-continental shelf until at least 11.5 +/- 0.3 cal kyr BP before experiencing a 200-km retreat. Given the age uncertainties, the major grounding-line retreat lagged ice-shelf collapse by at least two centuries and by as much as fourteen centuries. In the WDB, the centuries-long delay in the retreat of grounded ice was partly due to rapid aggradational stacking of an unusually large volume of grounding-zone-wedge sediment as ice-stream discharge accelerated following ice-shelf collapse. This new deglacial reconstruction shows that ongoing changes to ice shelves may trigger complex dynamics whose consequences are realized only after a significant lag.</t>
  </si>
  <si>
    <t>[Bart, Philip J.] Louisiana State Univ, Dept Geol &amp; Geophys, Baton Rouge, LA 70803 USA; [DeCesare, Matthew] Auburn Univ, Dept Geosci, Auburn, AL 36849 USA; [Rosenheim, Brad E.] Univ S Florida, Coll Marine Sci, St Petersburg, FL 33701 USA; [Majewski, Wojceich] Polish Acad Sci, Inst Paleobiol, PL-00818 Warsaw, Poland; [McGlannan, Austin] Univ Oklahoma, Sch Geol &amp; Geophys, Norman, OK 73019 USA</t>
  </si>
  <si>
    <t>Louisiana State University System; Louisiana State University; Auburn University System; Auburn University; State University System of Florida; University of South Florida; Polish Academy of Sciences; Institute of Paleobiology of the Polish Academy of Sciences; University of Oklahoma System; University of Oklahoma - Norman</t>
  </si>
  <si>
    <t>Bart, PJ (corresponding author), Louisiana State Univ, Dept Geol &amp; Geophys, Baton Rouge, LA 70803 USA.</t>
  </si>
  <si>
    <t>pbart@lsu.edu</t>
  </si>
  <si>
    <t>Rosenheim, Brad/F-6349-2012; Majewski, Wojciech/D-9255-2017</t>
  </si>
  <si>
    <t>Rosenheim, Brad/0000-0001-6141-4651; Majewski, Wojciech/0000-0002-5407-1782</t>
  </si>
  <si>
    <t>NSF [1246357]; Office of Polar Programs (OPP); Directorate For Geosciences [1246357] Funding Source: National Science Foundation</t>
  </si>
  <si>
    <t>NSF(National Science Foundation (NSF)); Office of Polar Programs (OPP); Directorate For Geosciences(National Science Foundation (NSF)NSF - Directorate for Geosciences (GEO))</t>
  </si>
  <si>
    <t>This project was supported by NSF grant #1246357 to P.J.B. We thank the science and shipboard crew from expeditions NBP1502B and -A.</t>
  </si>
  <si>
    <t>10.1038/s41598-018-29911-8</t>
  </si>
  <si>
    <t>WOS:000441876700095</t>
  </si>
  <si>
    <t>Kinzey, D; Watters, GM; Reiss, CS</t>
  </si>
  <si>
    <t>Kinzey, Douglas; Watters, George M.; Reiss, Christian S.</t>
  </si>
  <si>
    <t>Parameter estimation using randomized phases in an integrated assessment model for Antarctic krill</t>
  </si>
  <si>
    <t>FISHERIES STOCK ASSESSMENT; EUPHAUSIA-SUPERBA; UNITED-STATES; DELTA METHOD; FISH STOCKS; UNCERTAINTY; CATCH; MANAGEMENT; RECRUITMENT; STRATEGIES</t>
  </si>
  <si>
    <t>An integrated model assessing the status and productivity of Antarctic krill (Euphausia superba, hereafter krill) was configured to estimate different subsets of 118 potentially estimable parameters in alternative configurations. We fixed the parameters that were not estimated in any given configuration at pre-specified values. The model was fitted to over forty years of fisheries and survey data for krill in Subarea 48.1, a statistical reporting area around the Antarctic Peninsula used by the Commission for the Conservation of Antarctic Marine Living Resources (CCAMLR). The number of estimated parameters was gradually increased across model configurations. Configurations that estimated more parameters fitted the data better, but the order in which the parameters were estimated became more important in finding the best fit. Twenty-two configurations estimating from 48 to 107 parameters were able to obtain an invertible Hessian matrix that was subsequently used to estimate parameter uncertainty. Parameter uncertainties calculated using asymptotic approximation around the maximum likelihood estimates were often larger than uncertainties based on Markov chain Monte Carlo sampling for the same parameters. Diagnostics applied to MCMC samples in the best model of each configuration that obtained an invertible Hessian indicated that the most highly parameterized configurations did not reach stationary distributions. A 96-parameter configuration was the best fitting model of those that passed the MCMC diagnostics. The Delta AIC and Delta BIC scores indicated essentially no support relative to the best model for the alternative models that also passed MCMC diagnostics. Simulated data using the configurations as operating models showed that while all configurations passed self-tests for spawning biomass and recruitment, there was a small negative bias due to model penalties in the fishing mortality estimates for years with the highest fishing mortalities. Cross-tests of configurations that estimated different parameters often differed from the operating model values.</t>
  </si>
  <si>
    <t>[Kinzey, Douglas; Watters, George M.; Reiss, Christian S.] NOAA, Fisheries Antarctic Ecosyst Res Div, La Jolla, CA 92037 USA</t>
  </si>
  <si>
    <t>National Oceanic Atmospheric Admin (NOAA) - USA</t>
  </si>
  <si>
    <t>Kinzey, D (corresponding author), NOAA, Fisheries Antarctic Ecosyst Res Div, La Jolla, CA 92037 USA.</t>
  </si>
  <si>
    <t>doug.kinzey@noaa.gov</t>
  </si>
  <si>
    <t>Watters, George/HPE-2184-2023</t>
  </si>
  <si>
    <t>Watters, George/0000-0002-6989-1273</t>
  </si>
  <si>
    <t>NOAA U. S. Antarctic Marine Living Resources (AMLR) program; Antarctic Marine Living Resources (AMLR) program</t>
  </si>
  <si>
    <t>This project was funded by the NOAA U. S. Antarctic Marine Living Resources (AMLR) program. The funders had no role in study design, data collection and analysis, decision to publish, or preparation of the manuscript.</t>
  </si>
  <si>
    <t>e0202545</t>
  </si>
  <si>
    <t>10.1371/journal.pone.0202545</t>
  </si>
  <si>
    <t>GR1HG</t>
  </si>
  <si>
    <t>WOS:000442282700033</t>
  </si>
  <si>
    <t>Klokocník, J; Kostelecky, J; Bezdek, A</t>
  </si>
  <si>
    <t>Klokocnik, Jaroslav; Kostelecky, Jan; Bezdek, Ales</t>
  </si>
  <si>
    <t>On the detection of the Wilkes Land impact crater</t>
  </si>
  <si>
    <t>EARTH PLANETS AND SPACE</t>
  </si>
  <si>
    <t>East Antarctica; Wilkes Land anomaly; Impact crater/basin/mascon; Antarctic gravito-topographic model; Gravity aspects</t>
  </si>
  <si>
    <t>ANTARCTICA; ANOMALIES; GRAVITY; ICE; HARMONICS</t>
  </si>
  <si>
    <t>The definitive existence of a giant impact crater, two times larger than the Chixulub crater in the Yucatan peninsula, from an extraterrestrial origin, 1.6 km beneath Wilkes Land, East Antarctica, remain controversial. Here, we use the latest high-resolution gravito-topographic geopotential (SatGravRET 2014) model over Antarctica to offer a plausible confirmation of its existence. SatGravRET 2014 has a spatial resolution between 1 and 10 km at most places and included contemporary space gravimetry and gradiometry data from GRACE and GOCE, and other data including Bedmap 2 bedrock topography. We computed the gravity disturbances, the Marussi tensor of the second derivatives of the disturbing potential, the gravity invariants and their specific ratio, the strike angles and the virtual deformations to quantify the detailed geophysical features for the Wilkes Land anomaly. This set of the gravitational parameters revealed enhanced and more detailed geophysical features on the Wilkes Land Crater than previously possible only with the traditional gravity anomalies. Our findings support prior studies stating that in the Wilkes Land there is a huge impact crater/basin with detectable gravity mascon which is mostly consistent with the characteristics of an impact crater.</t>
  </si>
  <si>
    <t>[Klokocnik, Jaroslav; Bezdek, Ales] Czech Acad Sci, Astron Inst, Fricova 298, Ondiejov 25165, Czech Republic; [Kostelecky, Jan] Res Inst Geodesy Topog &amp; Cartog, Zdiby 25066 98, Czech Republic; [Kostelecky, Jan] VSB TU Ostrava, Fac Min &amp; Geol, Ostrava 70833, Czech Republic; [Bezdek, Ales] Czech Tech Univ, Fac Civil Engn, Prague 16629 6, Czech Republic</t>
  </si>
  <si>
    <t>Czech Academy of Sciences; Astronomical Institute of the Czech Academy of Sciences; Research Institute of Geodesy, Topography &amp; Cartography; Technical University of Ostrava; Czech Technical University Prague</t>
  </si>
  <si>
    <t>Klokocník, J (corresponding author), Czech Acad Sci, Astron Inst, Fricova 298, Ondiejov 25165, Czech Republic.</t>
  </si>
  <si>
    <t>jklokocn@asu.cas.cz</t>
  </si>
  <si>
    <t>Klokocnik, Jaroslav/G-9025-2014; Bezdek, Ales/F-8952-2014</t>
  </si>
  <si>
    <t>Bezdek, Ales/0000-0003-2790-2664; Klokocnik, Jaroslav/0000-0003-1034-8089</t>
  </si>
  <si>
    <t>Ministry of Education of the CR [LC 1506, 13-36843S, 679,858 15]; Grant Agency of the Czech Republic, CR [13-36843S]; Czech Academy of Sciences [679,858 15]</t>
  </si>
  <si>
    <t>Ministry of Education of the CR(Ministry of Education, Youth &amp; Sports - Czech Republic); Grant Agency of the Czech Republic, CR(Grant Agency of the Czech Republic); Czech Academy of Sciences(Czech Academy of Sciences)</t>
  </si>
  <si>
    <t>Work of J. Klokocnik and A. Bezdek on the whole paper (data collection, analysis, interpretation of data, writing the manuscript) has been partly paid by the projects # 13-36843S (Grant Agency of the Czech Republic, CR) and RVO # 679,858 15 (Czech Academy of Sciences), work of J. Kostelecky (analysis, interpretation of data, plotting figures, writing the manuscript) was partly supported by the project LC 1506 (PUNTIS) from the Ministry of Education of the CR.</t>
  </si>
  <si>
    <t>SPRINGEROPEN</t>
  </si>
  <si>
    <t>CAMPUS, 4 CRINAN ST, LONDON, N1 9XW, ENGLAND</t>
  </si>
  <si>
    <t>1880-5981</t>
  </si>
  <si>
    <t>EARTH PLANETS SPACE</t>
  </si>
  <si>
    <t>Earth Planets Space</t>
  </si>
  <si>
    <t>10.1186/s40623-018-0904-7</t>
  </si>
  <si>
    <t>GQ7QI</t>
  </si>
  <si>
    <t>WOS:000441939500001</t>
  </si>
  <si>
    <t>Cornils, A; Sieger, R; Mizdalski, E; Schumacher, S; Grobe, H; Schnack-Schiel, SB</t>
  </si>
  <si>
    <t>Cornils, Astrid; Sieger, Rainer; Mizdalski, Elke; Schumacher, Stefanie; Grobe, Hannes; Schnack-Schiel, Sigrid B.</t>
  </si>
  <si>
    <t>Copepod species abundance from the Southern Ocean and other regions (1980-2005) - a legacy</t>
  </si>
  <si>
    <t>EASTERN WEDDELL SEA; LIFE-CYCLE; ZOOPLANKTON COMMUNITY; ATLANTIC SECTOR; RED-SEA; MESOZOOPLANKTON; BIODIVERSITY; PATTERNS; CALANOIDA; INCREASE</t>
  </si>
  <si>
    <t>This data collection originates from the efforts of Sigrid Schnack-Schiel (1946-2016), a zooplankton ecologist with great expertise in life cycle strategies of Antarctic calanoid copepods, who also investigated zoo-plankton communities in tropical and subtropical marine environments. Here, we present 33 data sets with abundances of planktonic copepods from 20 expeditions to the Southern Ocean (Weddell Sea, Scotia Sea, Amundsen Sea, Bellingshausen Sea, Antarctic Peninsula), one expedition to the Magellan region, one latitudinal transect in the eastern Atlantic Ocean, one expedition to the Great Meteor Bank, and one expedition to the northern Red Sea and Gulf of Aqaba as part of her scientific legacy. A total of 349 stations from 1980 to 2005 were archived. During most expeditions depth-stratified samples were taken with a Hydrobios multinet with five or nine nets, thus allowing inter-comparability between the different expeditions. A Nansen or a Bongo net was deployed only during four cruises. Maximum sampling depth varied greatly among stations due to different bottom depths. However, during 11 cruises to the Southern Ocean the maximum sampling depth was restricted to 1000 m, even at locations with greater bottom depths. In the eastern Atlantic Ocean (PS63) sampling depth was restricted to the upper 300 m. All data are now freely available at PANGAEA via the persistent identifier https://doi.org/10.1594/PANGAEA.884619. Abundance and distribution data for 284 calanoid copepod species and 28 taxa of other copepod orders are provided. For selected species the abundance distribution at all stations was explored, revealing for example that species within a genus may have contrasting distribution patterns (Ctenocalanus, Stephos). In combination with the corresponding metadata (sampling data and time, latitude, longitude, bottom depth, sampling depth interval) the analysis of the data sets may add to a better understanding how the environment (currents, temperature, depths, season) interacts with copepod abundance, distribution and diversity. For each calanoid copepod species, females, males and copepodites were counted separately, providing a unique resource for biodiversity and modelling studies. For selected species the five copepodite stages were also counted separately, thus also allowing the data to be used to study life cycle strategies of abundant or key species.</t>
  </si>
  <si>
    <t>[Cornils, Astrid; Mizdalski, Elke; Schumacher, Stefanie; Grobe, Hannes] Alfred Wegener Inst, Helmholtz Zentrum Polar &amp; Meeresforsch, Bremerhaven, Germany</t>
  </si>
  <si>
    <t>Cornils, A (corresponding author), Alfred Wegener Inst, Helmholtz Zentrum Polar &amp; Meeresforsch, Bremerhaven, Germany.</t>
  </si>
  <si>
    <t>astrid.cornils@awi.de</t>
  </si>
  <si>
    <t>Schumacher, Stefanie/R-6427-2017; Cornils, Astrid/P-2943-2014</t>
  </si>
  <si>
    <t>Cornils, Astrid/0000-0003-4536-9015; Schumacher, Stefanie/0000-0002-8310-9743</t>
  </si>
  <si>
    <t>AUG 16</t>
  </si>
  <si>
    <t>10.5194/essd-10-1457-2018</t>
  </si>
  <si>
    <t>GQ6MN</t>
  </si>
  <si>
    <t>WOS:000441830100001</t>
  </si>
  <si>
    <t>Munneke, PK; Luckman, AJ; Bevan, SL; Smeets, CJPP; Gilbert, E; van den Broeke, MR; Wang, W; Zender, C; Hubbard, B; Ashmore, D; Orr, A; King, JC; Kulessa, B</t>
  </si>
  <si>
    <t>Munneke, P. Kuipers; Luckman, A. J.; Bevan, S. L.; Smeets, C. J. P. P.; Gilbert, E.; van den Broeke, M. R.; Wang, W.; Zender, C.; Hubbard, B.; Ashmore, D.; Orr, A.; King, J. C.; Kulessa, B.</t>
  </si>
  <si>
    <t>Intense Winter Surface Melt on an Antarctic Ice Shelf</t>
  </si>
  <si>
    <t>surface energy budget; ice shelves; Antarctic Peninsula; ice shelf stability</t>
  </si>
  <si>
    <t>AUTOMATIC WEATHER STATIONS; HEMISPHERE ANNULAR MODE; ENERGY BALANCE; PENINSULA; MELTWATER; CLIMATE; GREENLAND; GLACIERS; IMPACT; FLUXES</t>
  </si>
  <si>
    <t>The occurrence of surface melt in Antarctica has hitherto been associated with the austral summer season, when the dominant source of melt energy is provided by solar radiation. We use in situ and satellite observations from a previously unsurveyed region to show that events of intense surface melt on Larsen C Ice Shelf occur frequently throughout the dark Antarctic winter, with peak intensities sometimes exceeding summertime values. A regional atmospheric model confirms that in the absence of solar radiation, these multiday melt events are driven by outbreaks of warm and dry fohn wind descending down the leeside of the Antarctic Peninsula mountain range, resulting in downward turbulent fluxes of sensible heat that drive sustained surface melt fluxes in excess of 200 W/m(2). From 2015 to 2017 (including the extreme melt winter of 2016), similar to 23% of the annual melt flux was produced in winter, and spaceborne observations of surface melt since 2000 show that wintertime melt is widespread in some years. Winter melt heats the firn layer to the melting point up to a depth of similar to 3m, thereby facilitating the formation of impenetrable ice layers and retarding or reversing autumn and winter cooling of the firn. While the absence of a trend in winter melt is consistent with insignificant changes in the observed Southern Hemisphere atmospheric circulation during winter, we anticipate an increase in winter melt as a response to increasing greenhouse gas concentration. Plain Language Summary Around the coast of Antarctica, it gets warm enough in summer for snow to start melting, and the sun provides most of the energy for that melt. Almost all meltwater refreezes in the snowpack, but especially on floating glaciers in Antarctica, it has been observed that meltwater forms large ponds. The pressure exerted by these ponds may have led to ice shelves collapsing into numerous icebergs in recent decades. It is therefore important to understand how much meltwater is formed. To find out, we installed an automatic weather station on a glacier in Cabinet Inlet, in the Antarctic Peninsula in 2014. The station recorded temperatures well above the melting point even in winter. The occurrence of winter melt is confirmed by satellite images and by thermometers buried in the snow, which measured a warming of the snow even at 3 m depth. Between 2014 and 2017, about 23% of all melt in Cabinet Inlet occurred in winter. Winter melt is due to warm winds that descend from the mountains, known as fohn. We have not seen the amount of winter melt increasing since 2000. However, we expect winter melt to happen more frequently if greenhouse gas continues to accumulate in the atmosphere.</t>
  </si>
  <si>
    <t>[Munneke, P. Kuipers; Smeets, C. J. P. P.; van den Broeke, M. R.] Univ Utrecht, Inst Marine &amp; Atmospher Res Utrecht, Utrecht, Netherlands; [Luckman, A. J.; Bevan, S. L.; Kulessa, B.] Swansea Univ, Dept Geog, Swansea, W Glam, Wales; [Gilbert, E.; Orr, A.; King, J. C.] NERC, British Antarctic Survey, Cambridge, England; [Gilbert, E.] Univ East Anglia, Sch Environm Sci, Norwich, Norfolk, England; [Wang, W.; Zender, C.] Univ Calif Irvine, Dept Earth Syst Sci, Irvine, CA USA; [Hubbard, B.] Aberystwyth Univ, Dept Geog &amp; Earth Sci, Ctr Glaciol, Aberystwyth, Dyfed, Wales; [Ashmore, D.] Univ Liverpool, Sch Environm Sci, Liverpool, Merseyside, England</t>
  </si>
  <si>
    <t>Utrecht University; Swansea University; UK Research &amp; Innovation (UKRI); Natural Environment Research Council (NERC); NERC British Antarctic Survey; University of East Anglia; University of California System; University of California Irvine; Aberystwyth University; University of Liverpool</t>
  </si>
  <si>
    <t>Munneke, PK (corresponding author), Univ Utrecht, Inst Marine &amp; Atmospher Res Utrecht, Utrecht, Netherlands.</t>
  </si>
  <si>
    <t>p.kuipersmunneke@uu.nl</t>
  </si>
  <si>
    <t>Van den Broeke, Michiel R./F-7867-2011; Zender, Charles S/D-4485-2012; Luckman, Adrian/GVS-1716-2022</t>
  </si>
  <si>
    <t>Van den Broeke, Michiel R./0000-0003-4662-7565; Zender, Charles S/0000-0003-0129-8024; Luckman, Adrian/0000-0002-9618-5905; Ashmore, David/0000-0003-4829-7854; Bevan, Suzanne/0000-0003-2649-2982; Gilbert, Ella/0000-0001-5272-8894; Kulessa, Bernd/0000-0002-4830-4949; Hubbard, Bryn/0000-0002-3565-3875</t>
  </si>
  <si>
    <t>Netherlands Earth System Science Centre (NESSC); Netherlands Organization for Scientific Research (NWO); NERC [NE/L006707]; NERC [NE/J013544/1, NE/K005871/1, NE/L006707/1, bas0100032, NE/L005409/1] Funding Source: UKRI; Natural Environment Research Council [1799897] Funding Source: researchfish</t>
  </si>
  <si>
    <t>Netherlands Earth System Science Centre (NESSC); Netherlands Organization for Scientific Research (NWO)(Netherlands Organization for Scientific Research (NWO)); NERC(UK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</si>
  <si>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the British Antarctic Survey logistics team. Funding of this research was through the Netherlands Earth System Science Centre (NESSC), the Netherlands Organization for Scientific Research (NWO), and NERC grant NE/L006707. E. G. and A. O. acknowledge use of the MONSooN system, supplied by the Joint Weather and Climate Research Programme (Met Office and NERC). The SAR data used in this study are modified Copernicus Sentinel data (2016), processed by the European Space Agency (ESA). All observational data are available at the NERC Polar Data Centre: http://doi.org/10.5285/e3616d28-759e4cca-8fae-fe398f9552ba, and http://doi.org/10.5285/05c9124b-71194d99-8e17-ab754eb3f51c. The authors declare no conflict of interest.</t>
  </si>
  <si>
    <t>10.1029/2018GL077899</t>
  </si>
  <si>
    <t>GR9XA</t>
  </si>
  <si>
    <t>WOS:000443129500043</t>
  </si>
  <si>
    <t>Neeley, AR; Harris, LA; Frey, KE</t>
  </si>
  <si>
    <t>Neeley, A. R.; Harris, L. A.; Frey, K. E.</t>
  </si>
  <si>
    <t>Unraveling Phytoplankton Community Dynamics in the Northern Chukchi Sea Under Sea-Ice-Covered and Sea-Ice-Free Conditions</t>
  </si>
  <si>
    <t>ANTARCTIC PENINSULA; CLIMATE-CHANGE; ARCTIC OCEANS; BEAUFORT SEAS; PACIFIC; SUMMER; ECOSYSTEM; BLOOMS; WINTER; ENVIRONMENT</t>
  </si>
  <si>
    <t>The timing of sea ice retreat, light availability, and sea surface stratification largely control the phytoplankton community composition in the Chukchi Sea. This region is experiencing a significant warming trend, an overall decrease in sea ice cover, and a documented decline in annual sea ice persistence and thickness over the past several decades. The consequences of earlier seasonal sea ice retreat and a longer sea-ice-free season on phytoplankton community composition warrant investigation. We applied multivariate statistical techniques to elucidate the mechanisms that relate environmental variables to phytoplankton community composition in the Chukchi Sea using data collected during a single field campaign in the summer of 2011. Three phytoplankton groups emerged that were correlated with sea ice, sea surface temperature, nutrients, salinity, and light. Longer ice-free duration in a future Chukchi Sea will result in warmer sea surface temperatures and nutrient depletion, which we conclude will favor other phytoplankton types over larger diatoms. Plain Language Summary In the Chukchi Sea, the seasonality of sea ice shapes ecosystem structure of the water column under both sea-ice-covered and sea-ice-free conditions. As such, phytoplankton community composition under both conditions responds to water column structure and nutrient availability. Owing to recent warming in the Arctic, sea ice is thinner and retreats earlier. To date, we do not fully understand the long-term consequences of earlier sea ice retreat on phytoplankton community composition and carbon biomass. To this end, we used environmental and phytoplankton data to relate how differences in ecosystem function under sea-ice-covered and sea-ice-free conditions govern phytoplankton communities. The results from this data set suggest that a future, sea-ice-free Chukchi Sea will exhibit lower phytoplankton biomass, impacting the food web and carbon export.</t>
  </si>
  <si>
    <t>[Neeley, A. R.] NASA, Goddard Space Flight Ctr, Greenbelt, MD 20771 USA; [Neeley, A. R.] Sci Syst &amp; Applicat Inc, Lanham, MD 20706 USA; [Neeley, A. R.; Harris, L. A.] Univ Maryland, Ctr Environm Sci, Solomons, MD 20688 USA; [Frey, K. E.] Clark Univ, Grad Sch Geog, Worcester, MA 01610 USA</t>
  </si>
  <si>
    <t>National Aeronautics &amp; Space Administration (NASA); NASA Goddard Space Flight Center; Science Systems and Applications Inc; University System of Maryland; University of Maryland Center for Environmental Science; Clark University</t>
  </si>
  <si>
    <t>Neeley, AR (corresponding author), NASA, Goddard Space Flight Ctr, Greenbelt, MD 20771 USA.;Neeley, AR (corresponding author), Sci Syst &amp; Applicat Inc, Lanham, MD 20706 USA.;Neeley, AR (corresponding author), Univ Maryland, Ctr Environm Sci, Solomons, MD 20688 USA.</t>
  </si>
  <si>
    <t>aimee.neeley@nasa.gov</t>
  </si>
  <si>
    <t>Harris, Lora/AAD-4735-2022</t>
  </si>
  <si>
    <t>Harris, Lora/0000-0002-7139-1569</t>
  </si>
  <si>
    <t>National Aeronautics and Space Administration (NASA) [NNG15HQ01C]; NASA; NASA Cryospheric Sciences Program [NNX14AH61G]; NSF Arctic Sciences Division [ARC-1204044]</t>
  </si>
  <si>
    <t>National Aeronautics and Space Administration (NASA)(National Aeronautics &amp; Space Administration (NASA)); NASA(National Aeronautics &amp; Space Administration (NASA)); NASA Cryospheric Sciences Program(National Aeronautics &amp; Space Administration (NASA)); NSF Arctic Sciences Division(National Science Foundation (NSF))</t>
  </si>
  <si>
    <t>A. Neeley was supported by funding from the Ocean Biology and Biogeochemistry program of the National Aeronautics and Space Administration (NASA; NNG15HQ01C). We also acknowledge NASA support for the GSFC OBB Field Support Group who participated in the ICESCAPE campaigns. Funding to K. Frey was provided by the NASA Cryospheric Sciences Program (NNX14AH61G) and NSF Arctic Sciences Division (ARC-1204044). We extend appreciation to the scientists and crew of the U.S. Coast Guard Cutter Healy and to chief scientist Kevin Arrigo from Stanford University. We also extend our gratitude to Ivona Cetinic (NASA, USRA), Carlos DelCastillo (NASA), Jacqueline Grebmeier (UMCES), and Raleigh Hood (UMCES) for their input. We acknowledge Sam Laney from WHOI who provided the phytoplankton taxonomic data and Scripps Institute of Oceanography ODF group for collecting and processing CTD and nutrient data. Data are available as supporting information. This is contribution number 5510 of UMCES-CBL.</t>
  </si>
  <si>
    <t>10.1029/2018GL077684</t>
  </si>
  <si>
    <t>WOS:000443129500048</t>
  </si>
  <si>
    <t>Cao, B; Zhang, TJ; Peng, XQ; Mu, CC; Wang, QF; Zheng, L; Wang, K; Zhong, XY</t>
  </si>
  <si>
    <t>Cao, Bin; Zhang, Tingjun; Peng, Xiaoqing; Mu, Cuicui; Wang, Qingfeng; Zheng, Lei; Wang, Kang; Zhong, Xinyue</t>
  </si>
  <si>
    <t>Thermal Characteristics and Recent Changes of Permafrost in the Upper Reaches of the Heihe River Basin, Western China</t>
  </si>
  <si>
    <t>permafrost; seasonally frozen ground; Heihe River Basin; Qilian Mountains</t>
  </si>
  <si>
    <t>ACTIVE-LAYER THICKNESS; QINGHAI-TIBET PLATEAU; CLIMATE-CHANGE; QILIAN MOUNTAINS; ALPINE ECOSYSTEMS; ARCTIC PERMAFROST; THERMOKARST LAKE; AIR-TEMPERATURE; BEILUHE BASIN; SOURCE AREA</t>
  </si>
  <si>
    <t>To investigate the thermal characteristics and dynamics of permafrost as well as seasonally frozen ground over the upper reaches of the Heihe River Basin (URHR), an observation network with 14 boreholes was established during 2011-2014. The in situ measurements indicated mean annual air temperature that ranged from -5.2 to -2.3 degrees C at the monitored elevation range of approximate to 3,600-4,150m, and mean annual ground surface temperature that ranged from -1.3 to 1.7 degrees C during 2013-2017. The mean annual ground temperature at 16- to 18-m depth ranged from -1.71 degrees C on the high (&gt;4,000 m above sea level) north facing slope to about 0-C around areas near the lower limit of permafrost. Active layer thickness at the monitored sites varied significantly with the range of 0.77-4.90m during 2011-2017, and maximum frozen depth in seasonally frozen ground was about 5m. Permafrost thickness was between approximate to 136m and less than 10m. Both permafrost and seasonally frozen ground were found to be subject to serious warming during the measured period in the URHR. This study provides new quantitative insights for permafrost and seasonally frozen ground in the URHR. Key Points</t>
  </si>
  <si>
    <t>[Cao, Bin; Zhang, Tingjun; Peng, Xiaoqing; Mu, Cuicui] Lanzhou Univ, Key Lab Western Chinas Environm Syst, Coll Earth &amp; Environm Sci, Minist Educ, Lanzhou, Gansu, Peoples R China; [Wang, Qingfeng] Chinese Acad Sci, Cold &amp; Arid Reg Environm &amp; Engn Res Inst, State Key Lab Frozen Soil Engn, Lanzhou, Gansu, Peoples R China; [Zheng, Lei] Wuhan Univ, Chinese Antarctic Ctr Surveying &amp; Mapping, Wuhan, Hubei, Peoples R China; [Wang, Kang] Univ Colorado, Inst Arctic &amp; Alpine Res, Boulder, CO 80309 USA; [Zhong, Xinyue] Chinese Acad Sci, Key Lab Remote Sensing Gansu Prov, Cold &amp; Arid Reg Environm &amp; Engn Res Inst, Lanzhou, Gansu, Peoples R China</t>
  </si>
  <si>
    <t>Lanzhou University; Chinese Academy of Sciences; Cold &amp; Arid Regions Environmental &amp; Engineering Research Institute, CAS; Wuhan University; University of Colorado System; University of Colorado Boulder; Chinese Academy of Sciences; Cold &amp; Arid Regions Environmental &amp; Engineering Research Institute, CAS</t>
  </si>
  <si>
    <t>Zhang, TJ (corresponding author), Lanzhou Univ, Key Lab Western Chinas Environm Syst, Coll Earth &amp; Environm Sci, Minist Educ, Lanzhou, Gansu, Peoples R China.</t>
  </si>
  <si>
    <t>tjzhang@lzu.edu.cn</t>
  </si>
  <si>
    <t>Cao, Bin/AAH-7172-2019; ZHANG, TINGJUN/AAX-3662-2020; mu, cuicui/AAU-2733-2020; peng, xiaoqing/ABE-1509-2021; Zhong, Xinyue/AAI-1170-2019; Mu, Cuicui/KBD-1913-2024; Wang, Kang/J-7351-2019; Zheng, Lei/AAU-3788-2020</t>
  </si>
  <si>
    <t>Cao, Bin/0000-0003-2473-2276; mu, cuicui/0000-0003-0630-9423; peng, xiaoqing/0000-0002-1789-7809; Zhong, Xinyue/0000-0002-4028-5480; Wang, Kang/0000-0003-3416-572X; ZHANG, Tingjun/0000-0001-6974-9501</t>
  </si>
  <si>
    <t>National Natural Science Foundation of China [91325202]; National Key Scientific Research Program of China [2013CBA01802]; Fundamental Research Funds for the Central Universities [lzujbky_2016_281, 862863]</t>
  </si>
  <si>
    <t>National Natural Science Foundation of China(National Natural Science Foundation of China (NSFC)); National Key Scientific Research Program of China; Fundamental Research Funds for the Central Universities(Fundamental Research Funds for the Central Universities)</t>
  </si>
  <si>
    <t>The authors would like to thank the colleagues with their help in the field. We would also like to thank Stephan Gruber and Lin Liu for their constructive suggestions. The research was supported by National Natural Science Foundation of China(91325202). Partly, work was supported by the National Key Scientific Research Program of China (2013CBA01802) and by the Fundamental Research Funds for the Central Universities (lzujbky_2016_281, 862863). The data used in this study are present in the main text. Bin Cao carried out this study by conducting field measurements, analyzing data, performing the simulations, and by structuring as well as writing the paper. Tingjun Zhang conceived and guided the project, designed the filed measurements, and contributed to structuring and writing the paper. Xinyue Zhong contributed to the interpolations of the snow cover characteristics. The other co-authors contributed to the measurements and writing of the paper.</t>
  </si>
  <si>
    <t>10.1029/2018JD028442</t>
  </si>
  <si>
    <t>GS3YY</t>
  </si>
  <si>
    <t>WOS:000443566900009</t>
  </si>
  <si>
    <t>Peterson, CD; Lisiecki, LE</t>
  </si>
  <si>
    <t>Peterson, Carlye D.; Lisiecki, Lorraine E.</t>
  </si>
  <si>
    <t>Deglacial carbon cycle is observed in a compilation of 127 benthic δ13C time series (20-6 ka)</t>
  </si>
  <si>
    <t>DEEP-WATER CIRCULATION; NORTH-ATLANTIC INTERMEDIATE; MERIDIONAL OVERTURNING CIRCULATION; LAST GLACIAL MAXIMUM; ANTARCTIC SEA-ICE; ATMOSPHERIC CO2; TERRESTRIAL BIOSPHERE; ABYSSAL CIRCULATION; ISOTOPE COMPOSITION; SOUTH-ATLANTIC</t>
  </si>
  <si>
    <t>We present a compilation of 127 time series delta C-13 records from Cibicides wuellerstorfi spanning the last deglaciation (20-6 ka) which is well-suited for reconstructing large-scale carbon cycle changes, especially for comparison with isotope-enabled carbon cycle models. The age models for the delta C-13 records are derived from regional planktic radiocarbon compilations (Stern and Lisiecki, 2014). The delta C-13 records were stacked in nine different regions and then combined using volume-weighted averages to create intermediate, deep, and global delta C-13 stacks. These benthic delta C-13 stacks are used to reconstruct changes in the size of the terrestrial biosphere and deep ocean carbon storage. The timing of change in global mean delta C-13 is interpreted to indicate terrestrial biosphere expansion from 19-6 ka. The delta C-13 gradient between the intermediate and deep ocean, which we interpret as a proxy for deep ocean carbon storage, matches the pattern of atmospheric CO2 change observed in ice core records. The presence of signals associated with the terrestrial biosphere and atmospheric CO2 indicates that the compiled delta C-13 records have sufficient spatial coverage and time resolution to accurately reconstruct large-scale carbon cycle changes during the glacial termination.</t>
  </si>
  <si>
    <t>[Peterson, Carlye D.] Univ Calif Riverside, Dept Earth Sci, Riverside, CA 92521 USA; [Peterson, Carlye D.; Lisiecki, Lorraine E.] Univ Calif Santa Barbara, Dept Earth Sci, Santa Barbara, CA 93106 USA</t>
  </si>
  <si>
    <t>University of California System; University of California Riverside; University of California System; University of California Santa Barbara</t>
  </si>
  <si>
    <t>Peterson, CD (corresponding author), Univ Calif Riverside, Dept Earth Sci, Riverside, CA 92521 USA.;Peterson, CD (corresponding author), Univ Calif Santa Barbara, Dept Earth Sci, Santa Barbara, CA 93106 USA.</t>
  </si>
  <si>
    <t>carlye.peterson@gmail.com</t>
  </si>
  <si>
    <t>Lisiecki, Lorraine E/C-4066-2008</t>
  </si>
  <si>
    <t>Peterson, Carlye/0000-0003-1839-7299; Lisiecki, Lorraine/0000-0001-7859-0096</t>
  </si>
  <si>
    <t>NSF [MGG 0926735, CDI 1125181]</t>
  </si>
  <si>
    <t>NSF(National Science Foundation (NSF))</t>
  </si>
  <si>
    <t>We acknowledge the following colleagues and reviewers whose advice and input substantially improved drafts of this manuscript: David Lea, Syee Weldeab, Jake Gebbie, Andy Ridgwell, James Rae, Andreas Schmittner, Peter Kohler, Lukas Jonkers, and an anonymous reviewer. Additionally, we thank the staff at PANGAEA, Delphi, and NOAA-NCDC data repositories who helped verify details of data sets, DOIs, URLs, and references. Funding for this work came from NSF grants MGG 0926735 and CDI 1125181.</t>
  </si>
  <si>
    <t>10.5194/cp-14-1229-2018</t>
  </si>
  <si>
    <t>GQ6BV</t>
  </si>
  <si>
    <t>WOS:000441786100001</t>
  </si>
  <si>
    <t>Oimatsu, S; Nosé, M; Teramoto, M; Yamamoto, K; Matsuoka, A; Kasahara, S; Yokota, S; Keika, K; Le, G; Nomura, R; Fujimoto, A; Sormakov, D; Troshichev, O; Tanaka, YM; Shinohara, M; Shinohara, I; Miyoshi, Y; Slavin, JA; Ergun, RE; Lindqvist, PA</t>
  </si>
  <si>
    <t>Oimatsu, S.; Nose, M.; Teramoto, M.; Yamamoto, K.; Matsuoka, A.; Kasahara, S.; Yokota, S.; Keika, K.; Le, G.; Nomura, R.; Fujimoto, A.; Sormakov, D.; Troshichev, O.; Tanaka, Y. -M.; Shinohara, M.; Shinohara, I.; Miyoshi, Y.; Slavin, J. A.; Ergun, R. E.; Lindqvist, P. -A.</t>
  </si>
  <si>
    <t>Drift-Bounce Resonance Between Pc5 Pulsations and Ions at Multiple Energies in the Nightside Magnetosphere: Arase and MMS Observations</t>
  </si>
  <si>
    <t>VAN ALLEN PROBES; FREQUENCY GEOMAGNETIC-PULSATIONS; CHARGED-PARTICLE BEHAVIOR; INNER MAGNETOSPHERE; ULF WAVES; TRAPPED-PARTICLES; RADIAL TRANSPORT; PC-5 WAVES; O+ IONS; FIELD</t>
  </si>
  <si>
    <t>A Pc5 wave is observed by the Exploration of energization and Radiation in Geospace Arase satellite in the inner magnetosphere (L similar to 5.4-6.1) near postmidnight (L-magnetic local time similar to 1.8-2.5 hr) during the storm recovery phase on 27 March 2017. Its azimuthal wave number (m-number) is estimated using two independent methods with satellites and ground observations to be -8 to -15. The direct measurement of the m-number enables us to calculate the resonance energy. The flux oscillations of H+ and O+ ions at &gt;= 56.3 keV are caused by drift resonance and those of O+ ions at &lt;= 18.6 keV by bounce resonance. Resonances of O+ ions at multiple energies are simultaneously observed for the first time. The enhancement of the O+/H+ flux ratio at &lt;= 18.6 keV indicates selective acceleration of O+ ions through bounce resonance. Plain Language Summary Geomagnetic pulsations are magnetic fluctuations excited by solar wind or plasma instabilities in the magnetosphere. Pc5 waves are continuous geomagnetic pulsations with a period of 150-600 s. A Pc5 wave was observed in the inner magnetosphere during a magnetic storm on 27 March 2017. It propagated westward with a wave number of 8 to 15 and resonated with charged particles, resulting in oscillations of the H+ and O+ ion fluxes at &gt;= 56.3 keV and the O+ ion fluxes at &lt;= 18.6 keV. Resonances of O+ ions at multiple energies are simultaneously observed for the first time. At the same time, the O+/H+ flux ratio at &lt;= 18.6 keV enhanced corresponding to the O+ ion flux oscillations, which indicates selective acceleration of O+ ions through resonances.</t>
  </si>
  <si>
    <t>[Oimatsu, S.; Nose, M.; Yamamoto, K.] Kyoto Univ, Grad Sch Sci, Kyoto, Japan; [Teramoto, M.; Miyoshi, Y.] Nagoya Univ, Inst Space Earth Environm Res, Nagoya, Aichi, Japan; [Matsuoka, A.; Shinohara, I.] Japan Aerosp Explorat Agcy, Inst Space &amp; Astronaut Sci, Tokyo, Japan; [Kasahara, S.; Keika, K.] Univ Tokyo, Grad Sch Sci, Tokyo, Japan; [Yokota, S.] Osaka Univ, Grad Sch Sci, Suita, Osaka, Japan; [Le, G.] NASA, Heliophys Sci Div, Goddard Space Flight Ctr, Greenbelt, MD USA; [Nomura, R.] Japan Aerosp Explorat Agcy, Environm Test Technol Unit, Tokyo, Japan; [Fujimoto, A.] Kyushu Univ, Int Ctr Space Weather Sci &amp; Educ, Fukuoka, Fukuoka, Japan; [Sormakov, D.; Troshichev, O.] Arctic &amp; Antarctic Res Inst, St Petersburg, Russia; [Tanaka, Y. -M.] Natl Inst Polar Res, Tokyo, Japan; [Shinohara, M.] Kagoshima Coll, Natl Inst Technol, Kagoshima, Japan; [Slavin, J. A.] Univ Michigan, Dept Climate &amp; Space Sci &amp; Engn, Ann Arbor, MI 48109 USA; [Ergun, R. E.] Univ Colorado, Dept Astrophys &amp; Planetary Sci, Denver, CO 80202 USA; [Lindqvist, P. -A.] Royal Inst Technol, Stockholm, Sweden</t>
  </si>
  <si>
    <t>Kyoto University; Nagoya University; Japan Aerospace Exploration Agency (JAXA); Institute of Space &amp; Astronautical Science (ISAS); University of Tokyo; Osaka University; National Aeronautics &amp; Space Administration (NASA); NASA Goddard Space Flight Center; Japan Aerospace Exploration Agency (JAXA); Kyushu University; Arctic &amp; Antarctic Research Institute; Research Organization of Information &amp; Systems (ROIS); National Institute of Polar Research (NIPR) - Japan; University of Michigan System; University of Michigan; University of Colorado System; University of Colorado Denver; Royal Institute of Technology</t>
  </si>
  <si>
    <t>Oimatsu, S (corresponding author), Kyoto Univ, Grad Sch Sci, Kyoto, Japan.</t>
  </si>
  <si>
    <t>oimatsu@kugi.kyoto-u.ac.jp</t>
  </si>
  <si>
    <t>Kasahara, Satoshi/T-4592-2019; Miyoshi, Yoshizumi/T-5748-2019; Slavin, James A/H-3170-2012; Sormakov, Dmitry A/K-1695-2014; MMS, Science Team NASA/J-5393-2013; Nose, Masahito/B-1900-2015; Nose, Masahito/ISU-3248-2023; Le, Guan/C-9524-2012; Lindqvist, Per-Arne/G-1221-2016</t>
  </si>
  <si>
    <t>Kasahara, Satoshi/0000-0002-3479-772X; Miyoshi, Yoshizumi/0000-0001-7998-1240; Slavin, James A/0000-0002-9206-724X; Nose, Masahito/0000-0002-2789-3588; Le, Guan/0000-0002-9504-5214; Yamamoto, Kazuhiro/0000-0002-2515-8643; Oimatsu, Satoshi/0000-0002-6757-6886; Lindqvist, Per-Arne/0000-0001-5617-9765; Teramoto, Mariko/0000-0001-5983-1149; Keika, Kunihiro/0000-0003-0265-4318; yokota, shoichiro/0000-0001-8851-9146</t>
  </si>
  <si>
    <t>Japan Society for the Promotion of Science (JSPS) [16H04057, 17K18804, 16H06286, 17K14400, 15H05815]; Grants-in-Aid for Scientific Research [17K14400, 17K18804] Funding Source: KAKEN</t>
  </si>
  <si>
    <t>We thank Dr. K. Takahashi for his valuable comments. We appreciate all people dedicated to the Arase mission. The works of M. T. and Y. M. were partly done at ERG-SC. Science data of the Arase satellite were obtained from the ERG Science Center operated by ISAS/JAXA and ISEE/Nagoya University (http://ergsc.isee.nagoya-u.ac.jp/index.shtml.en). The Arase satellite data will be publicly available via ERG Science Center on a project-agreed schedule. The present study analyzed the MGF L2 v01.01 data, the MEP-i L2 v01_00 data, and the MEP-e L2 v01_00 data. The magnetic field and electric field data observed by FGM and EDP onboard MMS1 are available via MMS science data center at https://lasp.colorado.edu/mms/sdc/public/. Solar wind data were obtained from OMNI database at https://omniweb.gsfc.nasa.gov. The Dst index was provided by the World Data Center for Geomagnetism, Kyoto, and is available at http://wdc.kugi.kyoto-u.ac.jp. This study is supported by Japan Society for the Promotion of Science (JSPS), Grant-in-Aid for Scientific Research (B) (grant 16H04057), Challenging Research (Pioneering) (17K18804), Grant-in-Aid for Specially Promoted Research (16H06286), and Grant-in-Aid for Young Scientists (B) (grant 17K14400). Y. M. is supported by Japan Society for the Promotion of Science (JSPS), Grant-in-Aid for Scientific Research on Innovative Areas (grant 15H05815).</t>
  </si>
  <si>
    <t>10.1029/2018GL078961</t>
  </si>
  <si>
    <t>WOS:000443129500005</t>
  </si>
  <si>
    <t>Wilka, C; Shah, K; Stone, K; Solomon, S; Kinnison, D; Mills, M; Schmidt, A; Neely, RR</t>
  </si>
  <si>
    <t>Wilka, Catherine; Shah, Kasturi; Stone, Kane; Solomon, Susan; Kinnison, Douglas; Mills, Michael; Schmidt, Anja; Neely, Ryan R., III</t>
  </si>
  <si>
    <t>On the Role of Heterogeneous Chemistry in Ozone Depletion and Recovery</t>
  </si>
  <si>
    <t>ozone depletion; ozone recovery; stratosphere; heterogeneous chemistry; volcanic aerosols</t>
  </si>
  <si>
    <t>COMMUNITY CLIMATE MODEL; STRATOSPHERIC OZONE; ANTARCTIC OZONE; VERTICAL-DISTRIBUTION; CIRCULATION CHANGES; SAGE II; TRENDS; ATMOSPHERE; LAYER; DESTRUCTION</t>
  </si>
  <si>
    <t>We demonstrate that identification of stratospheric ozone changes attributable to ozone depleting substances and actions taken under the Montreal Protocol requires evaluation of confounding influences from volcanic eruptions. Using a state-of-the-art chemistry-climate model, we show that increased stratospheric aerosol loading from volcanic eruptions after 2004 impeded the rate of ozone recovery post-2000. In contrast, eruptions increased ozone loss rates over the depletion era from 1980 to 1998. We also present calculations without any aerosol chemistry to isolate contributions from gas-phase chemistry alone. This study reinforces the need for accurate information regarding stratospheric aerosol loading when modeling ozone changes, particularly for the challenging task of accurately identifying the early signs of ozone healing distinct from other sources of variability. Plain Language Summary This study examines the impact of volcanic eruptions on ozone depletion and recovery. Volcanic eruptions increase stratospheric aerosols and thereby enhance ozone depletion. Model simulations indicate that several large eruptions increased the rate of ozone depletion from 1979 to 1998, while a series of moderate eruptions after 2004 slowed the rate of ozone recovery from 1999 to 2014. The Montreal Protocol's effectiveness in restoring the ozone layer can be expected to emerge most clearly whenever volcanically quiescent periods occur in the future.</t>
  </si>
  <si>
    <t>[Wilka, Catherine; Shah, Kasturi; Stone, Kane; Solomon, Susan] MIT, Dept Earth Atmospher &amp; Planetary Sci, 77 Massachusetts Ave, Cambridge, MA 02139 USA; [Kinnison, Douglas; Mills, Michael] Natl Ctr Atmospher Res, Atmospher Chem Observat &amp; Modeling Lab, Boulder, CO 80307 USA; [Schmidt, Anja] Univ Cambridge, Dept Chem, Cambridge, England; [Schmidt, Anja] Univ Cambridge, Dept Geog, Cambridge, England; [Neely, Ryan R., III] Univ Leeds, Sch Earth &amp; Environm, Leeds, W Yorkshire, England; [Neely, Ryan R., III] Univ Leeds, Natl Ctr Atmospher Sci, Leeds, W Yorkshire, England</t>
  </si>
  <si>
    <t>Massachusetts Institute of Technology (MIT); National Center Atmospheric Research (NCAR) - USA; University of Cambridge; University of Cambridge; University of Leeds; UK Research &amp; Innovation (UKRI); Natural Environment Research Council (NERC); NERC National Centre for Atmospheric Science; University of Leeds</t>
  </si>
  <si>
    <t>Wilka, C (corresponding author), MIT, Dept Earth Atmospher &amp; Planetary Sci, 77 Massachusetts Ave, Cambridge, MA 02139 USA.</t>
  </si>
  <si>
    <t>cwilka@mit.edu</t>
  </si>
  <si>
    <t>Schmidt, Anja/ABD-7113-2021; Neely III, Ryan R./F-8702-2010; Mills, Michael/B-5068-2010</t>
  </si>
  <si>
    <t>Schmidt, Anja/0000-0001-8759-2843; Neely III, Ryan R./0000-0003-4560-4812; Wilka, Catherine/0000-0002-2917-1140; Mills, Michael/0000-0002-8054-1346</t>
  </si>
  <si>
    <t>U.S. National Science Foundation (NSF) atmospheric chemistry division [1539972]; NSF [AGS-138814]; NASA LWS [NNX14AH54G]; NSF; Office of Science of the U.S. Department of Energy; New Zealand Deep South National Science Challenge; Div Atmospheric &amp; Geospace Sciences; Directorate For Geosciences [1539972] Funding Source: National Science Foundation; NERC [NE/R017026/1] Funding Source: UKRI</t>
  </si>
  <si>
    <t>U.S. National Science Foundation (NSF) atmospheric chemistry division; NSF(National Science Foundation (NSF)); NASA LWS(National Aeronautics &amp; Space Administration (NASA)); NSF(National Science Foundation (NSF)); Office of Science of the U.S. Department of Energy(United States Department of Energy (DOE)); New Zealand Deep South National Science Challenge; Div Atmospheric &amp; Geospace Sciences; Directorate For Geosciences(National Science Foundation (NSF)NSF - Directorate for Geosciences (GEO)); NERC(UK Research &amp; Innovation (UKRI)Natural Environment Research Council (NERC))</t>
  </si>
  <si>
    <t>K. Stone and S. Solomon were partially supported by the U.S. National Science Foundation (NSF) atmospheric chemistry division grant 1539972 and by NSF AGS-138814. D. Kinnison was partially supported by the NASA LWS Grant NNX14AH54G. The National Center for Atmospheric Research (NCAR) is sponsored by the NSF. WACCM is a component of the Community Earth System Model (CESM), which is supported by the NSF and the Office of Science of the U.S. Department of Energy. The complete time history of calculated aerosol properties is available on the Earth System Grid (https://doi.org/10.5065/D6S180JM). Further model results presented in this paper are available upon request to the WACCM liaison, Michael Mills mmills@ucar.edu. Computing resources were provided by NCAR's Climate Simulation Laboratory, sponsored by NSF and other agencies. This research was enabled by the computational and storage resources of NCAR's Computational and Information System Laboratory (CISL). We thank Greg Bodeker of Bodeker Scientific, funded by the New Zealand Deep South National Science Challenge, for providing the combined TCO database. We thank NASA Goddard Space Flight Center for the MERRA data (accessed freely online at http://disc.sci.gsfc.nasa.gov/).</t>
  </si>
  <si>
    <t>10.1029/2018GL078596</t>
  </si>
  <si>
    <t>WOS:000443129500067</t>
  </si>
  <si>
    <t>Chu, XZ; Zhao, J; Lu, X; Harvey, VL; Jones, RM; Becker, E; Chen, C; Fong, WC; Yu, ZB; Roberts, BR; Dörnbrack, A</t>
  </si>
  <si>
    <t>Chu, Xinzhao; Zhao, Jian; Lu, Xian; Harvey, V. Lynn; Jones, R. Michael; Becker, Erich; Chen, Cao; Fong, Weichun; Yu, Zhibin; Roberts, Brendan R.; Doernbrack, Andreas</t>
  </si>
  <si>
    <t>Lidar Observations of Stratospheric Gravity Waves From 2011 to 2015 at McMurdo (77.84°S, 166.69°E), Antarctica: 2. Potential Energy Densities, Lognormal Distributions, and Seasonal Variations</t>
  </si>
  <si>
    <t>stratospheric gravity waves; potential energy density; lognormal distributions; wave dissipation; polar vortex; Antarctic lidar observations</t>
  </si>
  <si>
    <t>MIDDLE ATMOSPHERE; GENERAL-CIRCULATION; CLIMATE MODELS; SYOWA STATION; MOMENTUM FLUX; VORTEX; 166.7-DEGREES-E; 77.8-DEGREES-S; TEMPERATURE; MESOSPHERE</t>
  </si>
  <si>
    <t>Five years of Fe Boltzmann lidar's Rayleigh temperature data from 2011 to 2015 at McMurdo are used to characterize gravity wave potential energy mass density (Epm), potential energy volume density (Epv), vertical wave number spectra, and static stability N2 in the stratosphere 30-50 km. Epm (Epv) profiles increase (decrease) with altitude, and the scale heights of Epv indicate stronger wave dissipation in winter than in summer. Altitude mean Epm and Epv obey lognormal distributions and possess narrowly clustered small values in summer but widely spread large values in winter. Epm and Epv vary significantly from observation to observation but exhibit repeated seasonal patterns with summer minima and winter maxima. The winter maxima in 2012 and 2015 are higher than in other years, indicating interannual variations. Altitude mean N2 varies by 30-40% from the midwinter maxima to minima around October and exhibits a nearly bimodal distribution. Monthly mean vertical wave number power spectral density for vertical wavelengths of 5-20 km increases from summer to winter. Using Modern Era Retrospective Analysis for Research and Applications version 2 data, we find that large values of Epm during wintertime occur whenMcMurdo is well inside the polar vortex. Monthly mean Epm are anticorrelated with wind rotation angles but positively correlated with wind speeds at 3 and 30 km. Corresponding correlation coefficients are 0.62, + 0.87, and + 0.80, respectively. Results indicate that the summer-winter asymmetry of Epm is mainly caused by critical level filtering that dissipates most gravity waves in summer. Epm variations in winter are mainly due to variations of gravity wave generation in the troposphere and stratosphere and Doppler shifting by the mean stratospheric winds. Plain Language Summary Persistent and dominant inertia-gravity waves (IGWs) are meandering around McMurdo, Antarctica, from the stratosphere to the lower thermosphere all year round. However, the wave sources are still mysterious and in a hot debate. This paper represents a significant step forward in the wave source searching by the following intriguing findings: Large wave energy occurs when McMurdo is deep inside the polar vortex, consistent with the fact that the vertical propagation angle of McMurdo IGWs is shallow so that wave sources are not local; potential energy density shows the repeated seasonal patterns with summer minima and winter maxima, and larger energy density corresponds to strong surface and stratospheric winds, but minimal rotation angle of background winds. These findings imply that primary wave sources near the surface and secondary wave sources in the stratosphere could both exist, while background winds play a role of filtering certain wave spectra, Doppler-shifting vertical wavelengths, and therefore controlling wave propagation and dissipation. The complex interplay of wave source, dissipation, and saturation gives rise to what are observed in the current paper. These important observational facts help model simulations to narrow down the wave sources.</t>
  </si>
  <si>
    <t>[Chu, Xinzhao; Zhao, Jian; Lu, Xian; Jones, R. Michael; Chen, Cao; Fong, Weichun; Yu, Zhibin; Roberts, Brendan R.] Univ Colorado, Cooperat Inst Res Environm Sci, Boulder, CO 80309 USA; [Chu, Xinzhao; Zhao, Jian; Chen, Cao; Fong, Weichun; Yu, Zhibin; Roberts, Brendan R.] Univ Colorado, Dept Aerosp Engn Sci, Boulder, CO 80309 USA; [Lu, Xian] Clemson Univ, Dept Phys &amp; Astron, Clemson, SC 29634 USA; [Harvey, V. Lynn] Univ Colorado, Lab Atmospher &amp; Space Phys, Boulder, CO 80309 USA; [Becker, Erich] Univ Rostock, Leibniz Inst Atmospher Phys, Kuhlungsborn, Germany; [Doernbrack, Andreas] DLR Oberpfaffenhofen, Inst Phys Atmosphare, Oberpfaffenhofen, Germany</t>
  </si>
  <si>
    <t>University of Colorado System; University of Colorado Boulder; University of Colorado System; University of Colorado Boulder; Clemson University; University of Colorado System; University of Colorado Boulder; University of Rostock; Leibniz Institut fur Atmospharenphysik e.V. an der Universitat Rostock (IAP); Helmholtz Association; German Aerospace Centre (DLR)</t>
  </si>
  <si>
    <t>Chu, XZ; Zhao, J (corresponding author), Univ Colorado, Cooperat Inst Res Environm Sci, Boulder, CO 80309 USA.</t>
  </si>
  <si>
    <t>xinzhao.chu@colorado.edu; jian.zhao@colorado.edu</t>
  </si>
  <si>
    <t>Lu, Xian/AAZ-3385-2021; Yu, Zhibin/GZA-3374-2022; Harvey, Lynn/M-3995-2017; CHU, XINZHAO/I-5670-2015; LU, XIAN/A-2980-2015</t>
  </si>
  <si>
    <t>Yu, Zhibin/0000-0001-5128-809X; JONES, RICHARD MICHAEL/0000-0002-9493-7456; Becker, Erich/0000-0001-7883-3254; CHU, XINZHAO/0000-0001-6147-1963; LU, XIAN/0000-0002-2535-8151</t>
  </si>
  <si>
    <t>National Science Foundation (NSF) [OPP-0839091, OPP-1246405, OPP-1443726]; NSF [AGS-1705448, OPP-1705450]; NSF CEDAR grant [1343031]; NASA HGI grant [NNX17AB80G]; NASA LWS grant [NNX14AH54G]; Office of Polar Programs (OPP); Directorate For Geosciences [1246405] Funding Source: National Science Foundation; NASA [1003831, NNX14AH54G, 683491, NNX17AB80G] Funding Source: Federal RePORTER</t>
  </si>
  <si>
    <t>National Science Foundation (NSF)(National Science Foundation (NSF)); NSF(National Science Foundation (NSF)); NSF CEDAR grant; NASA HGI grant; NASA LWS grant; Office of Polar Programs (OPP); Directorate For Geosciences(National Science Foundation (NSF)NSF - Directorate for Geosciences (GEO)); NASA(National Aeronautics &amp; Space Administration (NASA))</t>
  </si>
  <si>
    <t>We gratefully acknowledge Adrian J. McDonald and Chester S. Gardner for the invaluable discussions on gravity wave theory and characterization. We appreciate Wentao Huang, Zhangjun Wang, John A. Smith, Ian F. Barry, Muzhou Lu, Zhengyu Hua, Dongming Chang, and Clare Miller for their contributions to the McMurdo lidar campaign. We are grateful to Zukui Song for his advice on Fourier spectral analysis. We are indebted to Vladimir Papitashvili and Julie Palais for their guidance and discussions. We are grateful to Richard Dean and Judy Shiple for their engineering help and support and to William Henriksen for continuous support through the last eight Antarctic winters since 2011. We sincerely appreciate the staff of the United States Antarctic Program, McMurdo Station, Antarctica, New Zealand, and Scott Base for their superb support over the years. We are grateful to the high-quality data from ECMWF for this research. We gratefully acknowledge MERRA-2 data provided by the Global Modeling and Assimilation Office (GMAO) at NASA Goddard Space Flight Center through the NASA GES DISC online archive. This project was supported by the National Science Foundation (NSF) grants OPP-0839091, OPP-1246405, and OPP-1443726. Xian Lu's research was supported by NSF grants AGS-1705448 (CEDAR) and OPP-1705450. V. L. H. was supported by NSF CEDAR grant 1343031, NASA HGI grant NNX17AB80G, and NASA LWS grant NNX14AH54G. The data shown in this paper will be made available for collaborative research on COPDESS. Data repository is at http://cires1.colorado.edu/churepo/.</t>
  </si>
  <si>
    <t>10.1029/2017JD027386</t>
  </si>
  <si>
    <t>WOS:000443566900008</t>
  </si>
  <si>
    <t>Guihen, D</t>
  </si>
  <si>
    <t>Guihen, Damien</t>
  </si>
  <si>
    <t>High-resolution acoustic surveys with diving gliders come at a cost of aliasing moving targets</t>
  </si>
  <si>
    <t>AUTONOMOUS UNDERWATER VEHICLE; KRILL EUPHAUSIA-SUPERBA; ANTARCTIC KRILL; SOUTHERN-OCEAN; 120 KHZ; FISH; ZOOPLANKTON; STRENGTH; ORIENTATION; SCATTERING</t>
  </si>
  <si>
    <t>Underwater gliders are autonomous robots that follow a slow, see-saw path and may be deployed for months on end. Gliders have a dramatically lower payload capacity than research vessels and are thus limited to more simple instrumentation. They have the advantage, however, of being deployable for long periods of time without the high running costs of a ship. Recent years have seen development of the use of gliders to undertake acoustic surveys of biomass in the pelagic environment, highlighting their potential to fill future survey gaps. Here it is shown, using simulation of sampling, that gliders can resolve acoustic targets at greater resolutions than ships, due to their diving pattern, but that survey accuracy is strongly dependent on the speed of the target.</t>
  </si>
  <si>
    <t>[Guihen, Damien] Univ Tasmania, Australian Maritime Coll, Newnham, Tas, Australia</t>
  </si>
  <si>
    <t>University of Tasmania; Australian Maritime College</t>
  </si>
  <si>
    <t>Guihen, D (corresponding author), Univ Tasmania, Australian Maritime Coll, Newnham, Tas, Australia.</t>
  </si>
  <si>
    <t>damien.guihen@utas.edu.au</t>
  </si>
  <si>
    <t>Guihen, Damien/0000-0002-5786-6599</t>
  </si>
  <si>
    <t>Antarctic Gateway Partnership, Special Research Initiative of the Australian Research Council [SR140300001]</t>
  </si>
  <si>
    <t>Antarctic Gateway Partnership, Special Research Initiative of the Australian Research Council</t>
  </si>
  <si>
    <t>This study was funded under support for the Antarctic Gateway Partnership, Special Research Initiative of the Australian Research Council project SR140300001, (http://arc.gov.au). The funders had no role in study design, data collection and analysis, decision to publish, or preparation of the manuscript.</t>
  </si>
  <si>
    <t>e0201816</t>
  </si>
  <si>
    <t>10.1371/journal.pone.0201816</t>
  </si>
  <si>
    <t>GQ6RF</t>
  </si>
  <si>
    <t>WOS:000441850400028</t>
  </si>
  <si>
    <t>Zhao, C; Gladstone, RM; Warner, RC; King, MA; Zwinger, T; Morlighem, M</t>
  </si>
  <si>
    <t>Zhao, Chen; Gladstone, Rupert M.; Warner, Roland C.; King, Matt A.; Zwinger, Thomas; Morlighem, Mathieu</t>
  </si>
  <si>
    <t>Basal friction of Fleming Glacier, Antarctica - Part 1: Sensitivity of inversion to temperature and bedrock uncertainty</t>
  </si>
  <si>
    <t>WORDIE ICE SHELF; SHEET MODEL; PENINSULA; SURFACE; SIMULATIONS; GREENLAND; SVALBARD; FLOW; DISCHARGE; DYNAMICS</t>
  </si>
  <si>
    <t>Many glaciers in the Antarctic Peninsula are now rapidly losing mass. Understanding of the dynamics of these fast-flowing glaciers, and their potential future behaviour, can be improved through ice sheet modelling studies. Inverse methods are commonly used in ice sheet models to infer the spatial distribution of a basal friction coefficient, which has a large effect on the basal velocity and ice deformation. Here we use the full-Stokes Elmer/Ice model to simulate theWordie Ice Shelf-Fleming Glacier system in the southern Antarctic Peninsula. With an inverse method, we infer the pattern of the basal friction coefficient from surface velocities observed in 2008. We propose a multi-cycle spin-up scheme to reduce the influence of the assumed initial englacial temperature field on the final inversion. This is particularly important for glaciers like the Fleming Glacier, which have areas of strongly temperature-dependent deformational flow in the fast-flowing regions. Sensitivity tests using various bed elevation datasets, ice front positions and boundary conditions demonstrate the importance of high-accuracy ice thickness/bed geometry data and precise location of the ice front boundary.</t>
  </si>
  <si>
    <t>[Zhao, Chen; King, Matt A.] Univ Tasmania, Sch Technol Environm &amp; Design, Hobart, Tas, Australia; [Gladstone, Rupert M.] Univ Lapland, Arctic Ctr, Rovaniemi, Finland; [Zhao, Chen; Warner, Roland C.] Univ Tasmania, Antarctic Climate &amp; Ecosyst Cooperat Res Ctr, Hobart, Tas, Australia; [Zwinger, Thomas] CSC IT Ctr Sci Ltd, Espoo, Finland; [Morlighem, Mathieu] Univ Calif Irvine, Dept Earth Syst Sci, Irvine, CA 92697 USA</t>
  </si>
  <si>
    <t>University of Tasmania; University of Lapland; University of Tasmania; Antarctic Climate &amp; Ecosystems Cooperative Research Centre (ACE CRC); Finnish IT center for science; University of California System; University of California Irvine</t>
  </si>
  <si>
    <t>Zhao, C (corresponding author), Univ Tasmania, Sch Technol Environm &amp; Design, Hobart, Tas, Australia.;Zhao, C (corresponding author), Univ Tasmania, Antarctic Climate &amp; Ecosyst Cooperat Res Ctr, Hobart, Tas, Australia.</t>
  </si>
  <si>
    <t>chen.zhao@utas.edu.au</t>
  </si>
  <si>
    <t>Warner, Roland Charles/ISS-2485-2023; Morlighem, Mathieu/O-9942-2014; King, Matt/B-4622-2008; Zhao, Chen/S-2693-2019; Warner, Robert R./M-5342-2013; Zwinger, Thomas/H-5163-2018; Gladstone, Rupert/C-1086-2013</t>
  </si>
  <si>
    <t>Warner, Roland Charles/0000-0002-9778-3544; Morlighem, Mathieu/0000-0001-5219-1310; King, Matt/0000-0001-5611-9498; Zhao, Chen/0000-0003-0368-1334; Zwinger, Thomas/0000-0003-3360-4401; Gladstone, Rupert/0000-0002-1582-3857</t>
  </si>
  <si>
    <t>Australian Government Research Training Program Scholarship; Quantitative Antarctic Science Program Top-up Scholarship; European Union [299035]; Academy of Finland [286587]; Australian Research Council Future Fellowship [FT110100207]; Australian Research Council Special Research Initiative for Antarctic Gateway Partnership [SR140300001]; Australian Government's Business Cooperative Research Centres Program through the Antarctic Climate and Ecosystems Cooperative Research Centre (ACE CRC); Australian Government; French Space Agency (CNES); Academy of Finland (AKA) [286587] Funding Source: Academy of Finland (AKA)</t>
  </si>
  <si>
    <t>Australian Government Research Training Program Scholarship(Australian GovernmentDepartment of Industry, Innovation and Science); Quantitative Antarctic Science Program Top-up Scholarship; European Union(European Union (EU)); Academy of Finland(Research Council of Finland); Australian Research Council Future Fellowship(Australian Research Council); Australian Research Council Special Research Initiative for Antarctic Gateway Partnership(Australian Research Council); Australian Government's Business Cooperative Research Centres Program through the Antarctic Climate and Ecosystems Cooperative Research Centre (ACE CRC)(Australian GovernmentDepartment of Industry, Innovation and ScienceCooperative Research Centres (CRC) Programme); Australian Government(Australian Government); French Space Agency (CNES)(Centre National D'etudes Spatiales); Academy of Finland (AKA)(Research Council of Finland)</t>
  </si>
  <si>
    <t>Chen Zhao is a recipient of an Australian Government Research Training Program Scholarship and Quantitative Antarctic Science Program Top-up Scholarship. Rupert Gladstone is funded by the European Union Seventh Framework Programme (FP7/2007-2013) under grant agreement number 299035 and by Academy of Finland grant number 286587. Matt A. King is a recipient of an Australian Research Council Future Fellowship (project number FT110100207) and is supported by the Australian Research Council Special Research Initiative for Antarctic Gateway Partnership (Project ID SR140300001). Thomas Zwinger's contribution has been covered by the Academy of Finland grant number 286587. This work was supported by the Australian Government's Business Cooperative Research Centres Program through the Antarctic Climate and Ecosystems Cooperative Research Centre (ACE CRC). This research was undertaken with the assistance of resources and services from the National Computational Infrastructure (NCI), which is supported by the Australian Government. We thank Fabien Gillet-Chaulet for advice on implementation of the inversion. We thank Eric Rignot, Jeremie Mouginot, and Bernd Scheuchl for making their SAR velocities publicly available. SPOT 5 images and DEMs were provided by the International Polar Year SPIRIT project (Korona et al., 2009), funded by the French Space Agency (CNES).</t>
  </si>
  <si>
    <t>AUG 15</t>
  </si>
  <si>
    <t>10.5194/tc-12-2637-2018</t>
  </si>
  <si>
    <t>GQ4UI</t>
  </si>
  <si>
    <t>WOS:000441669600001</t>
  </si>
  <si>
    <t>Basal friction of Fleming Glacier, Antarctica - Part 2: Evolution from 2008 to 2015</t>
  </si>
  <si>
    <t>WORDIE ICE SHELF; GROUNDING LINES; WEST ANTARCTICA; PENINSULA; SURFACE; RETREAT; SHEET; SVALBARD; DRIVEN; MODEL</t>
  </si>
  <si>
    <t>The Wordie Ice Shelf-Fleming Glacier system in the southern Antarctic Peninsula has experienced a long-term retreat and disintegration of its ice shelf in the past 50 years. Increases in the glacier velocity and dynamic thinning have been observed over the past two decades, especially after 2008 when only a small ice shelf remained at the Fleming Glacier front. It is important to know whether the substantial further speed-up and greater surface drawdown of the glacier since 2008 is a direct response to ocean forcing, or driven by feedbacks within the grounded marine-based glacier system, or both. Recent observational studies have suggested the 2008-2015 velocity change was due to the ungrounding of the Fleming Glacier front. To explore the mechanisms underlying the recent changes, we use a full-Stokes ice sheet model to simulate the basal shear stress distribution of the Fleming system in 2008 and 2015. This study is part of the first high resolution modelling campaign of this system. Comparison of inversions for basal shear stresses for 2008 and 2015 suggests the migration of the grounding line similar to 9 km upstream by 2015 from the 2008 ice front/grounding line positions, which virtually coincided with the 1996 grounding line position. This migration is consistent with the change in floating area deduced from the calculated height above buoyancy in 2015. The retrograde submarine bed underneath the lowest part of the Fleming Glacier may have promoted retreat of the grounding line. Grounding line retreat may also be enhanced by a feedback mechanism upstream of the grounding line by which increased basal lubrication due to increasing frictional heating enhances sliding and thinning. Improved knowledge of bed topography near the grounding line and further transient simulations with oceanic forcing are required to accurately predict the future movement of the Fleming Glacier system grounding line and better understand its ice dynamics and future contribution to sea level.</t>
  </si>
  <si>
    <t>[Zhao, Chen; King, Matt A.] Univ Tasmania, Sch Technol Environm &amp; Design, Hobart, Tas, Australia; [Gladstone, Rupert M.] Univ Lapland, Arctic Ctr, Rovaniemi, Finland; [Zhao, Chen; Warner, Roland C.] Univ Tasmania, Antarctic Climate &amp; Ecosyst Cooperat Res Ctr, Hobart, Tas, Australia; [Zwinger, Thomas] CSC IT Ctr Sci Ltd, Espoo, Finland; [Morlighem, Mathieu] Univ Calif Irvine, Dept Earth Syst Sci Univ, Irvine, CA 92697 USA</t>
  </si>
  <si>
    <t>Warner, Roland Charles/ISS-2485-2023; Zhao, Chen/S-2693-2019; King, Matt/B-4622-2008; Warner, Robert R./M-5342-2013; Morlighem, Mathieu/O-9942-2014; Gladstone, Rupert/C-1086-2013; Zwinger, Thomas/H-5163-2018</t>
  </si>
  <si>
    <t>Warner, Roland Charles/0000-0002-9778-3544; Zhao, Chen/0000-0003-0368-1334; King, Matt/0000-0001-5611-9498; Morlighem, Mathieu/0000-0001-5219-1310; Gladstone, Rupert/0000-0002-1582-3857; Zwinger, Thomas/0000-0003-3360-4401</t>
  </si>
  <si>
    <t>Chen Zhao is a recipient of an Australian Government Research Training Program Scholarship and Quantitative Antarctic Science Program Top-up Scholarship. Rupert Gladstone is funded by the European Union Seventh Framework Programme (FP7/2007-2013) under grant agreement number 299035 and by Academy of Finland grant number 286587. Matt A. King is a recipient of an Australian Research Council Future Fellowship (project number FT110100207) and is supported by the Australian Research Council Special Research Initiative for Antarctic Gateway Partnership (Project ID SR140300001). Thomas Zwinger's contribution has been covered by the Academy of Finland grant number 286587. This work was supported by the Australian Government's Business Cooperative Research Centres Program through the Antarctic Climate and Ecosystems Cooperative Research Centre (ACE CRC). This research was undertaken with the assistance of resources and services from the National Computational Infrastructure (NCI), which is supported by the Australian Government. We thank Alex S. Gardner for providing the velocity dataset for 2015. We thank E. Rignot, J. Mouginot, and B. Scheuchl for making their SAR velocities publicly available. We thank Yongmei Gong for advice on the analysis of hydraulic potential. SPOT 5 images and DEMs were provided by the International Polar Year SPIRIT project (Korona et al., 2009), funded by the French Space Agency (CNES).</t>
  </si>
  <si>
    <t>10.5194/tc-12-2653-2018</t>
  </si>
  <si>
    <t>gold, Green Accepted, Green Submitted</t>
  </si>
  <si>
    <t>WOS:000441669600002</t>
  </si>
  <si>
    <t>Haddam, NA; Siani, G; Michel, E; Kaiser, J; Lamy, F; Duchamp-Alphonse, S; Hefter, J; Braconnot, P; Dewilde, F; Isgüder, G; Tisnerat-Laborde, N; Thil, F; Durand, N; Kissel, C</t>
  </si>
  <si>
    <t>Haddam, Naoufel Abdeldjalyl; Siani, Giuseppe; Michel, Elisabeth; Kaiser, Jerome; Lamy, Frank; Duchamp-Alphonse, Stephanie; Hefter, Jens; Braconnot, Pascale; Dewilde, Fabien; Isguder, Giilay; Tisnerat-Laborde, Nadine; Thil, Francois; Durand, Nicolas; Kissel, Catherine</t>
  </si>
  <si>
    <t>Changes in latitudinal sea surface temperature gradients along the Southern Chilean margin since the last glacial</t>
  </si>
  <si>
    <t>Sea surface temperature latitudinal gradient; Subtropical front; Bipolar seesaw; Sea surface salinity; Patagonian ice sheet melting; Last 22 kyr cal. BP</t>
  </si>
  <si>
    <t>NORTH-ATLANTIC OCEAN; POSTGLACIAL VEGETATION; CLIMATE DYNAMICS; HOLOCENE; ALKENONE; SALINITY; CIRCULATION; CALIBRATION; CHRONOLOGY; MAXIMUM</t>
  </si>
  <si>
    <t>The comparison between different climate model simulations of water hosing experiments under glacial conditions points toward diverging responses in Sea Surface Temperature changes (SST) especially in the Southeast Pacific (SEP). This suggests that reconstituting the latitudinal SST gradient in the SEP is a critical parameter for a better understanding of the mechanisms behind the abrupt climatic events since the last glacial period. Here we present, high-resolution records of SST, using planktonic foraminiferal assemblages and alkenone temperature reconstructions and stable oxygen and carbon isotopes from three deep-sea sediment cores along a latitudinal transect off the southern Chilean coast. This allowed us to reconstruct the variations of the latitudinal SST gradient and the Subtropical Front movements in the SEP. The SST results suggest a clear Antarctic timing consistent with the bipolar seesaw control, especially during the late glacial and the deglaciation. Our records do not suggest a complete oceanic heat transfer signal, highlighting the implication of an atmospheric component in the heat transfers between the two hemispheres, controlled by the latitudinal movements of the intertropical convergence zone in the Atlantic and the associated weaker South Pacific westerly split jet. Furthermore, our records indicate variable conditions during the Holocene, and also emphasize the influence of local fresh water inputs from the Patagonian ice sheet and/or precipitation on the SST fresh water input estimates along the Chilean margin (North and South of 49 degrees S) from the onset of the deglaciation until 8 kyr cal. BP. (C) 2018 Elsevier Ltd. All rights reserved.</t>
  </si>
  <si>
    <t>[Haddam, Naoufel Abdeldjalyl; Siani, Giuseppe; Duchamp-Alphonse, Stephanie] Univ Paris Sud, CNRS, GEOPS, F-91405 Orsay, France; [Haddam, Naoufel Abdeldjalyl; Siani, Giuseppe; Duchamp-Alphonse, Stephanie] Univ Paris Saclay, CNRS, GEOPS, F-91405 Orsay, France; [Haddam, Naoufel Abdeldjalyl; Michel, Elisabeth; Braconnot, Pascale; Dewilde, Fabien; Isguder, Giilay; Tisnerat-Laborde, Nadine; Thil, Francois; Kissel, Catherine] Univ Paris Saclay, LSCE, IPSL, CEA,CNRS,UVSQ, Bat 12,Ave Terrasse, F-91198 Gif Sur Yvette, France; [Kaiser, Jerome] Leibniz Inst Balt Sea Res, Seestr 15, D-18119 Rostock, Germany; [Lamy, Frank; Hefter, Jens] Alfred Wegener Inst Polar &amp; Marine Res, D-27515 Bremerhaven, Germany; [Durand, Nicolas] CEA Saclay, LMC14, Bat 450 Port 4E, F-91191 Gif Sur Yvette, France</t>
  </si>
  <si>
    <t>Universite Paris Saclay; Universite Paris Cite; Centre National de la Recherche Scientifique (CNRS); Universite Paris Cite; Universite Paris Saclay; Centre National de la Recherche Scientifique (CNRS); Universite Paris Cite; CEA; Centre National de la Recherche Scientifique (CNRS); Universite Paris Saclay; Leibniz Institut fur Ostseeforschung Warnemunde; Helmholtz Association; Alfred Wegener Institute, Helmholtz Centre for Polar &amp; Marine Research; Universite Paris Saclay; CEA; Centre National de la Recherche Scientifique (CNRS); Institut de Recherche pour le Developpement (IRD)</t>
  </si>
  <si>
    <t>Haddam, NA (corresponding author), Univ Paris Sud, CNRS, GEOPS, F-91405 Orsay, France.;Haddam, NA (corresponding author), Univ Paris Saclay, CNRS, GEOPS, F-91405 Orsay, France.</t>
  </si>
  <si>
    <t>naoufel.haddam@lsce.ipsl.fr</t>
  </si>
  <si>
    <t>Catherine, Kissel/AAH-1647-2019</t>
  </si>
  <si>
    <t>Catherine, Kissel/0000-0002-2572-2742; Hefter, Jens/0000-0002-5823-1966; Siani, Giuseppe/0000-0002-2090-5320</t>
  </si>
  <si>
    <t>French ministry of research and higher education; French-Swedish project [SO VR-349-2012-6278]; French INSU SEPORA project</t>
  </si>
  <si>
    <t>French ministry of research and higher education; French-Swedish project; French INSU SEPORA project</t>
  </si>
  <si>
    <t>We thank the captains and the crew of the R/V Marion Dufresne during the PACHIDERME cruise for their help retrieving the MD 3100, 3088 and 3082 cores. Financial support was made by the French ministry of research and higher education and the French-Swedish project on SO VR-349-2012-6278, and French INSU SEPORA project. We also thank the French/Chilean ECOSUD program.</t>
  </si>
  <si>
    <t>10.1016/j.quascirev.2018.06.023</t>
  </si>
  <si>
    <t>GQ2LY</t>
  </si>
  <si>
    <t>WOS:000441487700006</t>
  </si>
  <si>
    <t>Orme, LC; Miettinen, A; Divine, D; Husum, K; Pearce, C; Van Nieuwenhove, N; Born, A; Mohan, R; Seidenkrantz, MS</t>
  </si>
  <si>
    <t>Orme, Lisa Claire; Miettinen, Arto; Divine, Dmitry; Husum, Katrine; Pearce, Christof; Van Nieuwenhove, Nicolas; Born, Andreas; Mohan, Rahul; Seidenkrantz, Marit-Solveig</t>
  </si>
  <si>
    <t>Subpolar North Atlantic sea surface temperature since 6 ka BP: Indications of anomalous ocean-atmosphere interactions at 4-2 ka BP</t>
  </si>
  <si>
    <t>Holocene; Paleoceanography; Paleoclimatology; North Atlantic; Micropaleontology; Diatoms; Sedimentology-marine cores; North Atlantic oscillation; East Greenland current; Sea surface temperature</t>
  </si>
  <si>
    <t>EAST GREENLAND CURRENT; HOLOCENE CLIMATE EVOLUTION; NORWEGIAN SEA; NORDIC SEAS; OCEANOGRAPHIC VARIABILITY; GYRE CIRCULATION; ICE; OSCILLATION; ICELAND; WATER</t>
  </si>
  <si>
    <t>Atmospheric circulation may change with future climate change in response to modification of meridional temperature gradients, but the potential influence on ocean circulation is as yet unclear. Over the mid-late Holocene, atmospheric circulation in the North Atlantic region has fluctuated on millennial timescales; therefore, the ocean response to these changes can be investigated using the paleoceano-graphic records that have been developed in the north-eastern subpolar North Atlantic. Here, we present a diatom-based sea surface temperature reconstruction from the Iceland Basin, south of Iceland; the reconstruction shows the warmest temperatures of the record at 6.1-4 ka BP, cooler temperatures at 4-2 ka BP and warmer temperatures thereafter. Inter-record comparisons indicate that the cold period at c. 42 ka BP may have resulted from a strengthened East Greenland Current and/or melting of the Greenland ice sheet, in response to a negative North Atlantic Oscillation. The findings highlight that atmospheric circulation changes are likely to cause pronounced variations in the latitudinal exchange of heat, which may have consequences for deep-water formation and global ocean circulation. (C) 2018 Elsevier Ltd. All rights reserved.</t>
  </si>
  <si>
    <t>[Orme, Lisa Claire; Miettinen, Arto; Divine, Dmitry; Husum, Katrine] Norwegian Polar Res Inst, Fram Ctr, POB 6606 Langnes, N-9296 Tromso, Norway; [Divine, Dmitry] Arctic Univ Norway, Fac Sci &amp; Technol, Dept Math &amp; Stat, N-9037 Tromso, Norway; [Pearce, Christof; Seidenkrantz, Marit-Solveig] Aarhus Univ, Arctic Res Ctr, Ctr Past Climate Studies, Hoegh Guldbergs Gade 2,Bldg 1672,213, DK-8000 Aarhus C, Denmark; [Pearce, Christof; Seidenkrantz, Marit-Solveig] Aarhus Univ, Dept Geosci, IClimate, Hoegh Guldbergs Gade 2,Bldg 1672,213, DK-8000 Aarhus C, Denmark; [Van Nieuwenhove, Nicolas] Univ New Brunswick, Dept Earth Sci, 2 Bailey Dr, Fredericton, NB E3B 5A3, Canada; [Born, Andreas] Univ Bergen, Dept Earth Sci, Postboks 7803, N-5020 Bergen, Norway; [Born, Andreas] Univ Bergen, Bjerknes Ctr Climate Res, Postboks 7803, N-5020 Bergen, Norway; [Mohan, Rahul] Govt India, Natl Ctr Antarctic &amp; Ocean Res, Minist Earth Sci, Vasco Da Gama 403804, Goa, India</t>
  </si>
  <si>
    <t>Norwegian Polar Institute; UiT The Arctic University of Tromso; Aarhus University; Aarhus University; University of New Brunswick; University of Bergen; Bjerknes Centre for Climate Research; University of Bergen; Ministry of Earth Sciences (MoES) - India; National Centre for Polar and Ocean Research (NCPOR)</t>
  </si>
  <si>
    <t>Orme, LC (corresponding author), Norwegian Polar Res Inst, Fram Ctr, POB 6606 Langnes, N-9296 Tromso, Norway.</t>
  </si>
  <si>
    <t>Lisa.Orme@npolar.no; Arto.Miettinen@npolar.no; Dmitry.Divine@npolar.no; Katrine.Husum@npolar.no; christapearce@geo.au.dk; nicolas.vannieuwenhove@unb.gmail..com; Andreas.born@uib.no; rahulmohangupta@gmail.com; mss@geo.au.dk</t>
  </si>
  <si>
    <t>Miettinen, Arto/AAG-2835-2019; Born, Andreas/B-1554-2013; Van Nieuwenhove, Nicolas/IAQ-1532-2023; Seidenkrantz, Marit-Solveig/A-3451-2012; Husum, Katrine/HGD-4711-2022; Pearce, Christof/M-4852-2013; Miettinen, Arto/E-2458-2013</t>
  </si>
  <si>
    <t>Van Nieuwenhove, Nicolas/0000-0001-6369-2751; Husum, Katrine/0000-0003-1380-5900; Orme, Lisa Claire/0000-0003-0210-9264; Pearce, Christof/0000-0002-4866-3204; Seidenkrantz, Marit-Solveig/0000-0002-1973-5969; Miettinen, Arto/0000-0003-4537-2556</t>
  </si>
  <si>
    <t>Danish Centre for Marine Sciences [2016-03/DCH]; Research Council of Norway [248776/E10]; Ministry of Earth Science, Earth System Science Organization [MoES/Indo-Nor/PS-2/2015]; Independent Research Fund Denmark/Natural Science (G-Ice project) [7014-00113B]; Aarhus University Research Foundation (AUFF)</t>
  </si>
  <si>
    <t>Danish Centre for Marine Sciences; Research Council of Norway(Research Council of Norway); Ministry of Earth Science, Earth System Science Organization; Independent Research Fund Denmark/Natural Science (G-Ice project); Aarhus University Research Foundation (AUFF)</t>
  </si>
  <si>
    <t>We would like to thank the captain, crew and scientific party of the DA12-11/2 expedition onboard R/V Dana for their work and efforts in recovering the core. The research cruise was funded by the Danish Centre for Marine Sciences (2016-03/DCH) (Dansk Center for Havforskning) as part of a PhD course Benthic Research at Sea taking place in September 24-30, 2012. LO, AM, DD, KH, AB and RM acknowledge funding from the Research Council of Norway (grant no. 248776/E10) and Ministry of Earth Science, Earth System Science Organization (MoES/Indo-Nor/PS-2/2015). Additional funding was obtained from the Independent Research Fund Denmark/Natural Science (G-Ice project no 7014-00113B; grant to MSS) and the Aarhus University Research Foundation (AUFF, grant to CP). Many thanks to the helpful comments from two anonymous reviewers. Additional thanks to Svetlana Divina for preparation of the diatom slides.</t>
  </si>
  <si>
    <t>10.1016/j.quascirev.2018.07.007</t>
  </si>
  <si>
    <t>WOS:000441487700010</t>
  </si>
  <si>
    <t>Kumar, V; Tiwari, M; Rengarajan, R</t>
  </si>
  <si>
    <t>Kumar, Vikash; Tiwari, Manish; Rengarajan, R.</t>
  </si>
  <si>
    <t>Warming in the Arctic Captured by productivity variability at an Arctic Fjord over the past two centuries</t>
  </si>
  <si>
    <t>PHYTOPLANKTON BIOMASS; BENTHIC FORAMINIFERA; ATLANTIC OSCILLATION; SEDIMENT CORE; MASS-BALANCE; SVALBARD; KONGSFJORDEN; GLACIERS; PB-210; SHELF</t>
  </si>
  <si>
    <t>Arctic fjords feature among some of the most climate-sensitive regions on the planet. The site of this study-Kongsfjorden-is one such fjord in which sedimentation and sediment geochemistry reflect climate-mediated changes in glacial melt and marine primary productivity. Here, we have shown that the fjord is particularly sensitive to the changing melt dynamics of the surrounding glaciers which are a direct consequence of warming/cooling in the region and is reflected in the productivity at the fjord. Warming increases meltwater influx into the fjord leading to enhanced turbidity which results in lower productivity. A multi-proxy study (sedimentary organic matter content, carbon and nitrogen isotope ratios, and microfossil abundance) using a 21 cm long sediment core from the Kongsfjorden helped us reconstruct warming driven melt-dynamics history for the past two centuries. Proxy data show a general decreasing trend in productivity along with a few excursions over the last two centuries. Warming driven glacial-melt dynamics appears to be the dominant control on productivity throughout the span of the core.</t>
  </si>
  <si>
    <t>[Kumar, Vikash; Tiwari, Manish] Natl Ctr Antarctic &amp; Ocean Res, Vasco Da Gama, Goa, India; [Rengarajan, R.] Phys Res Lab, Ahmadabad, Gujarat, India</t>
  </si>
  <si>
    <t>Ministry of Earth Sciences (MoES) - India; National Centre for Polar and Ocean Research (NCPOR); Department of Space (DoS), Government of India; Physical Research Laboratory - India</t>
  </si>
  <si>
    <t>Tiwari, M (corresponding author), Natl Ctr Antarctic &amp; Ocean Res, Vasco Da Gama, Goa, India.</t>
  </si>
  <si>
    <t>manish@ncaor.gov.in</t>
  </si>
  <si>
    <t>Rengarajan, Ramabadran/L-4055-2019; Kumar, Vikash/GSN-3140-2022</t>
  </si>
  <si>
    <t>Tiwari, Manish/0000-0003-3143-1658; Kumar, Vikash/0000-0002-6180-2192</t>
  </si>
  <si>
    <t>NCAOR under the Ministry of the Earth Sciences; Ministry of Earth Sciences; National Centre for Antarctic &amp; Ocean Research (NCAOR) [28/2018]</t>
  </si>
  <si>
    <t>NCAOR under the Ministry of the Earth Sciences; Ministry of Earth Sciences; National Centre for Antarctic &amp; Ocean Research (NCAOR)</t>
  </si>
  <si>
    <t>The funding is through the parent institute (NCAOR under the Ministry of the Earth Sciences). The funder had no role in study design, data collection and analysis, decision to publish, or preparation of the manuscript.; We thank the Ministry of Earth Sciences and National Centre for Antarctic &amp; Ocean Research for support (NCAOR Contribution no. 28/2018). We also thank the colleagues for their help during sample collection at Kongsfjorden onboard the boat R/V Tiesten.</t>
  </si>
  <si>
    <t>e0201456</t>
  </si>
  <si>
    <t>10.1371/journal.pone.0201456</t>
  </si>
  <si>
    <t>GQ5PD</t>
  </si>
  <si>
    <t>WOS:000441738000032</t>
  </si>
  <si>
    <t>Leitner, J; Vollmer, C; Henkel, T; Ott, U; Hoppe, P</t>
  </si>
  <si>
    <t>Leitner, J.; Vollmer, C.; Henkel, T.; Ott, U.; Hoppe, P.</t>
  </si>
  <si>
    <t>An isotopic, elemental and structural study of silicon nitride from enstatite chondrites</t>
  </si>
  <si>
    <t>Cosmochemistry; Isotopes; Meteorites; Enstatite chondrites; Early Solar System</t>
  </si>
  <si>
    <t>CARBONACEOUS CHONDRITES; PRIMITIVE METEORITES; RATIO MEASUREMENTS; PRESOLAR DIAMOND; SOLAR-SYSTEM; SI3N4 GRAINS; SIC GRAINS; NITROGEN; ORIGIN; ABUNDANCES</t>
  </si>
  <si>
    <t>We report an in-situ investigation of silicon nitride (Si3N4) grains from several enstatite chondrites of low petrologic types (EL3, EH3, and EH4). The grains occurred in various host phases, including Fe,Ni metal, schreibersite, sulfides, and also in the silicate fraction, and are of Solar System origin. Energy-dispersive X-ray spectroscopy (EDS) showed that carbon and oxygen are present in all investigated grains. Carbon- and N-isotopic compositions of 288 grains were measured by NanoSIMS. Nitrogen is isotopically light compared to terrestrial air, with an average delta N-15 = -60 +/- 1 parts per thousand. The average carbon isotopic composition does not deviate significantly from the terrestrial PDB standard. TOF-SIMS investigation of one particularly large Si3N4 grain (10 mu m x 2 mu m) showed that the O is located within the grain and not in adjacent particles, and also revealed the presence of chromium. Transmission electron microscopy (TEM) analysis showed that the Cr is present as carlsbergite (CrN) inclusions. TEM investigation of three Si3N4 grains showed them to be polycrystalline, with no consistent crystallographic relationship with the host material. Estimated Si3N4 abundances for four metal-sulfide assemblages demonstrate that the amount of nitrogen bound in the nitrides exceeds the maximum concentration of N that can be stored in Fe,Ni metal in solid solution. Thus, even if all of the N in the metal would have been exsolved, it would not have been enough to form the observed amounts of Si3N4 grains, giving further evidence against formation by exsolution. This clearly shows that they did not form by exsolution from the host materials, as has been suggested in earlier studies. Instead, the Si3N4 must have formed prior to incorporation into the enstatite chondrite parent bodies, either by shock wave-induced condensation processes, or by precipitation from the host phases in the presence of NH3. (C) 2018 Elsevier Ltd. All rights reserved.</t>
  </si>
  <si>
    <t>[Leitner, J.; Ott, U.; Hoppe, P.] Max Planck Inst Chem, Particle Chem Dept, Hahn Meitner Weg 1, D-55128 Mainz, Germany; [Vollmer, C.] Westfalische Wilhelms Univ, Inst Mineral, Correnstr 24, D-48149 Munster, Germany; [Henkel, T.] Univ Manchester, Sch Earth &amp; Environm Sci, Williamson Bldg,Oxford Rd, Manchester M13 9PL, Lancs, England; [Ott, U.] MTA Atomki, Bem Ter 18-C, H-4826 Debrecen, Hungary</t>
  </si>
  <si>
    <t>Max Planck Society; University of Munster; University of Manchester; Hungarian Academy of Sciences; Hungarian Research Network; HUN-REN Institute for Nuclear Research</t>
  </si>
  <si>
    <t>Leitner, J (corresponding author), Max Planck Inst Chem, Particle Chem Dept, Hahn Meitner Weg 1, D-55128 Mainz, Germany.</t>
  </si>
  <si>
    <t>jan.leitner@mpic.de</t>
  </si>
  <si>
    <t>Ott, Ulrich/ABH-2337-2020; Hoppe, Peter/B-3032-2015; Leitner, Jan/A-7391-2015</t>
  </si>
  <si>
    <t>Hoppe, Peter/0000-0003-3681-050X; Ulrich, Ott/0000-0003-3574-9591; Leitner, Jan/0000-0003-3655-6273</t>
  </si>
  <si>
    <t>DFG [SPP 1833, LE 3279/2-1, VO 1816/3-1]; NSF; NASA; STFC [ST/M001253/1] Funding Source: UKRI</t>
  </si>
  <si>
    <t>DFG(German Research Foundation (DFG)); NSF(National Science Foundation (NSF)); NASA(National Aeronautics &amp; Space Administration (NASA)); STFC(UK Research &amp; Innovation (UKRI)Science &amp; Technology Facilities Council (STFC))</t>
  </si>
  <si>
    <t>JL, PH, and CV acknowledge support by the DFG through SPP 1833: Building A Habitable Earth (LE 3279/2-1 &amp; VO 1816/3-1). We thank Maren Muller (MPI for Polymer Research) for focused-ion beam preparation of the TEM lamellae, Elmar Groner for support on the NanoSIMS, Philipp R. Heck (Field Museum, Chicago) and NASA JSC (ANSMET) for providing samples.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acknowledge the constructive and helpful reviews by Rhonda Stroud, Martin Lee and an anonymous reviewer, as well as the comments from the associate editor Sarah S. Russell. JL also would like to thank Janos Kodolanyi (MPIC) for many interesting coffee break discussions. This research has made use of NASA's Astrophysics Data System.</t>
  </si>
  <si>
    <t>10.1016/j.gca.2018.05.025</t>
  </si>
  <si>
    <t>GL7DV</t>
  </si>
  <si>
    <t>WOS:000437357400010</t>
  </si>
  <si>
    <t>Burgener, LK; Huntington, KW; Sletten, R; Watkins, JM; Quade, J; Hallet, B</t>
  </si>
  <si>
    <t>Burgener, Landon K.; Huntington, Katharine W.; Sletten, Ronald; Watkins, James M.; Quade, Jay; Hallet, Bernard</t>
  </si>
  <si>
    <t>Clumped isotope constraints on equilibrium carbonate formation and kinetic isotope effects in freezing soils</t>
  </si>
  <si>
    <t>Pedogenic Carbonates; Cryogenic Carbonates; Subglacial carbonates; Clumped Isotopes; Oxygen Isotopes; Kinetic Isotope Effects</t>
  </si>
  <si>
    <t>PEDOGENIC CARBONATE; OXYGEN ISOTOPES; C-13-O-18 BONDS; STABLE-ISOTOPES; TRACE-ELEMENT; SEASONAL BIAS; ACTIVE LAYER; GROWTH-RATE; FRACTIONATION; TEMPERATURE</t>
  </si>
  <si>
    <t>The clumped and stable isotope (Delta(47), delta O-18, and delta C-13) composition of pedogenic (soil) carbonates from cold, arid environments may be a valuable paleoclimate archive for climate change-sensitive areas at high latitudes or elevations. However, previous work suggests that the isotopic composition of cold-climate soil carbonates is susceptible to kinetic isotope effects (KIE). To evaluate the conditions under which KIE occur in cold-climate soil carbonates, we examine the Delta(47), delta O-18, and delta C-13 composition of soil carbonate pendants from Antarctica (Dry Valleys, 77 degrees S), the High Arctic (Svalbard 79 degrees N), the Chilean and Argentinian Andes, and the Tibetan plateau (3800-4800 m), and compare the results to local climate and water delta O-18 records. At each site we calculate the expected equilibrium soil carbonate Delta(47) and delta O-18 values and estimate carbonate Delta(47) and delta O-18 anomalies (observed Delta(47) or delta O-18 minus the expected equilibrium Delta(47) or delta O-18). Additionally, we compare the measured carbonate delta C-13 to the expected range of equilibrium soil carbonate delta C-13 values. To provide context for interpreting the Delta(47) and delta O-18 anomalies, the soil carbonate results are compared to results for sub-glacial carbonates from two different sites, which exhibit large Delta(47) anomalies (up to -0.29 parts per thousand). The Antarctic and 4700 masl Chilean Andes samples have negative Delta(47) anomalies and positive delta O-18 anomalies consistent with KIE due to rapid bicarbonate dehydration during cryogenic carbonate formation. In contrast, the lower elevation Chilean Andes, Argentinian Andes, Tibetan Plateau and High Arctic results are consistent with equilibrium, summer carbonate formation. We attribute the differences in Delta(47) and delta O-18 anomalies to variations in inter-cobble matrix grain size and its effects on the effective soil pore space, permeability (hydraulic conductivity), moisture, and bicarbonate dehydration rate. The Antarctic and 4700 masl Chilean Andean soils have coarse-grained matrices that facilitate rapid bicarbonate dehydration. In contrast, the lower elevation Chilean Andes, Argentinian Andes, High Arctic and Tibetan Plateau soils have finer-grained matrices that decrease the soil pore space, soil permeability and CO2 gas flux, promoting equilibrium carbonate formation. The sub-glacial carbonate samples yield highly variable Delta(47) and delta O-18 anomalies, and we propose that the differences between the two glacier sites may be due to variations in local sub-glacial drainage conditions, pCO(2), and pH. Our findings suggest that carbonates from soils with coarse-grained matrices may exhibit KIE in cold climates, making them poor paleoclimate proxies. Soils with fine-grained matrices are more likely to yield equilibrium carbonates suitable for paleoclimate reconstructions regardless of climate. Paleosol matrix grain size should therefore be taken into account in the evaluation of carbonate stable and clumped isotope values in paleoclimate studies. (C) 2018 Elsevier Ltd. All rights reserved.</t>
  </si>
  <si>
    <t>[Burgener, Landon K.; Huntington, Katharine W.; Sletten, Ronald; Hallet, Bernard] Univ Washington, Dept Earth &amp; Space Sci, Seattle, WA 98195 USA; [Burgener, Landon K.; Huntington, Katharine W.; Sletten, Ronald; Hallet, Bernard] Univ Washington, Quaternary Res Ctr, Seattle, WA 98195 USA; [Watkins, James M.] Univ Oregon, Dept Earth Sci, Eugene, OR 97403 USA; [Quade, Jay] Univ Arizona, Dept Geosci, Tucson, AZ 85721 USA</t>
  </si>
  <si>
    <t>University of Washington; University of Washington Seattle; University of Washington; University of Washington Seattle; University of Oregon; University of Arizona</t>
  </si>
  <si>
    <t>Burgener, LK; Huntington, KW (corresponding author), Univ Washington, Dept Earth &amp; Space Sci, Seattle, WA 98195 USA.;Burgener, LK; Huntington, KW (corresponding author), Univ Washington, Quaternary Res Ctr, Seattle, WA 98195 USA.</t>
  </si>
  <si>
    <t>lkb57@uw.edu; kate1@uw.edu</t>
  </si>
  <si>
    <t>Burgener, Landon/AAC-5025-2019</t>
  </si>
  <si>
    <t>Watkins, James/0000-0003-4860-5909; Huntington, Katharine/0000-0003-0796-8850</t>
  </si>
  <si>
    <t>NSF [EAR-1252064, EAR-1156134]</t>
  </si>
  <si>
    <t>We thank Dr. Weifu Guo of the Woods Hole Oceanographic Institution for his contributions to the early development of this project, and Dr. Gregory Hoke for his collegial review of the manuscript. The authors acknowledge support from NSF Grants EAR-1252064 and EAR-1156134 to KWH.</t>
  </si>
  <si>
    <t>10.1016/j.gca.2018.06.006</t>
  </si>
  <si>
    <t>WOS:000437357400023</t>
  </si>
  <si>
    <t>Smart, SM; Ren, HJ; Fawcett, SE; Schiebel, R; Conte, M; Rafter, PA; Ellis, KK; Weigand, MA; Oleynik, S; Haug, GH; Sigman, DM</t>
  </si>
  <si>
    <t>Smart, Sandi M.; Ren, Haojia; Fawcett, Sarah E.; Schiebel, Ralf; Conte, Maureen; Rafter, Patrick A.; Ellis, Karen K.; Weigand, Mira A.; Oleynik, Sergey; Haug, Gerald H.; Sigman, Daniel M.</t>
  </si>
  <si>
    <t>Ground-truthing the planktic foraminifer-bound nitrogen isotope paleo-proxy in the Sargasso Sea</t>
  </si>
  <si>
    <t>Planktic foraminifera; Nitrogen isotopes; Paleo-proxy</t>
  </si>
  <si>
    <t>N-15 NATURAL-ABUNDANCE; ATLANTIC TIME-SERIES; NORTH-ATLANTIC; SOUTHERN-OCEAN; GLOBIGERINELLA-AEQUILATERALIS; VERTICAL-DISTRIBUTION; INTERGLACIAL CHANGES; ORBULINA-UNIVERSA; CALCIUM-CARBONATE; ORGANIC-MATTER</t>
  </si>
  <si>
    <t>We report the nitrogen (N) isotope ratios (delta N-15) of planktic foraminifera collected from upper-ocean net tows (surface to 200 m), moored sediment traps, and core-top sediments at the Bermuda Time-series Site in the northern Sargasso Sea between 2009 and 2013. Consistent with previous measurements from low-latitude core-top sediments, the annually-averaged delta N-15 of organic matter bound within the shells of euphotic zone-dwelling, dinoflagellate symbiont-bearing foraminifera collected in net tows (2.3 parts per thousand on average) approximates that of shallow thermocline (similar to 200 m) nitrate (2.6 parts per thousand), the dominant source of new N to Sargasso Sea surface waters. Deeper-dwelling foraminifer species without dinoflagellate symbionts tend to have a higher delta N-15 (3.6 parts per thousand on average). We observe no systematic difference between the bulk tissue and shell-bound delta N-15 in net tow-collected foraminifera. A decline in shell N content is observed from net tows (6.8 nmol/mg) to sediment traps (5.4 nmol/mg) and surface sediment (3.0 nmol/mg). On average, shell-bound delta N-15 rises from net tows (3.1 parts per thousand) to sediment traps (3.7 parts per thousand) but does not change further upon incorporation into the sediments (3.7 parts per thousand). Together, these observations are consistent with preferential loss of shells or shell portions with lower delta N-15 and higher N content during sinking through the upper 500 m, followed by a non-isotope fractionating decrease in N content between sinking and burial. Time-series data from sediment traps (and to a lesser extent, surface net tows) exhibit seasonal delta N-15 variations, with a minimum in early spring, a maximum in late spring and a decline from summer to fall. These variations appear to arise from seasonal changes in the delta N-15 of total upper-ocean biomass, which are, in turn, driven by early springtime nitrate supply, subsequent nitrate drawdown, and an increase in the relative importance of ammonium recycling into the late summer and early fall. The delta N-15 connection between total upper ocean biomass and foraminifera indicates that foraminifer-bound delta N-15 records the delta N-15 of the annual nitrate supply in oligotrophic (e.g., subtropical) environments but will also be sensitive to the degree of nitrate consumption in high-nutrient regions and possibly to changes in upper-ocean ammonium recycling under some conditions. (C) 2018 Elsevier Ltd. All rights reserved.</t>
  </si>
  <si>
    <t>[Smart, Sandi M.] Stellenbosch Univ, Dept Earth Sci, Private Bag X1, ZA-7602 Matieland, South Africa; [Ren, Haojia] Natl Taiwan Univ, Dept Geosci, Taipei 106, Taiwan; [Fawcett, Sarah E.] Univ Cape Town, Dept Oceanog, ZA-7700 Rondebosch, South Africa; [Schiebel, Ralf; Haug, Gerald H.] Max Planck Inst Chem, Climate Geochem Dept, D-55128 Mainz, Germany; [Conte, Maureen] Bermuda Inst Ocean Sci, St Georges 01, GE, Bermuda; [Rafter, Patrick A.] Univ Calif Irvine, Dept Earth Syst Sci, Irvine, CA 92697 USA; [Ellis, Karen K.; Weigand, Mira A.; Oleynik, Sergey; Sigman, Daniel M.] Princeton Univ, Dept Geosci, Princeton, NJ 08544 USA</t>
  </si>
  <si>
    <t>Stellenbosch University; National Taiwan University; University of Cape Town; Max Planck Society; Bermuda Institute of Ocean Sciences; University of California System; University of California Irvine; Princeton University</t>
  </si>
  <si>
    <t>Smart, SM (corresponding author), Stellenbosch Univ, Dept Earth Sci, Private Bag X1, ZA-7602 Matieland, South Africa.</t>
  </si>
  <si>
    <t>sandi.smart@alumni.uct.ac.za</t>
  </si>
  <si>
    <t>Rafter, Patrick A/I-3301-2012; Sigman, Daniel M./A-2649-2008; Sigman, Daniel M./IYJ-2613-2023</t>
  </si>
  <si>
    <t>Sigman, Daniel M./0000-0002-7923-1973; Schiebel, Ralf/0000-0002-6252-7647; Fawcett, Sarah/0000-0002-0878-6496</t>
  </si>
  <si>
    <t>NSF [OCE-1060947, 0960802, 1136345]; Taiwan MOST grant [105-2628-M-002-007-MY3]; South African National Antarctic Programme [93069, 105539]; South African NRF CSUR fund [105895]; Max Planck Institute for Chemistry, Germany; South African NRF [111090]; US NSF Chemical Oceanography Program [OCE-0752366, OCE-1536644]; Directorate For Geosciences; Division Of Ocean Sciences [1536644, 0960802, 1136345] Funding Source: National Science Foundation</t>
  </si>
  <si>
    <t>NSF(National Science Foundation (NSF)); Taiwan MOST grant; South African National Antarctic Programme; South African NRF CSUR fund; Max Planck Institute for Chemistry, Germany(Max Planck Society); South African NRF(National Research Foundation - South Africa); US NSF Chemical Oceanography Program(National Science Foundation (NSF)NSF - Directorate for Geosciences (GEO)); Directorate For Geosciences; Division Of Ocean Sciences(National Science Foundation (NSF)NSF - Directorate for Geosciences (GEO))</t>
  </si>
  <si>
    <t>This work was supported by NSF grants OCE-1060947, 0960802, and 1136345 (D.M.S.); Taiwan MOST grant 105-2628-M-002-007-MY3 (H.R.); the South African National Antarctic Programme (grant 93069, A. Roychoudhury; grant 105539, S.E.F.); the South African NRF CSUR fund (grant 105895, S.E.F); the Max Planck Institute for Chemistry, Germany, and the South African NRF (grant 111090, S.M.S.). We thank the US NSF Chemical Oceanography Program for their continued support of the BATS and OFP time-series, most recently by grants OCE-0752366 (BATS) and OCE-1536644 (OFP). We are grateful to the staff of the Bermuda Institute of Ocean Sciences, the captain and crew of the R/V Atlantic Explorer, as well as fellow scientists for assistance in sampling and auxiliary data collection. We thank A. Plattner for assistance with creating Fig. 1 (in GMT; Wessel et al., 2013); as well as H. Spero for the helpful discussions. S.M.S. thanks the Department of Earth and Environmental Sciences at Fresno State as host, for providing a welcoming and productive academic environment, and A. Roychoudhury for his continued guidance and support.</t>
  </si>
  <si>
    <t>10.1016/j.gca.2018.05.023</t>
  </si>
  <si>
    <t>WOS:000437357400026</t>
  </si>
  <si>
    <t>Bijesh, CM; Kurian, PJ; Yatheesh, V; Tyagi, A; Twinkle, D</t>
  </si>
  <si>
    <t>Bijesh, C. M.; Kurian, P. John; Yatheesh, V.; Tyagi, Abhishek; Twinkle, D.</t>
  </si>
  <si>
    <t>Morphotectonic characteristics, distribution and probable genesis of bathymetric highs off southwest coast of India</t>
  </si>
  <si>
    <t>Seafloor morphology; Hotspot volcanism; Laccadive Basin; Laccadive Plateau</t>
  </si>
  <si>
    <t>DECCAN FLOOD BASALTS; EAST PACIFIC RISE; CONTINENTAL-MARGIN; OCEAN BASIN; SEAMOUNT CHAINS; SOUTHERN INDIA; HOT-SPOT; BREAK-UP; MADAGASCAR; RIDGE</t>
  </si>
  <si>
    <t>The western continental margin of India and the adjacent deep ocean basins were formed by break-up and separation among India, Seychelles and Madagascar since the Late Cretaceous. The initial India-Madagascar separation and the subsequent India-Seychelles separation are believed to have been caused by the Marion hotspot at similar to 90 Ma and the Reunion hotspot at similar to 68.5 Ma, respectively. These geodynamic events resulted in the formation of several bathymetric highs that probably represent imprints of these volcanic events. In the present study these bathymetric high features were mapped comprehensively to understand their morphotectonic characteristics, using a fresh set of multibeam bathymetry, sea-surface gravity and magnetic anomalies, complemented by the available multichannel seismic reflection sections. A high-resolution bathymetric map of the southwestern continental margin of India and the adjoining deep offshore regions has been generated to decipher detailed morphological configuration and distribution of prominent undersea bathymetric features. We also carried out detailed morphometric analysis of these features to deduce the morphological parameters. A total of 33 individual bathymetric high features were identified and classified as seamounts, hills, knolls, guyots and plateaus based on the standardization of undersea feature names published by Intergovernmental Oceanographic Commission (IOC) and International Hydrographic Organization (IHO) in 2013. Multichannel seismic reflection, sea-surface gravity and magnetic data were used to describe the sub-seafloor configuration and qualitative interpretation of the geophysical signatures associated with the bathymetric highs. Interpretation of the multichannel seismic reflection sections suggest that some of these identified features are extrusive in nature, while others are intrusive. These features are associated with characteristic gravity highs superimposed over regional negative anomalies and complex negative and positive magnetic anomalies. The study results suggest that the genesis of the bathymetric highs mapped in the study area could be attributed to the hotspot volcanism, caused by the Marion or Reunion hotspots. We infer that the features in the southwestern continental margin of India closer to the Alleppey-Trivandrum Terrace Complex might have been created by the Marion hotspot volcanism, while those in the Laccadive Basin and eastern sector of the Laccadive Plateau might have been formed by Reunion hotspot volcanism. (C) 2017 Elsevier B.V. All rights reserved.</t>
  </si>
  <si>
    <t>[Bijesh, C. M.; Kurian, P. John; Tyagi, Abhishek; Twinkle, D.] Natl Ctr Antarctic &amp; Ocean Res, Vasco Da Gama 403804, Goa, India; [Bijesh, C. M.] Goa Univ, Dept Marine Sci, Taleigao Plateau 403206, Goa, India; [Yatheesh, V.] CSIR Natl Inst Oceanog, Panaji 403004, Goa, India</t>
  </si>
  <si>
    <t>Ministry of Earth Sciences (MoES) - India; National Centre for Polar and Ocean Research (NCPOR); Goa University; Council of Scientific &amp; Industrial Research (CSIR) - India; CSIR - National Institute of Oceanography (NIO)</t>
  </si>
  <si>
    <t>Kurian, PJ (corresponding author), Natl Ctr Antarctic &amp; Ocean Res, Vasco Da Gama 403804, Goa, India.</t>
  </si>
  <si>
    <t>john@ncaor.gov.in</t>
  </si>
  <si>
    <t>Vadakkeyakath, Yatheesh/C-3067-2009</t>
  </si>
  <si>
    <t>Vadakkeyakath, Yatheesh/0000-0002-4379-3536</t>
  </si>
  <si>
    <t>Ministry of Earth Sciences, New Delhi [MoES/EC/EEZ/32/2012-PC-II]; National Centre for Antarctic and Ocean Research (NCAOR), Goa; CSIR - National Institute of Oceanography (CSIR-NIO), Goa</t>
  </si>
  <si>
    <t>Ministry of Earth Sciences, New Delhi; National Centre for Antarctic and Ocean Research (NCAOR), Goa; CSIR - National Institute of Oceanography (CSIR-NIO), Goa</t>
  </si>
  <si>
    <t>The authors are grateful to the Director, National Centre for Antarctic and Ocean Research (NCAOR), Goa and Director, CSIR - National Institute of Oceanography (CSIR-NIO), Goa, for their encouragement and support to carry out this work. The authors are also thankful to Ministry of Earth Sciences (MoES/EC/EEZ/32/2012-PC-II), New Delhi for their financial support through the EEZ Programme and EEZ Advisory Committee for permission to publish this work. This study forms a part of the PhD work of CMB at Goa University. We are indebted to the two anonymous reviewers for their careful review of the manuscript and valuable comments. We are grateful to Prof. Andrew James Plater, Editor, for editorial handling of the manuscript. We gratefully acknowledge the support received from the shipboard scientific party, officers and crew members of all the cruises of the EEZ Programme conducted onboard Akademic Boris Petrov, ORV Sagar Kanya and MGS Sagar. Directorate General of Hydrocarbons, New Delhi is thanked for providing the multichannel seismic reflection sections used in the present study. Figures were drafted with GMT (Wessel and Smith, 1995) and SURFER (www.goldensoftware.com). This is NCAOR contribution number 16/2018 and NIO contribution number 6216.</t>
  </si>
  <si>
    <t>10.1016/j.geomorph.2018.04.015</t>
  </si>
  <si>
    <t>GK5MN</t>
  </si>
  <si>
    <t>WOS:000436219300003</t>
  </si>
  <si>
    <t>Santagata, S; Ade, V; Mahon, AR; Wisocki, PA; Halanych, KM</t>
  </si>
  <si>
    <t>Santagata, Scott; Ade, Veronica; Mahon, Andrew R.; Wisocki, Phillip A.; Halanych, Kenneth M.</t>
  </si>
  <si>
    <t>Compositional Differences in the Habitat-Forming Bryozoan Communities of the Antarctic Shelf</t>
  </si>
  <si>
    <t>bryozoa; sea floor imaging; Ross Sea; Weddell Sea; Antarctic shelf</t>
  </si>
  <si>
    <t>LAST GLACIAL MAXIMUM; OCEAN ACIDIFICATION; MG-CALCITE; CONTINENTAL-SHELF; MARINE BRYOZOANS; WEDDELL SEA; GROWTH; DIVERSITY; PATTERNS; BENTHOS</t>
  </si>
  <si>
    <t>In some areas of the Antarctic shelf, bryozoans are abundant, acting as ecosystem engineers creating secondary structures with wide benthic coverage and harboring numerous other species. As the combined forces of global warming and ocean acidification threaten these habitats, we measured the composition of habitat-forming bryozoan communities using two techniques for imaging the sea floor, a YoYo-camera system and the AWI Ocean Floor Observation System (OFOS). YoYo-camera transects of the Bellingshausen, Amundsen, and Ross Seas were conducted during a research cruise on the R/V Nathaniel B. Palmer in 2013. OFOS transects included sites in the northern Palmer Archipelago where it borders the Scotia Sea and the Weddell Sea as part of the DynAMO project during the PS81 and PS96 cruises of R/V Polarstem in 2013 and 2015-16, respectively. Areas of bryozoan colonies were measured from the sea floor images using machine-learning algorithms available through the Trainable Weka Segmentation plugin developed for FIJI software. Habitat-forming bryozoan communities in the Palmer Archipelago and Ross Sea were largely composed of anascan flustrid species with finely mineralized skeletons, and to a lesser extent by other ascophoran lepraliomorph and umbonulomorph species having more robustly mineralized skeletons. Although habitat-forming bryozoan communities in the shallower (200 m) sites of the Weddell Sea also contained flustrid species, percent area and composition of flustrid bryozoans declined with increasing depth. Lepraliomorph and umbonulomorph bryozoan morphotypes were more abundant in the Weddell Sea, maintaining their relative percent area and increasing their percent composition between 200 - 400 m. Moreover, our analyses of species composition based on externally gathered datasets show similar trends among sites, depths, and degrees of colony mineralization to our seabed imaging study. Variation present in the bryozoan species compositions of the Amundsen and Bellingshausen Seas suggest that these areas potentially represent divergent bryozoan communities requiring further validation via remote imaging surveys. Overall, compositional differences among Antarctic habitat-forming bryozoan communities are likely influenced by the combined effects of seasonal ice scour and carbonate chemistry, which in an increasingly acidified and warming ocean may put the communities of the eastern Weddell Sea at greater risk.</t>
  </si>
  <si>
    <t>[Santagata, Scott; Wisocki, Phillip A.] Long Isl Univ Post, Dept Biol, Greenvale, NY 11548 USA; [Ade, Veronica] Syosset High Sch, Dept Sci, Syosset, NY USA; [Mahon, Andrew R.] Cent Michigan Univ, Dept Biol, Mt Pleasant, MI 48859 USA; [Halanych, Kenneth M.] Auburn Univ, Dept Biol Sci, Auburn, AL 36849 USA</t>
  </si>
  <si>
    <t>Central Michigan University; Auburn University System; Auburn University</t>
  </si>
  <si>
    <t>Santagata, S (corresponding author), Long Isl Univ Post, Dept Biol, Greenvale, NY 11548 USA.</t>
  </si>
  <si>
    <t>scott.santagata@liu.edu</t>
  </si>
  <si>
    <t>Halanych, Ken M/A-9480-2009</t>
  </si>
  <si>
    <t>Wisocki, Phillip/0000-0002-3432-0104; Mahon, Andrew/0000-0002-5074-8725</t>
  </si>
  <si>
    <t>NSF OPP [1043745, 1043670]; LIU; Office of Polar Programs (OPP); Directorate For Geosciences [1043745] Funding Source: National Science Foundation; Office of Polar Programs (OPP); Directorate For Geosciences [1043670] Funding Source: National Science Foundation</t>
  </si>
  <si>
    <t>NSF OPP(National Science Foundation (NSF)NSF - Directorate for Geosciences (GEO)); LIU; Office of Polar Programs (OPP); Directorate For Geosciences(National Science Foundation (NSF)NSF - Directorate for Geosciences (GEO)); Office of Polar Programs (OPP); Directorate For Geosciences(National Science Foundation (NSF)NSF - Directorate for Geosciences (GEO))</t>
  </si>
  <si>
    <t>KH, AM, and SS provided funding. NSF OPP Grant #1043745 to KH, NSFOPP 1043670 to AM, and LIUGrants in Aid of Research to SS.</t>
  </si>
  <si>
    <t>AUG 14</t>
  </si>
  <si>
    <t>10.3389/fevo.2018.00116</t>
  </si>
  <si>
    <t>HC4TK</t>
  </si>
  <si>
    <t>WOS:000451797500001</t>
  </si>
  <si>
    <t>Kochman-Kedziora, N; Pinseel, E; Rybak, M; Noga, T; Olech, M; Van De Vijver, B</t>
  </si>
  <si>
    <t>Kochman-Kedziora, Natalia; Pinseel, Eveline; Rybak, Mateusz; Noga, Teresa; Olech, Maria; Van De Vijver, Bart</t>
  </si>
  <si>
    <t>Pinnularia subcatenaborealis sp. nov. (Bacillariophyta) a new chain-forming diatom species from King George Island (Maritime Antarctica)</t>
  </si>
  <si>
    <t>PHYTOTAXA</t>
  </si>
  <si>
    <t>new species; Pinnularia; colony formation; freshwater diatoms</t>
  </si>
  <si>
    <t>SPINE-BEARING; DISTANTES</t>
  </si>
  <si>
    <t>During a survey conducted on the freshwater diatom flora of small shallow pools on the Ecology Glacier forefield (King George Island, Maritime Antarctic Region), an unknown spine-bearing chain-forming Pinnularia species, belonging to the Pinnularia borealis species complex, was found. Although it closely resembles the recently described Pinnularia catenaborealis from James Ross Island and Vega Island (Antarctic Peninsula), a unique set of morphological characteristics revealed in both light and scanning electron microscopy clearly discriminates the specimens of King George Island as a new species. Pinnularia subcatenaborealis Kochman-Kgdziora, Pinseel &amp; Van de Vijvcr sp. nou can be distinguished from P catenaborealis by an overall smaller valve size, the presence of irregularly formed silica outgrowths on the mantle and small, irregular plates located near the apices. The new taxon is so far only recorded from a small pool with circumneutral pH and very low conductivity.</t>
  </si>
  <si>
    <t>[Kochman-Kedziora, Natalia] Univ Rzeszow, Fac Biol &amp; Agr, Podkarpackie Innovat Res Ctr Environm, Zelwelowicza 8B, PL-35601 Rzeszow, Poland; [Pinseel, Eveline] Univ Ghent, Fac Sci, Dept Biol, Lab Protistol &amp; Aquat Ecol PAE, Krijgslaan 281-S8, B-9000 Ghent, Belgium; [Pinseel, Eveline; Van De Vijver, Bart] Bot Garden, Res Dept, Nieuwelaan 38, B-1860 Meise, Belgium; [Pinseel, Eveline; Van De Vijver, Bart] Univ Antwerp, Dept Biol, ECOBE, Univ Pl 1, B-2610 Antwerp, Belgium; [Rybak, Mateusz] Univ Rzeszow, Fac Biol &amp; Agr, Dept Agroecol, Cwiklinskiej 1a, PL-35601 Rzeszow, Poland; [Noga, Teresa] Univ Rzeszow, Fac Biol &amp; Agr, Dept Soil Studies Environm Chem &amp; Hydrol, Zelwerowicza 8B, PL-35601 Rzeszow, Poland; [Olech, Maria] Jagiellonian Univ, Dept Polar Res &amp; Documentat, Inst Bot, Kopernika 27, PL-31501 Krakow, Poland; Polish Acad Sci, Inst Biochem &amp; Biophys, Pawinskiego 5a, PL-02106 Warsaw, Poland</t>
  </si>
  <si>
    <t>University of Rzeszow; Ghent University; University of Antwerp; University of Rzeszow; University of Rzeszow; Jagiellonian University; Polish Academy of Sciences; Institute of Biochemistry &amp; Biophysics - Polish Academy of Sciences</t>
  </si>
  <si>
    <t>Van De Vijver, B (corresponding author), Bot Garden, Res Dept, Nieuwelaan 38, B-1860 Meise, Belgium.;Van De Vijver, B (corresponding author), Univ Antwerp, Dept Biol, ECOBE, Univ Pl 1, B-2610 Antwerp, Belgium.</t>
  </si>
  <si>
    <t>bart.vandevijver@plantentuinmeise.be</t>
  </si>
  <si>
    <t>Pinseel, Eveline/ABF-5980-2020</t>
  </si>
  <si>
    <t>Pinseel, Eveline/0000-0002-1801-2187; Rybak, Mateusz/0000-0001-8998-9537; Noga, Teresa/0000-0002-4864-5620; Kochman-Kedziora, Natalia/0000-0003-1006-1715</t>
  </si>
  <si>
    <t>1179-3155</t>
  </si>
  <si>
    <t>1179-3163</t>
  </si>
  <si>
    <t>Phytotaxa</t>
  </si>
  <si>
    <t>10.11646/phytotaxa.364.3.5</t>
  </si>
  <si>
    <t>GQ5ZQ</t>
  </si>
  <si>
    <t>WOS:000441777100005</t>
  </si>
  <si>
    <t>Priyadarshi, S; Zhang, QH; Ma, YZ; Xing, ZY; Hu, ZJ; Li, GZ</t>
  </si>
  <si>
    <t>Priyadarshi, Shishir; Zhang, Qing-He; Ma, Yuzhang; Xing, Zanyang; Hu, Ze-Jun; Li, Guozhu</t>
  </si>
  <si>
    <t>The Behaviors of Ionospheric Scintillations Around Different Types of Nightside Auroral Boundaries Seen at the Chinese Yellow River Station, Svalbard</t>
  </si>
  <si>
    <t>FRONTIERS IN ASTRONOMY AND SPACE SCIENCES</t>
  </si>
  <si>
    <t>polar ionosphere; scintillation; nighttime aurora; GPS; GNSS etc</t>
  </si>
  <si>
    <t>GPS PHASE SCINTILLATION; POLAR-CAP PATCHES; INTERPLANETARY MAGNETIC-FIELD; IMF B-Y; SCALE IRREGULARITIES; ELECTROJET ACTIVITY; HIGH-LATITUDES; PLASMA SHEET; CYCLE SLIPS; IONIZATION</t>
  </si>
  <si>
    <t>Dynamical nightside auroral structures are often observed by the all sky imagers (ASI) at the Chinese Yellow River Station (CYRS) at Ny-Alesund, Svalbard, located in the polar cap near poleward edge of the nightside auroral oval. The boundaries of the nightside auroral oval are stable during quiet geomagnetic conditions, while they often expand poleward and pass through the overhead area of CYRS during the substorm expansion phase. The motions of these boundaries often give rise to strong disturbances of satellite navigations and communications. Two cases of these auroral boundary motions have been introduced to investigate their associated ionospheric scintillations: one is Fixed Boundary Auroral Emissions (FBAE) with stable and fixed auroral boundaries, and another is Bouncing Boundary Auroral Emissions (BBAE) with dynamical and largely expanding auroral boundaries. Our observations show that the auroral boundaries, identified from the sharp gradient of the auroral emission intensity from the ASI images, were clearly associated with ionospheric scintillations observed by Global Navigation Satellite System (GNSS) scintillation receiver at the CYRS. However, amplitude scintillation (S-4) and phase scintillation (sigma(phi)) respond in an entirely different way in these two cases due to the different generation mechanism as well as different IMF (Interplanetary Magnetic Field) condition. S-4 and sigma(phi) have similar levels around the FBAE, while sigma(phi) was much stronger than S-4 around BBAE. The BBAE were associated with stronger particle precipitation during the substorm expansion phase. IU/IL, appeared to be a good indicator of the poleward moving auroral structures during the BBAE as well as FBAE.</t>
  </si>
  <si>
    <t>[Priyadarshi, Shishir; Zhang, Qing-He; Ma, Yuzhang; Xing, Zanyang] Shandong Univ, Shandong Prov Key Lab Opt Astron &amp; Solar Terr Env, Inst Space Sci, Weihai, Peoples R China; [Hu, Ze-Jun] Polar Res Inst China, SOA Key Lab Polar Sci, Shanghai, Peoples R China; [Li, Guozhu] Chinese Acad Sci, Inst Geol &amp; Geophys, Key Lab Earth &amp; Planetary Phys, Beijing, Peoples R China</t>
  </si>
  <si>
    <t>Shandong University; Polar Research Institute of China; Chinese Academy of Sciences; Institute of Geology &amp; Geophysics, CAS</t>
  </si>
  <si>
    <t>Priyadarshi, S; Zhang, QH (corresponding author), Shandong Univ, Shandong Prov Key Lab Opt Astron &amp; Solar Terr Env, Inst Space Sci, Weihai, Peoples R China.</t>
  </si>
  <si>
    <t>spriyadarshi@sdu.edu.cn; zhangqinghe@sdu.edu.cn</t>
  </si>
  <si>
    <t>Hu, Ze-Jun/X-8090-2019; Zhang, Qing-He/G-4572-2014; Priyadarshi, Shishir/C-5036-2019</t>
  </si>
  <si>
    <t>Hu, Ze-Jun/0000-0003-2448-2094; Zhang, Qing-He/0000-0003-2429-4050; Priyadarshi, Shishir/0000-0002-1775-8964</t>
  </si>
  <si>
    <t>China Postdoctoral International Exchange Program grant from the Institute of Space Sciences Shandong University, China; National Natural Science Foundation [41574138, 41274149, 41274148]; Shandong Provincial Natural Science Foundation [JQ201412]; International Collaboration Supporting Project, Chinese Arctic and Antarctic Administration [IC201511]; national scientific funding agency of Australia; national scientific funding agency of Canada; national scientific funding agency of China; national scientific funding agency of France; national scientific funding agency of Japan; national scientific funding agency of South Africa; national scientific funding agency of United Kingdom; national scientific funding agency of United States of America</t>
  </si>
  <si>
    <t>China Postdoctoral International Exchange Program grant from the Institute of Space Sciences Shandong University, China; National Natural Science Foundation(National Natural Science Foundation of China (NSFC)); Shandong Provincial Natural Science Foundation(Natural Science Foundation of Shandong Province); International Collaboration Supporting Project, Chinese Arctic and Antarctic Administration; national scientific funding agency of Australia; national scientific funding agency of Canada; national scientific funding agency of China; national scientific funding agency of France; national scientific funding agency of Japan; national scientific funding agency of South Africa; national scientific funding agency of United Kingdom; national scientific funding agency of United States of America</t>
  </si>
  <si>
    <t>This research work was supported by the China Postdoctoral International Exchange Program grant from the Institute of Space Sciences Shandong University, China; the National Natural Science Foundation (grants 41574138, 41274149, and 41274148); the Shandong Provincial Natural Science Foundation (grant JQ201412); and the International Collaboration Supporting Project, Chinese Arctic and Antarctic Administration (IC201511). We have used data from the NASAOMINIWEB server [http://omniweb.gsfc.nasa.gov/] and have used OVATION display (http://www.jhuapl.edu/Aurora/ovation/ovation_display.html). International Monitor for Auroral Geomagnetic Effects (IMAGE) data are also used in the presented research work, which is freely available at http://space.fmi.fi/image/beta/?page=il_index. We also acknowledge the use of SuperDARN data. SuperDARN is a collection of radars funded by national scientific funding agencies of Australia, Canada, China, France, Japan, South Africa, United Kingdom, and United States of America.</t>
  </si>
  <si>
    <t>2296-987X</t>
  </si>
  <si>
    <t>FRONT ASTRON SPACE</t>
  </si>
  <si>
    <t>Front. Astron. Space Sci.</t>
  </si>
  <si>
    <t>10.3389/fspas.2018.00026</t>
  </si>
  <si>
    <t>GR2XJ</t>
  </si>
  <si>
    <t>WOS:000442448800001</t>
  </si>
  <si>
    <t>Sato, K; Inoue, J; Yamazaki, A; Kim, JH; Makshtas, A; Kustov, V; Maturilli, M; Dethloff, K</t>
  </si>
  <si>
    <t>Sato, Kazutoshi; Inoue, Jun; Yamazaki, Akira; Kim, Joo-Hong; Makshtas, Alexander; Kustov, Vasilli; Maturilli, Marion; Dethloff, Klaus</t>
  </si>
  <si>
    <t>Impact on predictability of tropical and mid-latitude cyclones by extra Arctic observations</t>
  </si>
  <si>
    <t>URAL BLOCKING; WEATHER EXTREMES; SURVEILLANCE; REANALYSIS; FORECASTS; DOTSTAR</t>
  </si>
  <si>
    <t>Recent research has demonstrated that additional winter radiosonde observations in Arctic regions enhance the predictability of mid-latitude weather extremes by reducing uncertainty in the flow of localised tropopause polar vortices. The impacts of additional Arctic observations during summer are usually confined to high latitudes and they are difficult to realize at mid-latitudes because of the limited scale of localised tropopause polar vortices. However, in certain climatic states, the jet stream can intrude remarkably into the mid-latitudes, even in summer; thus, additional Arctic observations might improve analysis validity and forecast skill for summer atmospheric circulations over the Northern Hemisphere. This study examined such cases that occurred in 2016 by focusing on the prediction of the intensity and track of tropical cyclones (TCs) over the North Atlantic and North Pacific, because TCs are representative of extreme weather in summer. The predictabilities of three TCs were found influenced by additional Arctic observations. Comparisons with ensemble reanalysis data revealed that large errors propagate from the data-sparse Arctic into the mid-latitudes, together with high-potential-vorticity air. Ensemble forecast experiments with different reanalysis data confirmed that additional Arctic observations sometimes improve the initial conditions of upper-level troposphere circulations.</t>
  </si>
  <si>
    <t>[Sato, Kazutoshi; Inoue, Jun] Natl Inst Polar Res, Tachikawa, Tokyo 1908518, Japan; [Sato, Kazutoshi] Kitami Inst Technol, Kitami, Hokkaido 0908507, Japan; [Inoue, Jun; Yamazaki, Akira] Japan Agcy Marine Earth Sci &amp; Technol, Applicat Lab, Yokohama, Kanagawa 2360001, Japan; [Inoue, Jun] Grad Univ Adv Studies, SOKENDAI, Hayama 2400193, Japan; [Kim, Joo-Hong] Korea Polar Res Inst, Incheon 21990, South Korea; [Makshtas, Alexander; Kustov, Vasilli] Arctic &amp; Antarctic Res Inst, St Petersburg 199397, Russia; [Maturilli, Marion; Dethloff, Klaus] Helmholtz Ctr Polar &amp; Marine Res, Alfred Wegener Inst, D-14473 Potsdam, Germany</t>
  </si>
  <si>
    <t>Research Organization of Information &amp; Systems (ROIS); National Institute of Polar Research (NIPR) - Japan; Kitami Institute of Technology; Japan Agency for Marine-Earth Science &amp; Technology (JAMSTEC); Graduate University for Advanced Studies - Japan; Korea Polar Research Institute (KOPRI); Arctic &amp; Antarctic Research Institute; Helmholtz Association; Alfred Wegener Institute, Helmholtz Centre for Polar &amp; Marine Research</t>
  </si>
  <si>
    <t>Sato, K (corresponding author), Natl Inst Polar Res, Tachikawa, Tokyo 1908518, Japan.;Sato, K (corresponding author), Kitami Inst Technol, Kitami, Hokkaido 0908507, Japan.</t>
  </si>
  <si>
    <t>satokazu@mail.kitami-it.ac.jp</t>
  </si>
  <si>
    <t>Inoue, Jun/ABE-2305-2021; Kustov, Vasilii Y./K-4576-2016; amplification, ³ - Arctic/AAU-6640-2020; Maturilli, Marion/A-4344-2017</t>
  </si>
  <si>
    <t>Inoue, Jun/0000-0001-7738-6480; Maturilli, Marion/0000-0001-6818-7383; Sato, Kazutoshi/0000-0003-0216-8942</t>
  </si>
  <si>
    <t>Arctic Challenge for Sustainability (ArCS) project; JSPS Overseas Research Fellowships; JSPS KAKENHI [18H03745]; KOPRI Asian Polar Science Fellowship Program; KPOPS (KOPRI) [PE18130]; K-AOOS (KOPRI) [20160245]; MOF, Korea; Ministry of Education and Science of the Russian Federation [RFMEFI61617X0076]; ArctiC Amplification: Climate Relevant Atmospheric and SurfaCe Processes, and Feedback Mechanisms (AC)3 - DFG (Deutsche Forschungsgemeinschaft) [SFB/TR 172]; Grants-in-Aid for Scientific Research [18H03745] Funding Source: KAKEN</t>
  </si>
  <si>
    <t>Arctic Challenge for Sustainability (ArCS) project; JSPS Overseas Research Fellowships; JSPS KAKENHI(Ministry of Education, Culture, Sports, Science and Technology, Japan (MEXT)Japan Society for the Promotion of ScienceGrants-in-Aid for Scientific Research (KAKENHI)); KOPRI Asian Polar Science Fellowship Program(Korea Polar Research Institute of Marine Research Placement (KOPRI)); KPOPS (KOPRI)(Korea Polar Research Institute of Marine Research Placement (KOPRI)); K-AOOS (KOPRI)(Korea Polar Research Institute of Marine Research Placement (KOPRI)); MOF, Korea(Ministry of Oceans &amp; Fisheries (MOF), Republic of Korea); Ministry of Education and Science of the Russian Federation(Ministry of Education and Science, Russian Federation); ArctiC Amplification: Climate Relevant Atmospheric and SurfaCe Processes, and Feedback Mechanisms (AC)3 - DFG (Deutsche Forschungsgemeinschaft)(German Research Foundation (DFG)); Grants-in-Aid for Scientific Research(Ministry of Education, Culture, Sports, Science and Technology, Japan (MEXT)Japan Society for the Promotion of ScienceGrants-in-Aid for Scientific Research (KAKENHI))</t>
  </si>
  <si>
    <t>To access the CTL and OSE reanalyses and CTL and OSE forecast simulation data, please contact the corresponding author (satokazu@mail.kitami-it.ac.jp). This work was supported by the Arctic Challenge for Sustainability (ArCS) project, JSPS Overseas Research Fellowships, JSPS KAKENHI (Grant Number 18H03745), KOPRI Asian Polar Science Fellowship Program, KPOPS (KOPRI, PE18130) &amp; K-AOOS (KOPRI, 20160245, funded by the MOF, Korea) projects, Ministry of Education and Science of the Russian Federation (Project RFMEFI61617X0076) and the SFB/TR 172 ArctiC Amplification: Climate Relevant Atmospheric and SurfaCe Processes, and Feedback Mechanisms (AC)3 funded by the DFG (Deutsche Forschungsgemeinschaft). The authors thank the two anonymous reviewers for their constructive comments. We also thank all scientists and technicians who collected data at the operational stations. ALEDAS2 and AFES integrations were performed on the Earth Simulator with the support of JAMSTEC. PREPBUFR, which is compiled by the National Centers for Environmental Prediction (NCEP) and archived at the University Corporation for Atmospheric Research (UCAR), was used as observations (available from http://rda.ucar.edu). We used dropsonde observations from the NASA Global Hawk aircraft and radiosonde observations from Canadian land stations (Sable Island, Resolute, Iqaluit, Hall Beach, ST John's west, and Eureka). We thank Steven Hunter, M.S., from Edanz Group (www.edanzediting.com/ac) for correcting a draft of this manuscript.</t>
  </si>
  <si>
    <t>10.1038/s41598-018-30594-4</t>
  </si>
  <si>
    <t>GQ3CC</t>
  </si>
  <si>
    <t>WOS:000441536700023</t>
  </si>
  <si>
    <t>Karvonen, J</t>
  </si>
  <si>
    <t>Karvonen, Juha</t>
  </si>
  <si>
    <t>Estimation of Arctic land-fast ice cover based on dual-polarized Sentinel-1 SAR imagery</t>
  </si>
  <si>
    <t>INTERANNUAL VARIABILITY; LAPTEV SEA; EXTENT; MOTION; BEAUFORT; CHUKCHI</t>
  </si>
  <si>
    <t>Here a method for estimating the land-fast ice (LFI) extent from dual-polarized Sentinel-1 SAR mosaics of an Arctic study area over the Kara and Barents seas is presented. The method is based on temporal cross-correlation between adjacent daily SAR mosaics. The results are compared to the LFI of the Russian Arctic and Antarctic Research Institute (AARI) ice charts. Two versions of the method were studied: in the first version (FMI-A) the overall performance was optimized, and in the second version (FMI-B) the target was a low LFI misdetection rate. FMI-A detected over 73% of the AARI ice chart LFI, and FMI-B a little over 50% of the AARI ice chart LFI. During the winter months the detection rates were higher than during the melt-down season for both the studied algorithm versions. An LFI time series covering the time period from October 2015 to the end of August 2017 computed using the proposed methodology is provided on the FMI ftp server. The time series will be extended twice annually.</t>
  </si>
  <si>
    <t>[Karvonen, Juha] Finnish Meteorol Inst, PB 503, FIN-00101 Helsinki, Finland</t>
  </si>
  <si>
    <t>Finnish Meteorological Institute</t>
  </si>
  <si>
    <t>Karvonen, J (corresponding author), Finnish Meteorol Inst, PB 503, FIN-00101 Helsinki, Finland.</t>
  </si>
  <si>
    <t>juha.karvonen@fmi.fi</t>
  </si>
  <si>
    <t>Karvonen, Juha/AAJ-3323-2020</t>
  </si>
  <si>
    <t>Karvonen, Juha/0000-0002-8840-0636</t>
  </si>
  <si>
    <t>project space-borne observations for detecting and forecasting sea ice cover extremes (SPICES) - European Union's Horizon 2020 Programme [640161]</t>
  </si>
  <si>
    <t>project space-borne observations for detecting and forecasting sea ice cover extremes (SPICES) - European Union's Horizon 2020 Programme</t>
  </si>
  <si>
    <t>The author would like to thank the editor and the reviewers for the constructive comments and suggestions provided. The work was supported by the project space-borne observations for detecting and forecasting sea ice cover extremes (SPICES) funded by the European Union's Horizon 2020 Programme (grant agreement no. 640161).</t>
  </si>
  <si>
    <t>10.5194/tc-12-2595-2018</t>
  </si>
  <si>
    <t>GQ4UD</t>
  </si>
  <si>
    <t>WOS:000441668900001</t>
  </si>
  <si>
    <t>Potocka, M; Krzeminska, E</t>
  </si>
  <si>
    <t>Potocka, Marta; Krzeminska, Ewa</t>
  </si>
  <si>
    <t>Trichocera maculipennis (Diptera)-an invasive species in Maritime Antarctica</t>
  </si>
  <si>
    <t>King George Island; Antarctica; Trichocera; Non-native; Invasive species; Biodiversity; Insects; Alien species</t>
  </si>
  <si>
    <t>TRICHOCERIDAE DIPTERA; BIOLOGICAL INVASIONS; AREA; EXTENT; FLIES</t>
  </si>
  <si>
    <t>Antarctica, with its severe conditions, is poor in terrestrial fauna species. However, an increase in human presence together with climate change may cause an influx of non-native species. Here we report a significant increase in colonized area of one of the few known invasive species to date in Antarctica. Non-native flies of Trichocera maculipennis have been recently observed in the Admiralty Bay area on King George Island, South Shetlands Islands, West Antarctica, 10 years after its first record in Maritime Antarctica (Maxwell Bay, King George Island). Its rapid spread across the island, despite geographic barriers such as glaciers, indicates successful adaptation to local environmental conditions and suggests this species is invasive. The mode of life of T. maculipennis, observed in natural and anthropogenous habitat and in laboratory conditions, is reported. The following adaptations enabled its invasion and existence within the sewage system in Antarctic scientific stations: the ability to survive in complete darkness, male ability to mate on the substrate surface without prior swarming in flight, and adaptation of terrestrial larvae to survive in semi-liquid food. Possible routes of introduction to Antarctica and between two bays on King George Island are discussed, as well as further research leading to the containment and eradication of this species.</t>
  </si>
  <si>
    <t>[Potocka, Marta] Polish Acad Sci, Inst Biochem &amp; Biophys, Dept Antarctic Biol, Warsaw, Poland; [Krzeminska, Ewa] Polish Acad Sci, Inst Systemat &amp; Evolut Anim, Krakow, Poland</t>
  </si>
  <si>
    <t>Polish Academy of Sciences; Institute of Biochemistry &amp; Biophysics - Polish Academy of Sciences; Polish Academy of Sciences; Institute of Systematics &amp; Evolution of Animals of the Polish Academy of Sciences</t>
  </si>
  <si>
    <t>Potocka, M (corresponding author), Polish Acad Sci, Inst Biochem &amp; Biophys, Dept Antarctic Biol, Warsaw, Poland.</t>
  </si>
  <si>
    <t>mpotocka@ibb.waw.pl</t>
  </si>
  <si>
    <t>Krzemińska, Ewa/AAD-6661-2021</t>
  </si>
  <si>
    <t>Krzemińska, Ewa/0000-0002-3431-9963; Potocka, Marta/0000-0003-0505-6436</t>
  </si>
  <si>
    <t>e5408</t>
  </si>
  <si>
    <t>10.7717/peerj.5408</t>
  </si>
  <si>
    <t>GQ2SG</t>
  </si>
  <si>
    <t>WOS:000441506600007</t>
  </si>
  <si>
    <t>Gutiérrez, MH; Nerváez, D; Daneri, G; Montero, P; Pérez-Santos, I; Pantoja, S</t>
  </si>
  <si>
    <t>Gutierrez, Marcelo H.; Nervaez, Diego; Daneri, Giovanni; Montero, Pauline; Perez-Santos, Ivan; Pantoja, Silvio</t>
  </si>
  <si>
    <t>Linking Seasonal Reduction of Microbial Diversity to Increase in Winter Temperature of Waters of a Chilean Patagonia Fjord</t>
  </si>
  <si>
    <t>prokaryotic communities; environmental drivers; winter temperature trend; reducing diversity; Puyuhuapi fjord; Chilean Patagonia</t>
  </si>
  <si>
    <t>BACTERIAL COMMUNITIES; BALTIC SEA; BACTERIOPLANKTON COMMUNITY; ARCHAEAL ASSEMBLAGES; SALINITY GRADIENT; PLANKTON DYNAMICS; HIGH-RATES; CARBON; VARIABILITY; COASTAL</t>
  </si>
  <si>
    <t>Since microorganisms play a major role in the biogeochemistry of the ocean, understanding structure and dynamics of natural microbial communities is crucial in assessing the impact of environmental changes on marine ecosystems. In order to identify key environmental drivers of microbial community structure in Chilean Patagonian fjords, we analyzed composition of the prokaryotic community over an annual cycle at a single sampling site in Puyuhuapi Fjord. Distinctive communities represented mainly by Actinomycetales, Rhodobacteraceae, Cryomorphaceae, and Flavobacteriaceae were associated with Estuarine Fresh Waters, whereas Cenarchaeaceae and Oceanospirillales were representative of Modified Sub Antarctic Waters present in the fjord. Salinity and oxygen were first-order factors explaining segregation of microbial communities in these contrasting water masses. Positive correlations of members of Flavobacteriaceae, Alteromonadales, and Verrucomicrobiales with diatoms in subsurface waters and of Flavobacteriales (Cryomorphaceae and Flavobacteriaceae), Rhodobacteraceae, and Pelagibacteraceae with dinoflagellates in surface waters suggest that phytoplankton composition could define specific niches for microorganisms in Puyuhuapi fjord waters. A dramatic reduction of richness and individual abundances within Flavobacteriaceae, Rhodobacteraceae, and Cenarchaeaceae families was principally explained by seasonal increase of surface water temperature, with major reduction associated with changes in temperature during winter conditions. Taxa that are sensitive to increased temperature are key components of organic matter and element cycling, and we therefore suggest that potential decrease in diversity associated with rising of surface water temperature could impact current biogeochemical status of Patagonian lord ecosystems.</t>
  </si>
  <si>
    <t>[Gutierrez, Marcelo H.; Nervaez, Diego; Pantoja, Silvio] Univ Concepcion, Dept Oceanog, Concepcion, Chile; [Gutierrez, Marcelo H.; Nervaez, Diego; Daneri, Giovanni; Montero, Pauline; Perez-Santos, Ivan; Pantoja, Silvio] Univ Concepcion, COPAS Sur Austral, Concepcion, Chile; [Nervaez, Diego] Ctr Estudio Forzantes Multiples Sistemas Socioeco, Concepcion, Chile; [Daneri, Giovanni; Montero, Pauline] Ctr Invest Ecosistemas Patagonia, Coyhaique, Chile; [Perez-Santos, Ivan] Univ Los Lagos, Ctr Imar, Puerto Montt, Chile</t>
  </si>
  <si>
    <t>Universidad de Concepcion; Universidad de Concepcion; Universidad de Los Lagos</t>
  </si>
  <si>
    <t>Gutiérrez, MH (corresponding author), Univ Concepcion, Dept Oceanog, Concepcion, Chile.;Gutiérrez, MH (corresponding author), Univ Concepcion, COPAS Sur Austral, Concepcion, Chile.</t>
  </si>
  <si>
    <t>magutier@udec.cl</t>
  </si>
  <si>
    <t>Narváez, Diego/Q-7177-2019</t>
  </si>
  <si>
    <t>Narváez, Diego/0000-0001-9866-1189; , Ivan Perez-Santos/0000-0002-0184-1122</t>
  </si>
  <si>
    <t>CONICYT-Chile [1131063]; PAI grant [791220026]; COPAS Sur-Austral CONICYT PIA APOYO CCTE [AFB170006]; Fondecyt [11140161, 11161091]</t>
  </si>
  <si>
    <t>CONICYT-Chile(Comision Nacional de Investigacion Cientifica y Tecnologica (CONICYT)); PAI grant; COPAS Sur-Austral CONICYT PIA APOYO CCTE; Fondecyt(Comision Nacional de Investigacion Cientifica y Tecnologica (CONICYT)CONICYT FONDECYT)</t>
  </si>
  <si>
    <t>This research was funded by CONICYT-Chile through Fondecyt grant 1131063, PAI grant 791220026 and COPAS Sur-Austral CONICYT PIA APOYO CCTE AFB170006. IP-S acknowledges funding from Fondecyt grant 11140161. DN acknowledges funding from Fondecyt grant 11161091.</t>
  </si>
  <si>
    <t>10.3389/fmars.2018.00277</t>
  </si>
  <si>
    <t>HJ7HF</t>
  </si>
  <si>
    <t>WOS:000457365900001</t>
  </si>
  <si>
    <t>Liebhold, AM; Yamanaka, T; Roques, A; Augustin, S; Chown, SL; Brockerhoff, EG; Pysek, P</t>
  </si>
  <si>
    <t>Liebhold, Andrew M.; Yamanaka, Takehiko; Roques, Alain; Augustin, Sylvie; Chown, Steven L.; Brockerhoff, Eckehard G.; Pysek, Petr</t>
  </si>
  <si>
    <t>Plant diversity drives global patterns of insect invasions</t>
  </si>
  <si>
    <t>COMMUNITY STRUCTURE; SPECIES-RICHNESS; IMPACTS; BIODIVERSITY; COMPETITION</t>
  </si>
  <si>
    <t>During the last two centuries, thousands of insect species have been transported ( largely inadvertently) and established outside of their native ranges worldwide, some with catastrophic ecological and economic impacts. Global variation in numbers of invading species depends on geographic variation in propagule pressure and heterogeneity of environmental resistance to invasions. Elton's diversity-invasibility hypothesis, proposed over sixty years ago, has been widely explored for plants but little is known on how biodiversity affects insect invasions. Here we use species inventories from 44 land areas, ranging from small oceanic islands to entire continents in various world regions, to show that numbers of established insect species are primarily driven by diversity of plants, with both native and non-native plant species richness being the strongest predictor of insect invasions. We find that at large spatial scales, plant diversity directly explains variation in non-native insect species richness among world regions, while geographic factors such as land area, climate and insularity largely affect insect invasions indirectly via their effects on local plant richness.</t>
  </si>
  <si>
    <t>[Liebhold, Andrew M.] US Forest Serv, Northern Res Stn, Morgantown, WV 26505 USA; [Liebhold, Andrew M.] Czech Univ Life Sci Prague, Fac Forestry &amp; Wood Sci, CZ-16521 Prague 6, Suchdol, Czech Republic; [Yamanaka, Takehiko] NARO, Inst Agroenvironm Sci, Div Informat &amp; Inventory, Ibaraki, Japan; [Roques, Alain; Augustin, Sylvie] INRA, UR0633, Zool Forestiere, F-45075 Orleans, France; [Chown, Steven L.] Monash Univ, Sch Biol Sci, Clayton, Vic 3800, Australia; [Brockerhoff, Eckehard G.] Scion New Zealand Forest Res Inst, Christchurch 8540, New Zealand; [Pysek, Petr] Czech Acad Sci, Inst Bot, CZ-25243 Pruhonice, Czech Republic; [Pysek, Petr] Charles Univ Prague, Fac Sci, Dept Ecol, Vinicna 7, CZ-12844 Prague 2, Czech Republic; [Pysek, Petr] Stellenbosch Univ, Dept Bot &amp; Zool, Ctr Invas Biol, Stellenbosch, South Africa</t>
  </si>
  <si>
    <t>United States Department of Agriculture (USDA); United States Forest Service; Czech University of Life Sciences Prague; National Agriculture &amp; Food Research Organization - Japan; INRAE; Monash University; Czech Academy of Sciences; Institute of Botany of the Czech Academy of Sciences; Charles University Prague; Stellenbosch University</t>
  </si>
  <si>
    <t>Liebhold, AM (corresponding author), US Forest Serv, Northern Res Stn, Morgantown, WV 26505 USA.;Liebhold, AM (corresponding author), Czech Univ Life Sci Prague, Fac Forestry &amp; Wood Sci, CZ-16521 Prague 6, Suchdol, Czech Republic.</t>
  </si>
  <si>
    <t>aliebhold@fs.fed.us</t>
  </si>
  <si>
    <t>Chown, Steven/ABD-7646-2021; Liebhold, Andrew M./C-1423-2008; Pysek, Petr/B-1957-2012; Brockerhoff, Eckehard G./C-1528-2009; Chown, Steven/H-3347-2011</t>
  </si>
  <si>
    <t>Liebhold, Andrew M./0000-0001-7427-6534; Brockerhoff, Eckehard G./0000-0002-5962-3208; Chown, Steven/0000-0001-6069-5105; Yamanaka, Takehiko/0000-0003-2888-1076</t>
  </si>
  <si>
    <t>National Science Foundation Macrosystems Biology Program [1241932, 1638702]; grant EVA4.0 - OP RDE [CZ.02.1.01/0.0/0.0/16_019/0000803]; European COST project Alien Challenge [TD1209]; European COST project Global Warning [TD1401]; Czech Academy of Sciences [RVO 67985939]; Centre of Excellence PLADIAS (Czech Science Foundation) [14-36079G]; Australian Antarctic Science Program [4307]; MBIE; Better Border Biosecurity collaboration; Direct For Biological Sciences; Emerging Frontiers [1241932] Funding Source: National Science Foundation</t>
  </si>
  <si>
    <t>National Science Foundation Macrosystems Biology Program; grant EVA4.0 - OP RDE; European COST project Alien Challenge; European COST project Global Warning; Czech Academy of Sciences(Czech Academy of Sciences); Centre of Excellence PLADIAS (Czech Science Foundation); Australian Antarctic Science Program; MBIE(New Zealand Ministry of Business, Innovation and Employment (MBIE)); Better Border Biosecurity collaboration; Direct For Biological Sciences; Emerging Frontiers(National Science Foundation (NSF)NSF - Directorate for Biological Sciences (BIO))</t>
  </si>
  <si>
    <t>We thank Laura Blackburn and Eugene Luzader for assistance compiling data. AL was supported by grants from the National Science Foundation Macrosystems Biology Program (grant numbers 1241932, 1638702) and grant EVA4.0, No. CZ.02.1.01/0.0/0.0/16_019/0000803 financed by OP RDE. AR and SA were supported by the European COST projects Alien Challenge (TD1209) and Global Warning (TD1401). PP was supported by long-term research development project RVO 67985939 (The Czech Academy of Sciences) and project no. 14-36079G Centre of Excellence PLADIAS (Czech Science Foundation). SLC was supported by Australian Antarctic Science Program Project 4307. EGB was supported by MBIE core funding to Scion and the Better Border Biosecurity collaboration (www.b3nz.org).</t>
  </si>
  <si>
    <t>10.1038/s41598-018-30605-4</t>
  </si>
  <si>
    <t>WOS:000441536700014</t>
  </si>
  <si>
    <t>Milisenda, G; Rossi, S; Vizzini, S; Fuentes, VL; Purcell, JE; Tilves, U; Piraino, S</t>
  </si>
  <si>
    <t>Milisenda, Giacomo; Rossi, Sergio; Vizzini, Salvatrice; Fuentes, Veronica L.; Purcell, Jennifer E.; Tilves, Uxue; Piraino, Stefano</t>
  </si>
  <si>
    <t>Seasonal variability of diet and trophic level of the gelatinous predator Pelagia noctiluca (Scyphozoa)</t>
  </si>
  <si>
    <t>FATTY-ACID COMPOSITION; STABLE-ISOTOPE; FOOD-WEB; PREY SELECTION; MEDITERRANEAN SEA; ANTARCTIC KRILL; AURELIA-AURITA; JELLYFISH; ZOOPLANKTON; ECOLOGY</t>
  </si>
  <si>
    <t>Jellyfish populations apparently have increased in some places around the world and human problems with them also have increased. However, effects of jellyfish outbreaks in the ecosystems remain poorly understood and little or no information is available on their dietary preferences - in relation to the seasonal shifts of prey abundance - and on the potential variability of their impact on marine food webs. The mauve stinger Pelagia noctiluca (Forsskal, 1775) is by far the most common outbreak-forming scyphozoan jellyfish in the Western Mediterranean. By use of a combination of stomach contents, stable isotope (SI) and fatty acid (FA) analyses, we tested the hypothesis that changes in the seasonal dietary sources of P. noctiluca parallel changes in the FA and SI composition. Stomach content and biomarker analyses suggested that P. noctiluca is not a selective predator, cyclically shifting between carnivory and omnivory depending on the seasonality of accessible prey. The combination of SI and FA analyses highlighted the importance of microzooplankton as prey. Specific FA biomarkers showed that the diet of P. noctiluca changed seasonally depending on the availability of living plankton or suspended detritus. This study also revealed significant biochemical differences between jellyfish somatic and gonadal tissues, with total fatty acid concentration in the gonads up to ten times higher than in the somatic tissues.</t>
  </si>
  <si>
    <t>[Milisenda, Giacomo] CNR, Inst Coastal Marine Environm IAMC, Via L Vaccara 61, I-91026 Mazara Del Vallo, TP, Italy; [Milisenda, Giacomo; Rossi, Sergio; Vizzini, Salvatrice; Piraino, Stefano] CONISMA Consorzio Nazl Interuniv Sci Mare, I-00196 Rome, Italy; [Rossi, Sergio; Piraino, Stefano] Univ Salento, Dept Biol &amp; Environm Sci &amp; Technol, I-73100 Lecce, Italy; [Vizzini, Salvatrice] Univ Palermo, Dept Earth &amp; Marine Sci, Via Archirafi 18, I-90100 Palermo, Italy; [Fuentes, Veronica L.; Tilves, Uxue] CSIC, Inst Ciencies Mar, E-08003 Barcelona, Spain; [Purcell, Jennifer E.] Western Washington Univ, Dept Biol, Bellingham, WA 98225 USA</t>
  </si>
  <si>
    <t>Consiglio Nazionale delle Ricerche (CNR); L'Istituto per l'Ambiente Marino Costiero (IAMC-CNR); CoNISMa; University of Salento; University of Palermo; Consejo Superior de Investigaciones Cientificas (CSIC); CSIC - Centro Mediterraneo de Investigaciones Marinas y Ambientales (CMIMA); CSIC - Instituto de Ciencias del Mar (ICM); Western Washington University</t>
  </si>
  <si>
    <t>Milisenda, G (corresponding author), CNR, Inst Coastal Marine Environm IAMC, Via L Vaccara 61, I-91026 Mazara Del Vallo, TP, Italy.;Milisenda, G; Piraino, S (corresponding author), CONISMA Consorzio Nazl Interuniv Sci Mare, I-00196 Rome, Italy.;Piraino, S (corresponding author), Univ Salento, Dept Biol &amp; Environm Sci &amp; Technol, I-73100 Lecce, Italy.</t>
  </si>
  <si>
    <t>giacomo.milisenda@gmail.com; stefano.piraino@unisalento.it</t>
  </si>
  <si>
    <t>Milisenda, Giacomo/L-6882-2019; Piraino, Stefano/J-5234-2012</t>
  </si>
  <si>
    <t>Milisenda, Giacomo/0000-0003-1334-9749; Piraino, Stefano/0000-0002-8752-9390; Rossi, Sergio/0000-0003-4402-3418</t>
  </si>
  <si>
    <t>European Union's projects MED-JELLYRISK [I-A/1.3/098]; VECTORS (Vectors of Change in Oceans and Seas Marine Life, Impact on Economic Sectors) [266445]; CERES (Climate Change and European Aquatic Resources) [678193]</t>
  </si>
  <si>
    <t>European Union's projects MED-JELLYRISK; VECTORS (Vectors of Change in Oceans and Seas Marine Life, Impact on Economic Sectors); CERES (Climate Change and European Aquatic Resources)</t>
  </si>
  <si>
    <t>This work has received funding from the European Union's projects MED-JELLYRISK (grant n. I-A/1.3/098 - ENPI CBCMED programme), VECTORS (Vectors of Change in Oceans and Seas Marine Life, Impact on Economic Sectors, grant n. 266445, FP7th programme) and CERES (Climate Change and European Aquatic Resources, grant n. 678193, Horizon 2020 programme).</t>
  </si>
  <si>
    <t>10.1038/s41598-018-30474-x</t>
  </si>
  <si>
    <t>GQ3CO</t>
  </si>
  <si>
    <t>WOS:000441538200033</t>
  </si>
  <si>
    <t>Ayarzagüena, B; Polvani, LM; Langematz, U; Akiyoshi, H; Bekki, S; Butchart, N; Dameris, M; Deushi, M; Hardiman, SC; Jöckel, P; Klekociuk, A; Marchand, M; Michou, M; Morgenstern, O; O'Connor, FM; Oman, LD; Plummer, DA; Revell, L; Rozanov, E; Saint-Martin, D; Scinocca, J; Stenke, A; Stone, K; Yamashita, Y; Yoshida, K; Zeng, G</t>
  </si>
  <si>
    <t>Ayarzaguena, Blanca; Polvani, Lorenzo M.; Langematz, Ulrike; Akiyoshi, Hideharu; Bekki, Slimane; Butchart, Neal; Dameris, Martin; Deushi, Makoto; Hardiman, Steven C.; Joeckel, Patrick; Klekociuk, Andrew; Marchand, Marion; Michou, Martine; Morgenstern, Olaf; O'Connor, Fiona M.; Oman, Luke D.; Plummer, David A.; Revell, Laura; Rozanov, Eugene; Saint-Martin, David; Scinocca, John; Stenke, Andrea; Stone, Kane; Yamashita, Yousuke; Yoshida, Kohei; Zeng, Guang</t>
  </si>
  <si>
    <t>No robust evidence of future changes in major stratospheric sudden warmings: a multi-model assessment from CCMI</t>
  </si>
  <si>
    <t>CLIMATE-CHANGE; MIDDLE ATMOSPHERE; WEATHER REGIMES; POLAR VORTICES; WAVE ACTIVITY; MODEL; CO2; VARIABILITY; REANALYSIS; EVENTS</t>
  </si>
  <si>
    <t>Major mid-winter stratospheric sudden warmings (SSWs) are the largest instance of wintertime variability in the Arctic stratosphere. Because SSWs are able to cause significant surface weather anomalies on intra-seasonal timescales, several previous studies have focused on their potential future change, as might be induced by anthropogenic forcings. However, a wide range of results have been reported, from a future increase in the frequency of SSWs to an actual decrease. Several factors might explain these contradictory results, notably the use of different metrics for the identification of SSWs and the impact of large climatological biases in single-model studies. To bring some clarity, we here revisit the question of future SSW changes, using an identical set of metrics applied consistently across 12 different models participating in the Chemistry-Climate Model Initiative. Our analysis reveals that no statistically significant change in the frequency of SSWs will occur over the 21st century, irrespective of the metric used for the identification of the event. Changes in other SSW characteristics - such as their duration, deceleration of the polar night jet, and the tropospheric forcing - are also assessed: again, we find no evidence of future changes over the 21st century.</t>
  </si>
  <si>
    <t>[Ayarzaguena, Blanca] Univ Complutense Madrid, Dept Fis Tierra &amp; Astrofis, Madrid, Spain; [Ayarzaguena, Blanca] CSIC UCM, Inst Geociencias IGEO, Madrid, Spain; [Polvani, Lorenzo M.] Columbia Univ, New York, NY USA; [Langematz, Ulrike] Free Univ Berlin, Inst Meteorol, Berlin, Germany; [Akiyoshi, Hideharu; Yamashita, Yousuke] NIES, Tsukuba, Ibaraki, Japan; [Bekki, Slimane; Marchand, Marion] IPSL, LATMOS, Paris, France; [Butchart, Neal; Hardiman, Steven C.; O'Connor, Fiona M.] MOHC, Exeter, Devon, England; [Dameris, Martin; Joeckel, Patrick] Deutsch Zentrum Luft &amp; Raumfahrt DLR, Inst Phys Atmosphare, Oberpfaffenhofen, Germany; [Deushi, Makoto; Yoshida, Kohei] Mission Res Inc, Tsukuba, Ibaraki, Japan; [Klekociuk, Andrew] Australian Antarctic Div, Kingston, Tas, Australia; [Klekociuk, Andrew] Antarctic Climate &amp; Ecosyst Cooperat Res Ctr, Hobart, Tas, Australia; [Michou, Martine; Saint-Martin, David] Meteo France CNRS, CNRM UMR 3589, Toulouse, France; [Morgenstern, Olaf; Zeng, Guang] Natl Inst Water &amp; Atmospher Res NIWA, Wellington, New Zealand; [Oman, Luke D.] NASA, GSFC, Greenbelt, MD USA; [Plummer, David A.; Scinocca, John] Environm &amp; Climate Change Canada, Montreal, PQ, Canada; [Revell, Laura; Rozanov, Eugene; Stenke, Andrea] Swiss Fed Inst Technol, Inst Atmospher &amp; Climate Sci, Zurich, Switzerland; [Revell, Laura] Bodeker Sci, Christchurch, New Zealand; [Rozanov, Eugene] Phys Meteorol Observatorium Davos, World Radiat Ctr, Davos, Switzerland; [Stone, Kane] Univ Melbourne, Sch Earth Sci, Melbourne, Vic, Australia; [Stone, Kane] ARC Ctr Excellence Climate Syst Sci, Sydney, NSW, Australia; [Ayarzaguena, Blanca] Univ Exeter, Coll Engn Math &amp; Phys Sci, Exeter, Devon, England; [Stone, Kane] MIT, Boston, MA USA; [Yamashita, Yousuke] Japan Agcy Marine Earth Sci &amp; Technol JAMSTEC, Yokohama, Kanagawa, Japan</t>
  </si>
  <si>
    <t>Complutense University of Madrid; Complutense University of Madrid; Consejo Superior de Investigaciones Cientificas (CSIC); CSIC-UCM - Instituto de Geociencias (IGEO); Columbia University; Free University of Berlin; National Institute for Environmental Studies - Japan; Universite Paris Cite; Universite Paris Saclay; Sorbonne Universite; Met Office - UK; Hadley Centre; Helmholtz Association; German Aerospace Centre (DLR); Australian Antarctic Division; Antarctic Climate &amp; Ecosystems Cooperative Research Centre (ACE CRC); Meteo France; Centre National de la Recherche Scientifique (CNRS); CNRS - National Institute for Earth Sciences &amp; Astronomy (INSU); National Institute of Water &amp; Atmospheric Research (NIWA) - New Zealand; National Aeronautics &amp; Space Administration (NASA); NASA Goddard Space Flight Center; Environment &amp; Climate Change Canada; Swiss Federal Institutes of Technology Domain; ETH Zurich; University of Melbourne; Melbourne Bioinformatics; ARC Centre of Excellence for Climate System Science; University of Exeter; Massachusetts Institute of Technology (MIT); Japan Agency for Marine-Earth Science &amp; Technology (JAMSTEC)</t>
  </si>
  <si>
    <t>Ayarzagüena, B (corresponding author), Univ Complutense Madrid, Dept Fis Tierra &amp; Astrofis, Madrid, Spain.;Ayarzagüena, B (corresponding author), CSIC UCM, Inst Geociencias IGEO, Madrid, Spain.</t>
  </si>
  <si>
    <t>bayarzag@ucm.es</t>
  </si>
  <si>
    <t>Saint-Martin, David/P-7006-2018; Stenke, Andrea/GYJ-6299-2022; Klekociuk, Andrew R/A-4498-2015; Revell, Laura/ABG-7040-2020; Hardiman, Steven/HDO-0165-2022; Polvani, Lorenzo M/E-5949-2011; Yamashita, Yousuke/AAB-4754-2019; Rozanov, Eugene/V-1881-2018; Oman, Luke D/C-2778-2009; Jöckel, Patrick/C-3687-2009; bekki, slimane/J-7221-2015; Akiyoshi, Hideharu/H-8170-2018; Ayarzaguena, Blanca/L-7673-2018</t>
  </si>
  <si>
    <t>Revell, Laura/0000-0002-8974-7703; Yamashita, Yousuke/0000-0002-6813-4668; Rozanov, Eugene/0000-0003-0479-4488; Jöckel, Patrick/0000-0002-8964-1394; bekki, slimane/0000-0002-5538-0800; O'Connor, Fiona/0000-0003-2893-4828; Yoshida, Kohei/0000-0002-2422-5584; Zeng, Guang/0000-0002-9356-5021; Morgenstern, Olaf/0000-0002-9967-9740; Stenke, Andrea/0000-0002-5916-4013; Dameris, Martin/0000-0001-6700-0628; Deushi, Makoto/0000-0002-0373-3918; Ayarzaguena, Blanca/0000-0003-3959-5673; Akiyoshi, Hideharu/0000-0001-6463-9004</t>
  </si>
  <si>
    <t>Ayudas para la contratacion de personal postdoctoral en formacion en docencia e investigacion en departamentos de la Universidad Complutense de Madrid; Deutsche Forschungsgemeinschaft (DFG) within the research programme SHARP [LA 1025/15-1]; US National Science Foundation; Joint BEIS/Defra Met Office Hadley Centre Climate Programme [GA01101]; European Community within the StratoClim project [603557]; New Zealand Government's Strategic Science Investment Fund (SSIF) through the NIWA programme CACV; New Zealand Royal Society Marsden Fund [12-NIW-006]; Deep South National Science Challenge; NeSI; Ministry of Business, Innovation &amp; Employment's Research Infrastructure programme; Bundesministerium fur Bildung und Forschung (BMBF); Ministry of the Environment [2-1303]; Environment Restoration and Conservation Agency, Japan [2-1709]; [603557-STRATOCLIM]</t>
  </si>
  <si>
    <t>Ayudas para la contratacion de personal postdoctoral en formacion en docencia e investigacion en departamentos de la Universidad Complutense de Madrid; Deutsche Forschungsgemeinschaft (DFG) within the research programme SHARP; US National Science Foundation(National Science Foundation (NSF)); Joint BEIS/Defra Met Office Hadley Centre Climate Programme; European Community within the StratoClim project; New Zealand Government's Strategic Science Investment Fund (SSIF) through the NIWA programme CACV; New Zealand Royal Society Marsden Fund(Royal Society of New ZealandMarsden Fund (NZ)); Deep South National Science Challenge; NeSI; Ministry of Business, Innovation &amp; Employment's Research Infrastructure programme; Bundesministerium fur Bildung und Forschung (BMBF)(Federal Ministry of Education &amp; Research (BMBF)); Ministry of the Environment(Ministry of the Environment, Japan); Environment Restoration and Conservation Agency, Japan;</t>
  </si>
  <si>
    <t>We acknowledge the modelling groups for making their simulations available for this analysis, the joint WCRP SPARC/IGAC Chemistry-Climate Model Initiative (CCMI) for organizing and coordinating the model data analysis activity, and the British Atmospheric Data Centre (BADC) for collecting and archiving the CCMI model output. Blanca Ayarzaguena was funded by the European Project 603557-STRATOCLIM under the FP7-ENV.2013.6.1-2 programme and Ayudas para la contratacion de personal postdoctoral en formacion en docencia e investigacion en departamentos de la Universidad Complutense de Madrid. Blanca Ayarzaguena and Ulrike Langematz wish to acknowledge the Deutsche Forschungsgemeinschaft (DFG) within the research programme SHARP under the grant LA 1025/15-1. Lorenzo M. Polvani is grateful for the continued support of the US National Science Foundation. The work of Neal Butchart, Steven C. Hardiman, and Fiona M. O'Connor was supported by the Joint BEIS/Defra Met Office Hadley Centre Climate Programme (GA01101). Neal Butchart and Steven C. Hardiman were supported by the European Community within the StratoClim project (grant 603557). Olaf Morgenstern and Guang Zeng acknowledge the UK Met Office for use of the Met Office Unified Model (MetUM). This research was supported by the New Zealand Government's Strategic Science Investment Fund (SSIF) through the NIWA programme CACV. Olaf Morgenstern acknowledges funding by the New Zealand Royal Society Marsden Fund (grant 12-NIW-006) and by the Deep South National Science Challenge (http://www.deepsouthchallenge.co.nz, last access: 21 March 2018). The authors wish to acknowledge the contribution of New Zealand eScience Infrastructure (NeSI) high-performance computing (HPC) facilities to the results of this research. New Zealand's national facilities are provided by NeSI and funded jointly by NeSI's collaborator institutions and through the Ministry of Business, Innovation &amp; Employment's Research Infrastructure programme (https://www.nesi.org.nz, last access: 21 March 2018). The EMAC simulations were performed at the German Climate Computing Centre (DKRZ) through support from the Bundesministerium fur Bildung und Forschung (BMBF). DKRZ and its Scientific Steering Committee are gratefully acknowledged for providing the HPC and data archiving resources for the consortial project ESCiMo (Earth System Chemistry integrated Modelling). CCSRNIES's research was supported by the Environment Research and Technology Development Funds of the Ministry of the Environment (2-1303) and Environment Restoration and Conservation Agency (2-1709), Japan, and computations were performed on NEC-SX9/A(ECO) and NEC SX-ACE computers at the Center for Global Environmental Research, NIES. The authors wish to thank two anonymous referees for their helpful comments.</t>
  </si>
  <si>
    <t>AUG 13</t>
  </si>
  <si>
    <t>10.5194/acp-18-11277-2018</t>
  </si>
  <si>
    <t>GQ1OO</t>
  </si>
  <si>
    <t>gold, Green Submitted, Green Accepted, Green Published</t>
  </si>
  <si>
    <t>WOS:000441403800005</t>
  </si>
  <si>
    <t>Wong, LSC; Lynch, TP; Barrett, NS; Wright, JT; Green, MA; Flynn, DJH</t>
  </si>
  <si>
    <t>Wong, Lincoln S. C.; Lynch, Tim P.; Barrett, Neville S.; Wright, Jeffrey T.; Green, Mark A.; Flynn, David J. H.</t>
  </si>
  <si>
    <t>Local densities and habitat preference of the critically endangered spotted handfish (Brachionichthys hirsutus): Large scale field trial of GPS parameterised underwater visual census and diver attached camera</t>
  </si>
  <si>
    <t>ASTERIAS-AMURENSIS; MARINE POPULATIONS; REEF FISHES; ABUNDANCE; CONSERVATION; EXTINCTION; EVOLUTION; SELECTION; TASMANIA; SEA</t>
  </si>
  <si>
    <t>The critically endangered spotted handfish (Brachionichthys hirsutus) is restricted to a limited number of locations in south-eastern Tasmania, Australia. As is often the case for rare species, conducting statistically adequate surveys for B. hirsutus can be costly and time consuming due to the low probability of encountering individuals. For the first time we used a highly efficient and rigorous Global Positioning System (GPS) parameterised underwater visual census (GUVC) to survey B. hirsutus abundance within all nine known local populations in the Derwent Estuary within one season. In addition, a benthic microhabitat assessment was conducted simultaneously using a GoPro (R) camera attached to diver to determine B. hirsutus microhabitat preferences. B. hirsutus local populations varied between sites, with densities ranging from 1.58 to 43.0 fishes per hectare. B. hirsutus demonstrates a strong preference for complex microhabitat features, such as depressions and ripple formations filled with biogenic substrates (e.g. shells) but avoids simple, low relief microhabitats (e.g. sand flats) and areas dominated by ephemeral, filamentous algae. Complex microhabitats may enable B. hirsutus to avoid predators, increase forage opportunities or provide higher quality spawning sites. This first wide-scale application of GUVC for B. hirsutus allowed us to survey a larger number of sites than previously possible to provide a robust reference point for future long-term monitoring.</t>
  </si>
  <si>
    <t>[Wong, Lincoln S. C.; Barrett, Neville S.; Wright, Jeffrey T.; Flynn, David J. H.] Univ Tasmania, Inst Marine &amp; Antarctic Studies, Hobart, Tas, Australia; [Wong, Lincoln S. C.; Lynch, Tim P.; Green, Mark A.; Flynn, David J. H.] CSIRO Ocean &amp; Atmosphere, Hobart, Tas, Australia</t>
  </si>
  <si>
    <t>University of Tasmania; Commonwealth Scientific &amp; Industrial Research Organisation (CSIRO)</t>
  </si>
  <si>
    <t>Wong, LSC (corresponding author), Univ Tasmania, Inst Marine &amp; Antarctic Studies, Hobart, Tas, Australia.;Wong, LSC (corresponding author), CSIRO Ocean &amp; Atmosphere, Hobart, Tas, Australia.</t>
  </si>
  <si>
    <t>lscwong@utas.edu.au</t>
  </si>
  <si>
    <t>Wright, Jeffrey/J-7536-2014; Barrett, Neville/J-7593-2014</t>
  </si>
  <si>
    <t>Wright, Jeffrey/0000-0002-1085-4582; Barrett, Neville/0000-0002-6167-1356</t>
  </si>
  <si>
    <t>Office of the Threatened Species Commissioner Landcare project of the Federal Department of the Environment [TSCDG-06]</t>
  </si>
  <si>
    <t>Office of the Threatened Species Commissioner Landcare project of the Federal Department of the Environment</t>
  </si>
  <si>
    <t>This work was funded by the Office of the Threatened Species Commissioner Landcare project of the Federal Department of the Environment (Grant number: TSCDG-06) to one author (TPL). The funding body was not involved in the process of study design, data collection and analysis, decision to publish, or preparation of the manuscript.</t>
  </si>
  <si>
    <t>e0201518</t>
  </si>
  <si>
    <t>10.1371/journal.pone.0201518</t>
  </si>
  <si>
    <t>GQ2CL</t>
  </si>
  <si>
    <t>Green Published, Green Accepted, gold, Green Submitted</t>
  </si>
  <si>
    <t>WOS:000441452200013</t>
  </si>
  <si>
    <t>Keller, ED; Baisden, WT; Bertler, NAN; Emanuelsson, BD; Canessa, S; Phillips, A</t>
  </si>
  <si>
    <t>Keller, Elizabeth D.; Baisden, W. Troy; Bertler, Nancy A. N.; Emanuelsson, B. Daniel; Canessa, Silvia; Phillips, Andy</t>
  </si>
  <si>
    <t>Calculating uncertainty for the RICE ice core continuous flow analysis water isotope record</t>
  </si>
  <si>
    <t>ATMOSPHERIC MEASUREMENT TECHNIQUES</t>
  </si>
  <si>
    <t>DELTA-O-18 MEASUREMENTS; CLIMATE; ANTARCTICA; RATIO; TEMPERATURE; DELTA-H-2; REGION; SNOW</t>
  </si>
  <si>
    <t>We describe a systematic approach to the calibration and uncertainty estimation of a high-resolution continuous flow analysis (CFA) water isotope (delta H-2, delta O-18) record from the Roosevelt Island Climate Evolution (RICE) Antarctic ice core. Our method establishes robust uncertainty estimates for CFA delta H-2 and delta O-18 measurements, comparable to those reported for discrete sample delta H-2 and delta O-18 analysis. Data were calibrated using a time-weighted two-point linear calibration with two standards measured both before and after continuously melting 3 or 4m of ice core. The error at each data point was calculated as the quadrature sum of three factors: Allan variance error, scatter over our averaging interval (error of the variance) and calibration error (error of the mean). Final mean total uncertainty for the entire record is delta H-2 = 0.74% and delta O-18 = 0.21%. Uncertainties vary through the data set and were exacerbated by a range of factors, which typically could not be isolated due to the requirements of the multi-instrument CFA campaign. These factors likely occurred in combination and included ice quality, ice breaks, upstream equipment failure, contamination with drill fluid and leaks or valve degradation. We demonstrate that our methodology for documenting uncertainty was effective across periods of uneven system performance and delivered a significant achievement in the precision of high-resolution CFA water isotope measurements.</t>
  </si>
  <si>
    <t>[Keller, Elizabeth D.; Baisden, W. Troy; Bertler, Nancy A. N.; Emanuelsson, B. Daniel; Canessa, Silvia; Phillips, Andy] GNS Sci, Natl Isotope Ctr, Lower Hutt, New Zealand; [Bertler, Nancy A. N.; Emanuelsson, B. Daniel] Victoria Univ Wellington, Antarctic Res Ctr, Wellington, New Zealand; [Baisden, W. Troy] Univ Waikato, Environm Res Inst, Hamilton, New Zealand</t>
  </si>
  <si>
    <t>GNS Science - New Zealand; Victoria University Wellington; University of Waikato</t>
  </si>
  <si>
    <t>Keller, ED (corresponding author), GNS Sci, Natl Isotope Ctr, Lower Hutt, New Zealand.</t>
  </si>
  <si>
    <t>l.keller@gns.cri.nz</t>
  </si>
  <si>
    <t>Bertler, Nancy A N/F-3967-2011; Baisden, Troy/B-9831-2008; Keller, Elizabeth Diane/GLN-5354-2022; Keller, Elizabeth/N-9428-2019</t>
  </si>
  <si>
    <t>Baisden, Troy/0000-0003-1814-1306; Keller, Elizabeth/0000-0002-9408-9215; Emanuelsson, B. Daniel/0000-0002-9373-6951; Bertler, Nancy/0000-0001-6028-4891</t>
  </si>
  <si>
    <t>New Zealand Ministry of Business, Innovation, and Employment grants through Victoria University of Wellington [RDF-VUW-1103, 15-VUW-131]; GNS Science [540GCT32, 540GCT12]; Antarctica New Zealand [K049]</t>
  </si>
  <si>
    <t>New Zealand Ministry of Business, Innovation, and Employment grants through Victoria University of Wellington; GNS Science; Antarctica New Zealand</t>
  </si>
  <si>
    <t>Funding for this project was provided by the New Zealand Ministry of Business, Innovation, and Employment grants through Victoria University of Wellington (RDF-VUW-1103, 15-VUW-131), GNS Science (540GCT32, 540GCT12), and Antarctica New Zealand (K049). We are indebted to everyone from the 2013 and 2014 RICE core processing teams. We would like to thank the Mechanical and Electronic Workshops of GNS Science for technical support during the RICE core progressing campaigns. This work is a contribution to the Roosevelt Island Climate Evolution (RICE) programme, funded by national contributions from New Zealand, Australia, Denmark, Germany, Italy, China, Sweden, UK and USA. The main logistic support was provided by Antarctica New Zealand and the US Antarctic Program.</t>
  </si>
  <si>
    <t>1867-1381</t>
  </si>
  <si>
    <t>1867-8548</t>
  </si>
  <si>
    <t>ATMOS MEAS TECH</t>
  </si>
  <si>
    <t>Atmos. Meas. Tech.</t>
  </si>
  <si>
    <t>10.5194/amt-11-4725-2018</t>
  </si>
  <si>
    <t>GQ1KZ</t>
  </si>
  <si>
    <t>WOS:000441391300002</t>
  </si>
  <si>
    <t>Xue, L; Cai, WJ; Takahashi, T; Gao, LB; Wanninkhof, R; Wei, M; Li, KP; Feng, L; Yu, WD</t>
  </si>
  <si>
    <t>Xue, Liang; Cai, Wei-Jun; Takahashi, Taro; Gao, Libao; Wanninkhof, Rik; Wei, Meng; Li, Kuiping; Feng, Lin; Yu, Weidong</t>
  </si>
  <si>
    <t>Climatic modulation of surface acidification rates through summertime wind forcing in the Southern Ocean</t>
  </si>
  <si>
    <t>TIME-SERIES SITE; CARBON-DIOXIDE; SPECTROPHOTOMETRIC PH; ANNULAR MODE; CO2 SINK; SEAWATER; SATURATION; ARAGONITE; INCREASE; TRENDS</t>
  </si>
  <si>
    <t>While the effects of the Southern Annular Mode (SAM), a dominant climate variability mode in the Southern Ocean, on ocean acidification have been examined using models, no consensus has been reached. Using observational data from south of Tasmania, we show that during a period with positive SAM trends, surface water pH and aragonite saturation state at 60 degrees-55 degrees S (Antarctic Zone) decrease in austral summer at rates faster than those predicted from atmospheric CO2 increase alone, whereas an opposite pattern is observed at 50 degrees-45 degrees S (Subantarctic Zone). Together with other processes, the enhanced acidification at 60 degrees-55 degrees S may be attributed to increased westerly winds that bring in more acidified waters from the higher latitudes via enhanced meridional Ekman transport and from the subsurface via increased vertical mixing. Our observations support climatic modulation of ocean acidification superimposed on the effect of increasing atmospheric CO2.</t>
  </si>
  <si>
    <t>[Xue, Liang; Gao, Libao; Wei, Meng; Li, Kuiping; Feng, Lin; Yu, Weidong] State Ocean Adm, Inst Oceanog 1, Qingdao 266061, Peoples R China; [Xue, Liang; Gao, Libao; Wei, Meng; Li, Kuiping; Feng, Lin; Yu, Weidong] Qingdao Natl Lab Marine Sci &amp; Technol, Lab Reg Oceanog &amp; Numer Modeling, Qingdao 266237, Peoples R China; [Cai, Wei-Jun] Univ Delaware, Sch Marine Sci &amp; Policy, Newark, DE 19716 USA; [Takahashi, Taro] Columbia Univ, Lamont Doherty Earth Observ, Palisades, NY 10964 USA; [Wanninkhof, Rik] NOAA, Atlantic Oceanog &amp; Meteorol Lab, Miami, FL 33149 USA</t>
  </si>
  <si>
    <t>First Institute of Oceanography, Ministry of Natural Resources; Laoshan Laboratory; University of Delaware; Columbia University; National Oceanic Atmospheric Admin (NOAA) - USA; Atlantic Oceanographic &amp; Meteorological Laboratory (AOML)</t>
  </si>
  <si>
    <t>Xue, L (corresponding author), State Ocean Adm, Inst Oceanog 1, Qingdao 266061, Peoples R China.;Xue, L (corresponding author), Qingdao Natl Lab Marine Sci &amp; Technol, Lab Reg Oceanog &amp; Numer Modeling, Qingdao 266237, Peoples R China.;Cai, WJ (corresponding author), Univ Delaware, Sch Marine Sci &amp; Policy, Newark, DE 19716 USA.</t>
  </si>
  <si>
    <t>xueliang@fio.org.cn; wcai@udel.edu</t>
  </si>
  <si>
    <t>Yu, Weidong/I-7130-2013; Yu, Weidong/IWL-8649-2023; Cai, Wei-Jun/C-1361-2013; /E-4220-2012</t>
  </si>
  <si>
    <t>Yu, Weidong/0000-0003-2503-2415; Cai, Wei-Jun/0000-0003-3606-8325; Li, Kuiping/0000-0001-7302-7034; Gao, Libao/0000-0002-0402-9340; /0000-0002-3444-6313</t>
  </si>
  <si>
    <t>National Natural Science Foundation of China [41506099]; Basic Scientific Fund for National Public Research Institutes of China [2016Q01, 2018S02]; National Natural Science Foundation of China-Shandong Joint Fund [U1606405]; National Key R&amp;D Program of China [2018YFA0605701]; Chinese Projects for Investigations and Assessments of the Arctic and Antarctic [CHINARE2017-01-01, CHINARE2017-04-01, CHINARE2017-04-04]; Shandong Provincial Natural Science Foundation, China [ZR2016DQ02]; U.S. National Science Foundation (NSF); NASA; NOAA; University of Delaware; Climate Program Office of the National Oceanic and Atmospheric Administration (NOAA); NOAA's Office of Oceanic and Atmospheric Research (OAR); Ocean Observation and Monitoring Division of the Climate Program Office [100007298]</t>
  </si>
  <si>
    <t>National Natural Science Foundation of China(National Natural Science Foundation of China (NSFC)); Basic Scientific Fund for National Public Research Institutes of China; National Natural Science Foundation of China-Shandong Joint Fund; National Key R&amp;D Program of China; Chinese Projects for Investigations and Assessments of the Arctic and Antarctic; Shandong Provincial Natural Science Foundation, China(Natural Science Foundation of Shandong Province); U.S. National Science Foundation (NSF)(National Science Foundation (NSF)); NASA(National Aeronautics &amp; Space Administration (NASA)); NOAA(National Oceanic Atmospheric Admin (NOAA) - USA); University of Delaware; Climate Program Office of the National Oceanic and Atmospheric Administration (NOAA); NOAA's Office of Oceanic and Atmospheric Research (OAR); Ocean Observation and Monitoring Division of the Climate Program Office</t>
  </si>
  <si>
    <t>This work was supported by the National Natural Science Foundation of China (41506099), the Basic Scientific Fund for National Public Research Institutes of China (2016Q01, 2018S02), the National Natural Science Foundation of China-Shandong Joint Fund (U1606405), the National Key R&amp;D Program of China (2018YFA0605701), Chinese Projects for Investigations and Assessments of the Arctic and Antarctic (CHINARE2017-01-01, CHINARE2017-04-01, CHINARE2017-04-04) and Shandong Provincial Natural Science Foundation, China (No. ZR2016DQ02). We thank Drs. Gareth J. Marshall, Baochao Liu, Yongliang Duan, and Qi Shu for useful discussions. We acknowledge the efforts of the Surface Ocean CO2 Atlas (SOCAT) in synthesis of the global surface ocean CO2 data. SOCAT is an international effort, endorsed by the International Ocean Carbon Coordination Project (IOCCP), the Surface Ocean Lower Atmosphere Study (SOLAS) and the Integrated Marine Biogeochemistry and Ecosystem Research program (IMBER), to deliver a uniform quality-controlled surface ocean CO2 database. The many researchers and funding agencies responsible for the collection of data and quality control are thanked for their contributions to SOCAT. Special thanks are given to Drs. Bronte Tilbrook, Claire Lo Monaco, Hisayuki Y Inoue, and Nicolas Metzl, who collected some of these data. W.-J.C. would like to thank the U.S. National Science Foundation (NSF), NASA, NOAA, and the University of Delaware (internal funds) for supporting his ocean carbon cycling research. T.T. was supported by a grant from the Climate Program Office of the National Oceanic and Atmospheric Administration (NOAA). R.W. was supported by NOAA's Office of Oceanic and Atmospheric Research (OAR) including the Ocean Observation and Monitoring Division of the Climate Program Office (fund reference100007298)</t>
  </si>
  <si>
    <t>10.1038/s41467-018-05443-7</t>
  </si>
  <si>
    <t>GQ1IG</t>
  </si>
  <si>
    <t>WOS:000441382000018</t>
  </si>
  <si>
    <t>Law, AC; Nobajas, A; Sangonzalo, R</t>
  </si>
  <si>
    <t>Law, A. C.; Nobajas, A.; Sangonzalo, R.</t>
  </si>
  <si>
    <t>Heterogeneous changes in the surface area of lakes in the Kangerlussuaq area of southwestern Greenland between 1995 and 2017</t>
  </si>
  <si>
    <t>Greenland; lakes; climate change; permafrost; Landsat</t>
  </si>
  <si>
    <t>WEST GREENLAND; THERMAL STATE; ICE-SHEET; PERMAFROST; LANDSAT; LANDSCAPE; DEGLACIATION; TEMPERATURE; CHRONOLOGY; CATCHMENT</t>
  </si>
  <si>
    <t>Global climate change has increased temperatures and precipitation in the Arctic throughout the past thirty years. Lakes across the Arctic have demonstrated spatially and temporally variable trends in size and number because of these climate changes. Modifications in the hydrological budget and surface hydrology of Arctic regions have important implications for aquatic ecosystems and biogeochemical cycles. Since 1960 the ice-free region of southwestern Greenland (between Sisimiut, Kangerlussuaq, and the ice margin) has experienced temperature increases, while precipitation has risen at the coast at Sisimiut and has fallen inland at Kangerlussuaq. However, it remains unknown whether the lakes in this region have responded to these temperature and precipitation changes. Therefore, the surface area of 186 lakes was calculated from Landsat imagery for 1995, 2002, 2015, 2016, and 2017 to establish whether lakes in this region have changed in size during a twenty-two-year period. Lake surface area decreased by 855,449 m(2) between 1995 and 2017. The greatest lake surface area changes occurred between 2002 and 2015, with large variations also between 2015 and 2016. Lakes close to Kangerlussuaq (area 1) demonstrated the greatest loss in lake surface area (-1.40 km(2)). It is proposed that this trend reflects high evaporation totals as a result of increasing temperatures and longer ice-free periods in this area. Lakes close to Sisimiut at the coast (area 2) exhibit a net increase in lake surface area, which could reflect the increase in precipitation experienced in this area during the study period. However, not all lakes in the study areas responded in a uniform manner. These heterogeneous changes in lake surface area may reflect how changes in regional climate are interacting with catchment geomorphology, and highlight the importance of individual catchment and lake characteristics in determining lake response to climatic change in this region.</t>
  </si>
  <si>
    <t>[Law, A. C.; Nobajas, A.; Sangonzalo, R.] Keele Univ, Sch Geog Geol &amp; Environm, William Smith Bldg, Keele ST5 5BG2, Staffs, England</t>
  </si>
  <si>
    <t>Keele University</t>
  </si>
  <si>
    <t>Law, AC; Nobajas, A (corresponding author), Keele Univ, Sch Geog Geol &amp; Environm, William Smith Bldg, Keele ST5 5BG2, Staffs, England.</t>
  </si>
  <si>
    <t>a.c.law@keele.ac.uk; a.nobajas@keele.ac.uk</t>
  </si>
  <si>
    <t>Law, Antonia/0000-0002-8509-0812; Nobajas, Alexandre/0000-0002-9670-0188</t>
  </si>
  <si>
    <t>School of Geography, Geology and the Environment, Keele University</t>
  </si>
  <si>
    <t>The authors gratefully acknowledge funding from the School of Geography, Geology and the Environment, Keele University, to support this project. We would also like to thank two anonymous reviewers, whose comments have improved the manuscript, and the helpful comments from a third anonymous individual who also provided suggestions as to how to improve this manuscript.</t>
  </si>
  <si>
    <t>e1487744</t>
  </si>
  <si>
    <t>10.1080/15230430.2018.1487744</t>
  </si>
  <si>
    <t>GQ9UV</t>
  </si>
  <si>
    <t>WOS:000442139400001</t>
  </si>
  <si>
    <t>Frenger, I; Münnich, M; Gruber, N</t>
  </si>
  <si>
    <t>Frenger, Ivy; Muennich, Matthias; Gruber, Nicolas</t>
  </si>
  <si>
    <t>Imprint of Southern Ocean mesoscale eddies on chlorophyll</t>
  </si>
  <si>
    <t>ANTARCTIC CIRCUMPOLAR CURRENT; PHYTOPLANKTON BIOMASS; COLOR DATA; SATELLITE-OBSERVATIONS; BIOGEOCHEMICAL CYCLES; BIOLOGICAL PRODUCTION; SURFACE CHLOROPHYLL; BIOOPTICAL MODEL; POLAR FRONT; VARIABILITY</t>
  </si>
  <si>
    <t>Although mesoscale ocean eddies are ubiquitous in the Southern Ocean, their average regional and seasonal association with phytoplankton has not been quantified systematically yet. To this end, we identify over 100 000 mesoscale eddies with diameters of 50 km and more in the Southern Ocean and determine the associated phytoplankton biomass anomalies using satellite-based chlorophyll-a (Chl) as a proxy. The mean Chl anomalies, delta Chl, associated with these eddies, comprising the upper echelon of the oceanic mesoscale, exceed +/- 10% over wide regions. The structure of these anomalies is largely zonal, with cyclonic, thermocline lifted, eddies having positive anomalies in the subtropical waters north of the Antarctic Circumpolar Current (ACC) and negative anomalies along its main flow path. The pattern is similar, but reversed for anticyclonic, thermocline deepened eddies. The seasonality of delta Chl is weak in subtropical waters, but pronounced along the ACC, featuring a seasonal sign switch. The spatial structure and seasonality of the mesoscale delta Chl can be explained largely by lateral advection, especially local eddy-stirring. A prominent exception is the ACC region in winter, where delta Chl is consistent with a modulation of phytoplankton light exposure caused by an eddy-induced modification of the mixed layer depth. The clear impact of mesoscale eddies on phytoplankton may implicate a downstream effect on Southern Ocean biogeochemical properties, such as mode water nutrient contents.</t>
  </si>
  <si>
    <t>[Frenger, Ivy] GEOMAR Helmholtz Ctr Ocean Res Kiel, D-24105 Kiel, Germany; [Frenger, Ivy; Muennich, Matthias; Gruber, Nicolas] Swiss Fed Inst Technol, Inst Biogeochem &amp; Pollutant Dynam, Environm Phys, CH-8092 Zurich, Switzerland; [Frenger, Ivy] Princeton Univ, Program Atmospher &amp; Ocean Sci, Princeton, NJ 08544 USA; [Gruber, Nicolas] Swiss Fed Inst Technol, Ctr Climate Syst Modeling, CH-8092 Zurich, Switzerland</t>
  </si>
  <si>
    <t>Helmholtz Association; GEOMAR Helmholtz Center for Ocean Research Kiel; Swiss Federal Institutes of Technology Domain; ETH Zurich; Princeton University; National Oceanic Atmospheric Admin (NOAA) - USA; Swiss Federal Institutes of Technology Domain; ETH Zurich</t>
  </si>
  <si>
    <t>Frenger, I (corresponding author), GEOMAR Helmholtz Ctr Ocean Res Kiel, D-24105 Kiel, Germany.;Frenger, I (corresponding author), Swiss Fed Inst Technol, Inst Biogeochem &amp; Pollutant Dynam, Environm Phys, CH-8092 Zurich, Switzerland.;Frenger, I (corresponding author), Princeton Univ, Program Atmospher &amp; Ocean Sci, Princeton, NJ 08544 USA.</t>
  </si>
  <si>
    <t>ifrenger@geomar.de</t>
  </si>
  <si>
    <t>Frenger, Ivy/B-9023-2017; Gruber, Nicolas/B-7013-2009</t>
  </si>
  <si>
    <t>Frenger, Ivy/0000-0002-3490-7239; Gruber, Nicolas/0000-0002-2085-2310</t>
  </si>
  <si>
    <t>Cnes; EU MyOcean &amp; ESA GlobColour Projects</t>
  </si>
  <si>
    <t>Cnes(Centre National D'etudes Spatiales); EU MyOcean &amp; ESA GlobColour Projects</t>
  </si>
  <si>
    <t>The altimeter products used for this study were produced by Ssalto/Duacs and distributed by Aviso, with support from Cnes. The Chl used were processed and distributed by ACRI-ST GlobColour service, supported by EU FP7 MyOcean &amp; ESA GlobColour Projects, using ESA ENVISAT MERIS data, NASA MODIS and SeaWiFS data. We thank Francesco d'Ovidio and Volker Strass for their suggestions that improved the paper.</t>
  </si>
  <si>
    <t>10.5194/bg-15-4781-2018</t>
  </si>
  <si>
    <t>GQ1LC</t>
  </si>
  <si>
    <t>Green Submitted, gold, Green Published</t>
  </si>
  <si>
    <t>WOS:000441391700001</t>
  </si>
  <si>
    <t>Clem, KR; Orr, A; Pope, JO</t>
  </si>
  <si>
    <t>Clem, Kyle R.; Orr, Andrew; Pope, James O.</t>
  </si>
  <si>
    <t>The Springtime Influence of Natural Tropical Pacific Variability on the Surface Climate of the Ross Ice Shelf, West Antarctica: Implications for Ice Shelf Thinning</t>
  </si>
  <si>
    <t>AMUNDSEN SEA EMBAYMENT; PINE ISLAND GLACIER; WIND-FIELD; TRENDS; TEMPERATURES; SENSITIVITY; PENINSULA; MELTWATER; DRIVERS; IMPACTS</t>
  </si>
  <si>
    <t>Observational records starting in the 1950s show West Antarctica is amongst the most rapidly warming regions on the planet. Together with increased intrusions of warm circumpolar deep water (CDW) onto the continental shelf due to local wind forcing (the primary mechanism in recent decades), this has resulted in enhanced surface and basal melting of floating ice shelves and an associated acceleration and thinning of West Antarctic outlet glaciers, increasing the rate of global sea level rise. In this study, it is shown that during the austral spring season, significant surface warming across West Antarctica has shifted westward to the Ross Ice Shelf in recent decades in response to enhanced cyclonic circulation over the Ross Sea. These circulation changes are caused by a Rossby wave train forced by increasing sea surface temperatures in the western tropical Pacific, which is tied to the springtime shift of the Interdecadal Pacific Oscillation (IPO) to its negative phase after 1992. While the local wind trends enhance warm air advection and surface warming across the Ross Ice Shelf, the strong easterly component of the wind trends reduces the likelihood for intrusions of CDW onto the continental shelf in this region. This suggests that during spring there are competing mechanisms of surface and basal melting of the Ross Ice Shelf, both of which are closely tied to natural tropical Pacific decadal variability. Moreover, that the projected transition of the IPO back to its positive phase in the coming decade, though likely to reduce surface warming on the Ross Ice Shelf, could increase the risk of disintegration of Ross Sea ice shelves due to increased intrusions of CDW and enhanced basal melting.</t>
  </si>
  <si>
    <t>[Clem, Kyle R.] Rutgers State Univ, Inst Earth Ocean &amp; Atmospher Sci, New Brunswick, NJ USA; [Orr, Andrew; Pope, James O.] British Antarctic Survey, Cambridge, England</t>
  </si>
  <si>
    <t>Rutgers University System; Rutgers University New Brunswick; UK Research &amp; Innovation (UKRI); Natural Environment Research Council (NERC); NERC British Antarctic Survey</t>
  </si>
  <si>
    <t>Clem, KR (corresponding author), Rutgers State Univ, Inst Earth Ocean &amp; Atmospher Sci, New Brunswick, NJ USA.</t>
  </si>
  <si>
    <t>kyle.clem@rutgers.edu</t>
  </si>
  <si>
    <t>Clem, Kyle/AAG-6626-2021; Pope, James/E-9473-2017</t>
  </si>
  <si>
    <t>Clem, Kyle/0000-0002-1419-2758; Pope, James/0000-0001-8945-4209</t>
  </si>
  <si>
    <t>Institute of Earth, Ocean, and Atmospheric Sciences at Rutgers; State University of New Jersey; Natural Environmental Research Council, as part of the British Antarctic Survey Polar Science for Planet Earth Programme; NERC [bas0100032] Funding Source: UKRI</t>
  </si>
  <si>
    <t>Institute of Earth, Ocean, and Atmospheric Sciences at Rutgers; State University of New Jersey; Natural Environmental Research Council, as part of the British Antarctic Survey Polar Science for Planet Earth Programme; NERC(UK Research &amp; Innovation (UKRI)Natural Environment Research Council (NERC))</t>
  </si>
  <si>
    <t>K.R.C. acknowledges support from a post-doctoral associate award from the Institute of Earth, Ocean, and Atmospheric Sciences at Rutgers, the State University of New Jersey. A.O. and J.O.P. were funded by the Natural Environmental Research Council, as part of the British Antarctic Survey Polar Science for Planet Earth Programme.</t>
  </si>
  <si>
    <t>AUG 10</t>
  </si>
  <si>
    <t>10.1038/s41598-018-30496-5</t>
  </si>
  <si>
    <t>GQ0HW</t>
  </si>
  <si>
    <t>WOS:000441300700027</t>
  </si>
  <si>
    <t>Storkey, D; Blaker, AT; Mathiot, P; Megann, A; Aksenov, Y; Blockley, EW; Calvert, D; Graham, T; Hewitt, HT; Hyder, P; Kuhlbrodt, T; Rae, JGL; Sinha, B</t>
  </si>
  <si>
    <t>Storkey, David; Blaker, Adam T.; Mathiot, Pierre; Megann, Alex; Aksenov, Yevgeny; Blockley, Edward W.; Calvert, Daley; Graham, Tim; Hewitt, Helene T.; Hyder, Patrick; Kuhlbrodt, Till; Rae, Jamie G. L.; Sinha, Bablu</t>
  </si>
  <si>
    <t>UK Global Ocean GO6 and GO7: a traceable hierarchy of model resolutions</t>
  </si>
  <si>
    <t>EDDY-PERMITTING RESOLUTION; COUPLED CLIMATE MODEL; SEA-ICE; CIRCULATION MODELS; INTERCOMPARISON PROJECT; INTERACTIVE ICEBERGS; GENERAL-CIRCULATION; SALINITY PROFILES; INTERNAL WAVES; FREE-SURFACE</t>
  </si>
  <si>
    <t>Versions 6 and 7 of the UK Global Ocean configuration (known as GO6 and GO7) will form the ocean components of the Met Office GC3.1 coupled model and UKESM1 earth system model to be used in CMIP61 simulations. The label GO6 refers to a traceable hierarchy of three model configurations at nominal 1, 1/4 and 1/12 degrees resolutions. The GO6 configurations are described in detail with particular focus on aspects which have been updated since the previous version (GO5). Results of 30-year forced ocean-ice integrations with the 1/4 degrees model are presented, in which GO6 is coupled to the GSI8.1 sea ice configuration and forced with CORE22 fluxes. GO6-GSI8.1 shows an overall improved simulation compared to GO5-GSI5.0, especially in the Southern Ocean where there are more realistic summertime mixed layer depths, a reduced near-surface warm and saline biases, and an improved simulation of sea ice. The main drivers of the improvements in the Southern Ocean simulation are tuning of the vertical and isopycnal mixing parameters. Selected results from the full hierarchy of three resolutions are shown. Although the same forcing is applied, the three models show large-scale differences in the near-surface circulation and in the short-term adjustment of the overturning circulation. The GO7 configuration is identical to the GO6 1/4 degrees configuration except that the cavities under the ice shelves are opened. Opening the ice shelf cavities has a local impact on temperature and salinity biases on the Antarctic shelf with some improvement in the biases in the Weddell Sea.</t>
  </si>
  <si>
    <t>[Storkey, David; Mathiot, Pierre; Blockley, Edward W.; Calvert, Daley; Graham, Tim; Hewitt, Helene T.; Hyder, Patrick; Rae, Jamie G. L.] Met Off, FitzRoy Rd, Exeter EX1 3LX, Devon, England; [Blaker, Adam T.; Megann, Alex; Aksenov, Yevgeny; Sinha, Bablu] Natl Oceanog Ctr, Marine Syst Modelling, Southampton SO14 3ZH, Hants, England; [Mathiot, Pierre] British Antarctic Survey, Madingley Rd, Cambridge CB3 0ET, England; [Kuhlbrodt, Till] Univ Reading, Dept Meteorol, Natl Ctr Atmospher Sci, Reading RG6 6BB, Berks, England</t>
  </si>
  <si>
    <t>Met Office - UK; NERC National Oceanography Centre; UK Research &amp; Innovation (UKRI); Natural Environment Research Council (NERC); NERC British Antarctic Survey; University of Reading; UK Research &amp; Innovation (UKRI); Natural Environment Research Council (NERC); NERC National Centre for Atmospheric Science</t>
  </si>
  <si>
    <t>Storkey, D (corresponding author), Met Off, FitzRoy Rd, Exeter EX1 3LX, Devon, England.</t>
  </si>
  <si>
    <t>dave.storkey@metoffice.gov.uk</t>
  </si>
  <si>
    <t>Blaker, Adam T/I-8861-2012</t>
  </si>
  <si>
    <t>Hewitt, Helene/0000-0001-7432-6001; Mathiot, Pierre/0000-0002-2001-0762; Blaker, Adam/0000-0001-5454-0131; Kuhlbrodt, Till/0000-0003-2328-6729; Blockley, Ed/0000-0002-0489-4238</t>
  </si>
  <si>
    <t>Joint DECC/Defra Met Office Hadley Centre Climate Programme [GA01101]; Ministry of Defence; Public Weather Service; Copernicus Marine Environment Monitoring Service; NERC national capability funding; NERC [noc010010, NE/R000085/1, bas0100033, NE/K011561/1, NE/R012865/1, NE/R015953/1, NE/N01801X/1] Funding Source: UKRI; Natural Environment Research Council [NE/K011561/1, NE/R000085/1, NE/R012865/1] Funding Source: researchfish</t>
  </si>
  <si>
    <t>Joint DECC/Defra Met Office Hadley Centre Climate Programme; Ministry of Defence; Public Weather Service; Copernicus Marine Environment Monitoring Service; NERC national capability funding(UK Research &amp; Innovation (UKRI)Natural Environment Research Council (NERC)); NERC(UK Research &amp; Innovation (UKRI)Natural Environment Research Council (NERC)); Natural Environment Research Council(UK Research &amp; Innovation (UKRI)Natural Environment Research Council (NERC))</t>
  </si>
  <si>
    <t>Met Office authors acknowledge support by the Joint DECC/Defra Met Office Hadley Centre Climate Programme (GA01101), the Ministry of Defence, the Public Weather Service and from the Copernicus Marine Environment Monitoring Service. NOC authors would like to acknowledge the support of NERC national capability funding. We acknowledge use of the MONSooN system, a collaborative facility supplied under the Joint Weather and Climate Research Programme, a strategic partnership between the Met Office and the Natural Environment Research Council.</t>
  </si>
  <si>
    <t>10.5194/gmd-11-3187-2018</t>
  </si>
  <si>
    <t>GQ0HA</t>
  </si>
  <si>
    <t>gold, Green Accepted</t>
  </si>
  <si>
    <t>WOS:000441298000002</t>
  </si>
  <si>
    <t>Krag, LA; Krafft, BA; Engås, A; Herrmann, B</t>
  </si>
  <si>
    <t>Krag, Ludvig A.; Krafft, Bjorn A.; Engas, Arill; Herrmann, Bent</t>
  </si>
  <si>
    <t>Collecting size-selectivity data for Antarctic krill (Euphausia superba) with a trawl independent towing rig</t>
  </si>
  <si>
    <t>For the development of efficient trawls to minimize catch loss, escape mortality and potential negative ecosystem impacts from the fishery, the understanding about trawl selectivity processes are crucial. Small crustaceans are regarded as being less motile than most fish species. Crustaceans also display low levels of active avoidance from trawl netting, which in turn may cause direct contact with netting on multiple occasions on their passage towards the codend increasing the probability for escapement. Full-scaled experiments to estimate gear selectivity are highly resource demanding and are highly technically challenging for several types of fisheries. In this study, we developed and tested a trawl-independent towed-rig construction designed to investigate size selectivity of Antarctic krill (Euphausia superba). The results indicate that valid selectivity estimates can be obtained using this method, but due to the small sample size, results are inconclusive. However, the findings of the current study show a potential for developing easier and more cost-effective ways of investigating and estimating size selectivity of Antarctic krill and other small crustacean species in trawls.</t>
  </si>
  <si>
    <t>[Krag, Ludvig A.] Tech Univ Denmark, Hirtshals, Denmark; [Krafft, Bjorn A.; Engas, Arill] Inst Marine Res, Bergen, Norway; [Herrmann, Bent] SINTEF, Hirtshals, Denmark</t>
  </si>
  <si>
    <t>Technical University of Denmark; Institute of Marine Research - Norway; SINTEF</t>
  </si>
  <si>
    <t>Krag, LA (corresponding author), Tech Univ Denmark, Hirtshals, Denmark.</t>
  </si>
  <si>
    <t>lak@aqua.dtu.dk</t>
  </si>
  <si>
    <t>Krag, Ludvig Ahm/0000-0002-1531-1499; Herrmann, Bent/0000-0003-1325-6198</t>
  </si>
  <si>
    <t>Research Council of Norway [243619, 222798]; Aker BioMarine AS</t>
  </si>
  <si>
    <t>Research Council of Norway(Research Council of Norway); Aker BioMarine AS</t>
  </si>
  <si>
    <t>The Research Council of Norway, grant number 243619 and 222798, funded travel costs and expedition equipment; grant number 243619 funded in addition salary and publication costs. The contribution by author BH, from SINTEF, was funded by the grant number 243619. Aker BioMarine AS sponsored shiptime and crew. Aker BioMarine AS provided valuable practical input regarding the framework needed for execution of the field experiments.</t>
  </si>
  <si>
    <t>e0202027</t>
  </si>
  <si>
    <t>10.1371/journal.pone.0202027</t>
  </si>
  <si>
    <t>GQ0KU</t>
  </si>
  <si>
    <t>WOS:000441308500040</t>
  </si>
  <si>
    <t>Cantero, ALP; Molinero, AG</t>
  </si>
  <si>
    <t>Pena Cantero, A. L.; Gonzalez Molinero, A.</t>
  </si>
  <si>
    <t>On several species of Oswaldella Stechow, 1919 (Cnidaria, Hydrozoa), including the description of a new species</t>
  </si>
  <si>
    <t>Hydrozoans; hydroids; taxonomy; SEM; Southern Ocean</t>
  </si>
  <si>
    <t>BENTHIC HYDROIDS CNIDARIA; BRANSFIELD STRAIT ANTARCTICA; COAST EAST ANTARCTICA; SOUTHERN-OCEAN; STECHOW; KIRCHENPAUERIIDAE; EXPEDITIONS; GENUS; US; ENDEMISM</t>
  </si>
  <si>
    <t>Oswaldella is the most speciose genus of Antarctic hydroids, being one of the most characteristic genera of hydrozoans of the Antarctic benthic marine ecosystem. A relatively high number of taxonomic characters allow species identification, but some key ones are difficult to study properly with a light microscope. In order to improve knowledge of species of the genus, a SEM survey of five of the 27 known nominal species of Oswaldella was carried out, including type material of O. grandis and O. terranovae. The study has revealed no significant differences between O. stepanjantsae and O. terranovae and, consequently, the former is considered a junior synonym of the latter. The type material of O. terranovae included material of an unnoticed, unknown species, which is described as O. occulta sp. nov.</t>
  </si>
  <si>
    <t>[Pena Cantero, A. L.; Gonzalez Molinero, A.] Univ Valencia, Dept Zool, Inst Cavanilles Biodiversidad &amp; Biol Evolut, Apdo Correos 22085, Valencia 46071, Spain</t>
  </si>
  <si>
    <t>University of Valencia</t>
  </si>
  <si>
    <t>Cantero, ALP (corresponding author), Univ Valencia, Dept Zool, Inst Cavanilles Biodiversidad &amp; Biol Evolut, Apdo Correos 22085, Valencia 46071, Spain.</t>
  </si>
  <si>
    <t>alvaro.l.pena@uv.es; gonmoal@alumni.uv.es</t>
  </si>
  <si>
    <t>Cantero, Álvaro Luis Peña/F-7888-2016</t>
  </si>
  <si>
    <t>Pena Cantero, Alvaro/0000-0003-3056-6673</t>
  </si>
  <si>
    <t>AUG 9</t>
  </si>
  <si>
    <t>10.11646/zootaxa.4457.3.3</t>
  </si>
  <si>
    <t>GQ0UW</t>
  </si>
  <si>
    <t>WOS:000441336300003</t>
  </si>
  <si>
    <t>Granot, R; Dyment, J</t>
  </si>
  <si>
    <t>Granot, Roi; Dyment, Jerome</t>
  </si>
  <si>
    <t>Late Cenozoic unification of East and West Antarctica</t>
  </si>
  <si>
    <t>VICTORIA LAND BASIN; ROSS SEA; RIFT SYSTEM; TRANSANTARCTIC MOUNTAINS; INTRAPLATE DEFORMATION; CRUSTAL STRUCTURE; PLATE-TECTONICS; MACQUARIE PLATE; EVOLUTION; MOTION</t>
  </si>
  <si>
    <t>The kinematic evolution of the West Antarctic rift system has important consequences for regional and global geodynamics. However, due to the lack of Neogene seafloor spreading at the plate boundary and despite being poorly resolved, East-West Antarctic motion was assumed to have ended abruptly at 26 million years ago. Here we present marine magnetic data collected near the northern edge of the rift system showing that motion between East and West Antarctica lasted until the middle Neogene (similar to 11 million years ago), long after the cessation of the known mid-Cenozoic pulse of motion. We calculate new rotation parameters for the early Neogene that provide the kinematic framework to understand the varied lithospheric settings of the Transantarctic Mountains and the tectono-volcanic activity within the rift. Incorporation of the Antarctic plate motion into the global plate circuit has major implications for the predicted Neogene motion of the Pacific Plate relative to the rest of the plates.</t>
  </si>
  <si>
    <t>[Granot, Roi] Ben Gurion Univ Negev, Dept Geol &amp; Environm Sci, IL-84105 Beer Sheva, Israel; [Dyment, Jerome] Univ Paris Diderot, CNRS UMR 7154, Inst Phys Globe Paris, Sorbonne Paris Cite, F-75005 Paris, France</t>
  </si>
  <si>
    <t>Ben Gurion University; Universite Paris Cite; Centre National de la Recherche Scientifique (CNRS); CNRS - National Institute for Earth Sciences &amp; Astronomy (INSU)</t>
  </si>
  <si>
    <t>Dyment, J (corresponding author), Univ Paris Diderot, CNRS UMR 7154, Inst Phys Globe Paris, Sorbonne Paris Cite, F-75005 Paris, France.</t>
  </si>
  <si>
    <t>rgranot@bgu.ac.il</t>
  </si>
  <si>
    <t>Granot, Roi/F-4555-2012</t>
  </si>
  <si>
    <t>Granot, Roi/0000-0001-5366-188X</t>
  </si>
  <si>
    <t>Clare Hall College, University of Cambridge</t>
  </si>
  <si>
    <t>We thank the captains and crews of the IB L'Astrolabe for their dedicated work during the TACT01 and TACT02 cruises. We thank Charles DeMets for discussions, Florent Szitkar for his participation in the TACT02 cruise and IPEV for their support. R.G. was supported by Clare Hall College, University of Cambridge. All figures were created using GMT software. This is IPGP contribution 3955.</t>
  </si>
  <si>
    <t>10.1038/s41467-018-05270-w</t>
  </si>
  <si>
    <t>GP8JW</t>
  </si>
  <si>
    <t>WOS:000441157600024</t>
  </si>
  <si>
    <t>Greenwood, SL; Simkins, LM; Halberstadt, ARW; Prothro, LO; Anderson, JB</t>
  </si>
  <si>
    <t>Greenwood, Sarah L.; Simkins, Lauren M.; Halberstadt, Anna Ruth W.; Prothro, Lindsay O.; Anderson, John B.</t>
  </si>
  <si>
    <t>Holocene reconfiguration and readvance of the East Antarctic Ice Sheet</t>
  </si>
  <si>
    <t>ROSS SEA; GROUNDING-LINE; DRAINAGE SYSTEM; VICTORIA LAND; WEDDELL SEA; STREAM-B; RETREAT; SHELF; GLACIER; LEVEL</t>
  </si>
  <si>
    <t>How ice sheets respond to changes in their grounding line is important in understanding ice sheet vulnerability to climate and ocean changes. The interplay between regional grounding line change and potentially diverse ice flow behaviour of contributing catchments is relevant to an ice sheet's stability and resilience to change. At the last glacial maximum, marine-based ice streams in the western Ross Sea were fed by numerous catchments draining the East Antarctic Ice Sheet. Here we present geomorphological and acoustic stratigraphic evidence of ice sheet reorganisation in the South Victoria Land (SVL) sector of the western Ross Sea. The opening of a grounding line embayment unzipped ice sheet sub-sectors, enabled an ice flow direction change and triggered enhanced flow from SVL outlet glaciers. These relatively small catchments behaved independently of regional grounding line retreat, instead driving an ice sheet readvance that delivered a significant volume of ice to the ocean and was sustained for centuries.</t>
  </si>
  <si>
    <t>[Greenwood, Sarah L.] Stockholm Univ, Dept Geol Sci, S-10691 Stockholm, Sweden; [Simkins, Lauren M.; Halberstadt, Anna Ruth W.; Prothro, Lindsay O.; Anderson, John B.] Rice Univ, Dept Earth Environm &amp; Planetary Sci, Houston, TX 77005 USA; [Simkins, Lauren M.] Univ Virginia, Dept Environm Sci, Charlottesville, VA 22904 USA; [Halberstadt, Anna Ruth W.] Univ Massachusetts, Dept Geosci, Amherst, MA 01003 USA</t>
  </si>
  <si>
    <t>Stockholm University; Rice University; University of Virginia; University of Massachusetts System; University of Massachusetts Amherst</t>
  </si>
  <si>
    <t>Greenwood, SL (corresponding author), Stockholm Univ, Dept Geol Sci, S-10691 Stockholm, Sweden.</t>
  </si>
  <si>
    <t>sarah.greenwood@geo.su.se</t>
  </si>
  <si>
    <t>Prothro, Lindsay/Y-9837-2019; Halberstadt, Anna Ruth/JPW-9990-2023</t>
  </si>
  <si>
    <t>Prothro, Lindsay/0000-0003-3385-8487; Halberstadt, Anna Ruth/0000-0003-2582-7074; Greenwood, Sarah/0000-0003-3048-7916</t>
  </si>
  <si>
    <t>National Science Foundation [NSF-PLR 1246353]; Swedish Research Council [D0567301]</t>
  </si>
  <si>
    <t>National Science Foundation(National Science Foundation (NSF)); Swedish Research Council(Swedish Research Council)</t>
  </si>
  <si>
    <t>We are grateful to the crew of the NBP and ASC support staff for a successful expedition. This work was supported by the National Science Foundation (NSF-PLR 1246353 to J.B.A.) and the Swedish Research Council (D0567301 to S.L.G.).</t>
  </si>
  <si>
    <t>10.1038/s41467-018-05625-3</t>
  </si>
  <si>
    <t>WOS:000441157600011</t>
  </si>
  <si>
    <t>Schulz, I; Montresor, M; Klaas, C; Assmy, P; Wolzenburg, S; Gauns, M; Sarkar, A; Thiele, S; Wolf-Gladrow, D; Naqvi, W; Smetacek, V</t>
  </si>
  <si>
    <t>Schulz, Isabelle; Montresor, Marina; Klaas, Christine; Assmy, Philipp; Wolzenburg, Sina; Gauns, Mangesh; Sarkar, Amit; Thiele, Stefan; Wolf-Gladrow, Dieter; Naqvi, Wajih; Smetacek, Victor</t>
  </si>
  <si>
    <t>Remarkable structural resistance of a nanoflagellate-dominated plankton community to iron fertilization during the Southern Ocean experiment LOHAFEX</t>
  </si>
  <si>
    <t>Antarctic; Protists; Fe-limitation; Si-limitation; Ecology-biogeochemistry relationship; Carbon:chlorophyll ratios; Ecosystem stability</t>
  </si>
  <si>
    <t>ANTARCTIC CIRCUMPOLAR CURRENT; INDUCED PHYTOPLANKTON BLOOM; POLAR FRONTAL ZONE; BIOLOGICAL RESPONSE; BIOGEOCHEMICAL CYCLES; PRIMARY PRODUCTIVITY; GRAZING IMPACT; CARBON EXPORT; GROWTH; FLUX</t>
  </si>
  <si>
    <t>The genesis of phytoplankton blooms and the fate of their biomass in iron-limited, high-nutrient-low-chlorophyll regions can be studied under natural conditions with ocean iron fertilization (OIF) experiments. The Indo-German OIF experiment LOHAFEX was carried out over 40 d in late summer 2009 within the cold core of a mesoscale eddy in the productive southwest Atlantic sector of the Southern Ocean. Silicate concentrations were very low, and phytoplankton biomass was dominated by autotrophic nanoflagellates (ANF) in the size range 3-10 mu m. As in all previous OIF experiments, the phytoplankton responded to iron fertilization by increasing the maximum quantum yield (F-v/F-m) and cellular chlorophyll levels. Within 3 wk, chlorophyll levels tripled and ANF biomass doubled. With the exception of some diatoms and dinoflagellates, the biomass levels of all other groups of the phyto- and protozooplankton (heterotrophic nanoflagellates, dinoflagellates and ciliates) remained remarkably stable throughout the experiment both inside and outside the fertilized patch. We attribute the unusually high biomass attained and maintained by ANF to the absence of their grazers, the salps, and to constraints on protozooplankton grazers by heavy predation exerted by the large copepod stock. The resistance to change of the ecosystem structure over 38 d after fertilization, indicated by homogeneity at regional and temporal scales, suggests that it was locked into a stable, mature state that had evolved in the course of the seasonal cycle. The LOHAFEX bloom provides a case study of a resistant/robust dynamic equilibrium between auto-and heterotrophic ecosystem components resulting in low vertical flux both inside and outside the patch despite high biomass levels.</t>
  </si>
  <si>
    <t>[Schulz, Isabelle; Klaas, Christine; Assmy, Philipp; Wolzenburg, Sina; Wolf-Gladrow, Dieter; Smetacek, Victor] Alfred Wegener Inst, Helmholtz Zentrum Polar &amp; Meeresforsch, D-27570 Bremerhaven, Germany; [Schulz, Isabelle; Assmy, Philipp] Univ Bremen, MARUM Ctr Marine Environm Sci, D-28359 Bremen, Germany; [Schulz, Isabelle] King Abdullah Univ Sci &amp; Technol, Red Sea Res Ctr, Biol &amp; Environm Sci &amp; Engn Div, Thuwal 239556900, Saudi Arabia; [Montresor, Marina] Stn Zool Anton Dohrn, I-80121 Naples, Italy; [Assmy, Philipp] Norwegian Polar Res Inst, Fram Ctr, N-9296 Tromso, Norway; [Gauns, Mangesh; Sarkar, Amit; Naqvi, Wajih; Smetacek, Victor] Natl Inst Oceanog, CSIR, Panaji 403004, Goa, India; [Sarkar, Amit] Natl Ctr Antarctic &amp; Ocean Res, Vasco Da Gama 403804, Goa, India; [Thiele, Stefan] Max Planck Inst Marine Microbiol, D-28359 Bremen, Germany; [Thiele, Stefan] Friedrich Schiller Univ, Inst Inorgan &amp; Analyt Chem, D-07743 Jena, Germany</t>
  </si>
  <si>
    <t>Helmholtz Association; Alfred Wegener Institute, Helmholtz Centre for Polar &amp; Marine Research; University of Bremen; King Abdullah University of Science &amp; Technology; Stazione Zoologica Anton Dohrn di Napoli; Norwegian Polar Institute; Council of Scientific &amp; Industrial Research (CSIR) - India; CSIR - National Institute of Oceanography (NIO); Ministry of Earth Sciences (MoES) - India; National Centre for Polar and Ocean Research (NCPOR); Max Planck Society; Friedrich Schiller University of Jena</t>
  </si>
  <si>
    <t>Smetacek, V (corresponding author), Alfred Wegener Inst, Helmholtz Zentrum Polar &amp; Meeresforsch, D-27570 Bremerhaven, Germany.;Smetacek, V (corresponding author), Natl Inst Oceanog, CSIR, Panaji 403004, Goa, India.</t>
  </si>
  <si>
    <t>victor.smetacek@awi.de</t>
  </si>
  <si>
    <t>Thiele, Stefan/C-4958-2017; Gauns, Mangesh/AAT-9684-2021</t>
  </si>
  <si>
    <t>Gauns, Mangesh/0000-0002-4737-9252; Thiele, Stefan/0000-0002-4322-3795; Klaas, Christine/0000-0002-6679-8970; Montresor, Marina/0000-0002-2475-1787</t>
  </si>
  <si>
    <t>DFG Research Center / Cluster of Excellence 'The Ocean in the Earth System'; GLOMAR Bremen International Graduate School for Marine Sciences</t>
  </si>
  <si>
    <t>DFG Research Center / Cluster of Excellence 'The Ocean in the Earth System'(German Research Foundation (DFG)); GLOMAR Bremen International Graduate School for Marine Sciences</t>
  </si>
  <si>
    <t>We are indebted to the captain and crew of RV 'Polarstern' and the scientific team of LOHAFEX. The Council of Scientific and Industrial Research (CSIR), India and the Helmholtz Foundation, Germany, equally shared the costs of the experiment. This work was funded through the DFG Research Center / Cluster of Excellence 'The Ocean in the Earth System'. I.S. was supported by GLOMAR Bremen International Graduate School for Marine Sciences. We thank Diana Sarno and Adriana Zingone (Stazione Zoologica Anton Dohrn, Napoli, Italy) for SEM preparations and support in taxonomical identification.</t>
  </si>
  <si>
    <t>10.3354/meps12685</t>
  </si>
  <si>
    <t>GQ0TA</t>
  </si>
  <si>
    <t>WOS:000441331000006</t>
  </si>
  <si>
    <t>Ainley, DG; Dugger, KM; La Mesa, M; Ballard, G; Barton, KJ; Jennings, S; Karl, BJ; Lescroël, A; Lyver, PO; Schmidt, A; Wilson, P</t>
  </si>
  <si>
    <t>Ainley, David G.; Dugger, Katie M.; La Mesa, Mario; Ballard, Grant; Barton, Kerry J.; Jennings, Scott; Karl, Brian J.; Lescroel, Amelie; Lyver, Phil O'B.; Schmidt, Annie; Wilson, Peter</t>
  </si>
  <si>
    <t>Post-fledging survival of Adelie penguins at multiple colonies: chicks raised on fish do well</t>
  </si>
  <si>
    <t>Adelie penguin; Antarctic silverfish; Anvers Island; Central-place foraging; Ross Island; Intraspecific trophic competition</t>
  </si>
  <si>
    <t>WESTERN ROSS SEA; ANTARCTIC SILVERFISH; PLEURAGRAMMA-ANTARCTICUM; BODY CONDITION; GEOGRAPHIC STRUCTURE; FLEDGING CONDITION; FORAGING EFFORT; GROWTH; FOOD; COMPETITION</t>
  </si>
  <si>
    <t>We assessed whether the mass of Adelie penguin Pygoscelis adeliae fledglings at 3 colonies of markedly disparate size on Ross Island, Ross Sea, correlated with their eventual return as subadults. We compared our results with those from Anvers Island, Bellingshausen Sea. Colony sizes at Ross Island have been increasing, contrary to decreasing size at Anvers Island. At Ross Island, during the month prior to fledging, chick diet consisted equally of energy-dense Antarctic silverfish Pleuragramma antarctica and less-caloric crystal krill Euphausia crystallorophias, while at Anvers Island the diet was principally Antarctic krill E. superba. At Ross Island, the mass of fledglings who subsequently returned (mean +/- SE: 3.4 +/- 0.0411 kg) exceeded that of those not seen again (3.2 +/- 0.0251 kg), compared to Anvers Island (3.2 vs. 3.0 kg, respectively). At Ross Island, fledging mass was inversely related to colony size and, at the largest colony, fledging mass decreased as the colony grew. Average mass of returnees at the largest colony was less than the mass at Anvers Island for those fledglings that did not return. The mean proportion of fish in the chicks' diet decreased at the largest Ross Island colony over time, as did fledging mass. We hypothesize that intraspecific competition increased along with colony size, decreasing the availability of fish. We further hypothesize that at the large Ross Island colony, post-fledging penguins must be finding adequate prey, and more energy-dense fish, just outside the colony's foraging area to explain opposing trends in colony trajectories.</t>
  </si>
  <si>
    <t>[Ainley, David G.] HT Harvey &amp; Associates Ecol Consultants, Los Gatos, CA 95032 USA; [Dugger, Katie M.; Jennings, Scott] Oregon State Univ, US Geol Survey, Oregon Cooperat Fish &amp; Wildlife Res Unit, Dept Fisheries &amp; Wildlife, Corvallis, OR 97331 USA; [La Mesa, Mario] UOS Ancona, Ist Sci Marine, ISMAR CNR, I-60125 Ancona, Italy; [Ballard, Grant; Jennings, Scott; Lescroel, Amelie; Schmidt, Annie] Point Blue Conservat Sci, Petaluma, CA 94954 USA; [Barton, Kerry J.; Karl, Brian J.; Lyver, Phil O'B.; Wilson, Peter] Landcare Res, Lincoln 7640, New Zealand; [Jennings, Scott] ACR, Cypress Grove Res Ctr, Marshall, CA 94940 USA</t>
  </si>
  <si>
    <t>United States Department of the Interior; United States Geological Survey; Oregon State University; Consiglio Nazionale delle Ricerche (CNR); Istituto di Scienze Marine (ISMAR-CNR); Landcare Research - New Zealand</t>
  </si>
  <si>
    <t>Ainley, DG (corresponding author), HT Harvey &amp; Associates Ecol Consultants, Los Gatos, CA 95032 USA.</t>
  </si>
  <si>
    <t>dainley@penguinscience.com</t>
  </si>
  <si>
    <t>Schmidt, Annie/0000-0001-6144-9950</t>
  </si>
  <si>
    <t>National Science Foundation [OPP 9526865, 9814882, 0125608, 0440643, 0944411, 154398]; New Zealand Ministry of Business, Innovation, and Employment [C09527, C09X0510, C01X1001]; NZ's Ministry for Primary Industries [MPI17238-S01-LC]; New Zealand Ministry of Business, Innovation &amp; Employment (MBIE) [C01X1001] Funding Source: New Zealand Ministry of Business, Innovation &amp; Employment (MBIE)</t>
  </si>
  <si>
    <t>National Science Foundation(National Science Foundation (NSF)); New Zealand Ministry of Business, Innovation, and Employment(New Zealand Ministry of Business, Innovation and Employment (MBIE)); NZ's Ministry for Primary Industries; New Zealand Ministry of Business, Innovation &amp; Employment (MBIE)(New Zealand Ministry of Business, Innovation and Employment (MBIE))</t>
  </si>
  <si>
    <t>We thank the following people for help in the field during the past 20 yr at 3 colonies: C. Adams, J. Adams, S. Allen, L. Ballance, G. Barclay, Q. Barr-Glintborg, L. Blight, J. Blum, E. Burke, H. Carrad, W. Cook, K. Drew, P. Dilks, L. Doel, I. Gaffney, C. Gjerdrum, D. Hardesty, S. Heath, M. Hester, D. Jongsomjit, P. Kappes, K. Lindquist, C. McCreedy, V. Morandini, H. Nevins, R. Orben, V. Patil, R. Pech, A. Pollard, E. Porzig, C. Ribic, B. Saenz, L. Sheffield, L. Smith, I. Sutherland, Y. Suzuki, C. Thomson, P. Timoti, V. Toniolo, A. Varsani, S. Webb, D. Wilson, A. Whitehead, J. Whitehead, and S. Winquist. We thank E. Chapman, K. Gorman, K. Elliott and 2 anonymous reviewers for comments that improved the manuscript. Fieldwork was conducted with logistic support provided by the US Antarctic Program, through Antarctic Support Contractors, and Antarctica New Zealand. Permits were provided under the Antarctic Conservation Act, National Science Foundation Office of Polar Programs (2006-010, 2011-002, 2017-005) and Landcare Research Animal Ethics Committee Permit (0509/01). Data collection protocols used by D.G.A., K.M.D., G.B., A.L., A.S., and S.J. were approved by Oregon State University's Institutional Animal Care and Use Committee. Funding was provided by National Science Foundation Grants OPP 9526865, 9814882, 0125608, 0440643, 0944411 and 154398 (to K.M.D., D.G.A., and G.B.) and New Zealand Ministry of Business, Innovation, and Employment Grant (C09527, C09X0510, C01X1001) and NZ's Ministry for Primary Industries (MPI17238-S01-LC), with addenda (to P.O'B.L., K.J.B., and P.W.). Any use of trade, firm, or product names is for descriptive purposes only and does not imply endorsement by the US Government. This is Point Blue Conservation Science Contribution 2179.</t>
  </si>
  <si>
    <t>10.3354/meps12687</t>
  </si>
  <si>
    <t>WOS:000441331000017</t>
  </si>
  <si>
    <t>Miller, KJ; Baird, HP; van Oosterom, J; Mondon, J; King, CK</t>
  </si>
  <si>
    <t>Miller, Karen J.; Baird, Helena P.; van Oosterom, Jake; Mondon, Julie; King, Catherine K.</t>
  </si>
  <si>
    <t>Complex genetic structure revealed in the circum-Antarctic broadcast spawning sea urchin Sterechinus neumayeri</t>
  </si>
  <si>
    <t>Gene flow; Larval dispersal; Migration; Chaotic genetic patchiness; Microsatellites; Echinoid</t>
  </si>
  <si>
    <t>SWEEPSTAKES REPRODUCTIVE SUCCESS; MULTILOCUS GENOTYPE DATA; POPULATION-STRUCTURE; PARACENTROTUS-LIVIDUS; CONTRASTING PATTERNS; MARINE POPULATIONS; LARVAL DISPERSAL; KIN AGGREGATION; PELAGIC LARVAE; SOUTHERN-OCEAN</t>
  </si>
  <si>
    <t>Patterns and mechanisms of gene flow and larval dispersal in the Antarctic marine environment are still poorly understood, despite the current threat of rapid climate change and the need for such information to inform conservation and management efforts. Studies on Antarctic brooding marine invertebrates have demonstrated limited connectivity, concurrent with life history expectations; however, no equivalent data are available for broadcast spawning species for which we might expect a higher capacity for larval dispersal. Here, we have used microsatellite DNA markers and mitochondrial DNA sequence data to explore patterns of genetic structure and infer larval dispersal patterns across spatial scales of &lt;500 m to 1400 km in the broadcast spawning sea urchin Sterechinus neumayeri. We show genetic differentiation at small spatial scales (&lt;1 km), but genetic homogeneity over moderate (1-25 km) and large spatial scales (1000 km), consistent with patterns described as chaotic genetic patchiness. Self-recruitment appears common in S. neumayeri, and genotypes of larvae collected from the water column provide preliminary evidence that the adult population structure is maintained through variability among larval cohorts. Genetic similarity at large spatial scales may represent evolutionary connectivity on a circum-Antarctic scale, and likely also reflects a history of shelf recolonisation after isolation in glacial refugia.</t>
  </si>
  <si>
    <t>[Miller, Karen J.] UWA Oceans Inst, Australian Inst Marine Sci, 35 Stirling Highway, Crawley, WA 6009, Australia; [Baird, Helena P.; King, Catherine K.] Australian Antarctic Div, 203 Channel Highway, Kingston, Tas 7050, Australia; [van Oosterom, Jake; Mondon, Julie] Deakin Univ, Ctr Integrat Ecol, Sch Life &amp; Environm Sci, Geelong, Vic 3216, Australia</t>
  </si>
  <si>
    <t>Australian Institute of Marine Science; University of Western Australia; Australian Antarctic Division; Deakin University</t>
  </si>
  <si>
    <t>Miller, KJ (corresponding author), UWA Oceans Inst, Australian Inst Marine Sci, 35 Stirling Highway, Crawley, WA 6009, Australia.</t>
  </si>
  <si>
    <t>k.miller@aims.gov.au</t>
  </si>
  <si>
    <t>King, Catherine K/G-7059-2017; Miller, Karen/V-4098-2019</t>
  </si>
  <si>
    <t>King, Catherine K/0000-0003-3356-0381; Baird, Helena/0000-0002-7560-8331</t>
  </si>
  <si>
    <t>Australian Government [AAS 3051]</t>
  </si>
  <si>
    <t>Australian Government(Australian Government)</t>
  </si>
  <si>
    <t>This study was funded by the Australian Government through an Australian Antarctic Science Grant (AAS 3051). We thank the Australian Antarctic Division for logistical and operational support for the project, and the Casey 08/09 and Davis 09/10 marine teams, especially Jonny Stark, Glenn Johnstone, Chris Gillies, Ben Coombe, Simon Reeves, Patti Virtue, Natalie Moltschaniwskyj and Bianca Sfiligoj. We also thank Adam Smolenski (University of Tasmania) for support with the molecular laboratory analysis.</t>
  </si>
  <si>
    <t>10.3354/meps12648</t>
  </si>
  <si>
    <t>WOS:000441331000011</t>
  </si>
  <si>
    <t>Tixier, P; Lea, MA; Hindell, MA; Guinet, C; Gasco, N; Duhamel, G; Arnould, JPY</t>
  </si>
  <si>
    <t>Tixier, Paul; Lea, Mary-Anne; Hindell, Mark A.; Guinet, Christophe; Gasco, Nicolas; Duhamel, Guy; Arnould, John P. Y.</t>
  </si>
  <si>
    <t>Killer whale (Orcinus orca) interactions with blue-eye trevalla (Hyperoglyphe antarctica) longline fisheries</t>
  </si>
  <si>
    <t>Fisheries; Killer whale; Fisheries interaction; Orcinus orca; Blue-eye trevalla; Hyperoglyphe antarctica; Depredation; Longline fisheries</t>
  </si>
  <si>
    <t>PATAGONIAN TOOTHFISH FISHERY; ATTRACT SPERM-WHALES; MARINE MAMMALS; PSEUDORCA-CRASSIDENS; DEPREDATION LEVELS; FISHING PRACTICES; CROZET ISLANDS; ALASKA; SOUTHERN; BEHAVIOR</t>
  </si>
  <si>
    <t>Over the past five decades, marine mammal interactions with fisheries have become a major human-wildlife conflict globally. The emergence of longline fishing is concomitant with the development of depredation-type interactions i.e., marine mammals feeding on fish caught on hooks. The killer whale (Orcinus orca) is one of the species most involved in depredation on longline fisheries. The issue was first reported in high latitudes but, with increasing expansion of this fishing method, other fisheries have begun to experience interactions. The present study investigated killer whale interactions with two geographically isolated blue-eye trevalla (Hyperoglyphe antarctica) fisheries operating in temperate waters off Amsterdam/St. Paul Islands (Indian Ocean) and south-eastern Australia. These two fisheries differ in the fishing technique used (vertical vs. demersal longlines), effort, catch, fleet size and fishing area size. Using 7-year (2010-16) long fishing and observation datasets, this study estimated the levels of killer whale interactions and examined the influence of spatio-temporal and operational variables on the probability of vessels to experience interactions. Killer whales interactions occurred during 58.4% and 21.2% of all fishing days, and over 94% and 47.4% of the fishing area for both fisheries, respectively. In south-eastern Australia, the probability of occurrence of killer whale interactions during fishing days varied seasonally with a decrease in spring, increased with the daily fishing effort and decreased with the distance travelled by the vessel between fishing days. In Amsterdam/St. Paul, this probability was only influenced by latitude, with an increase in the southern part of the area. Together, these findings document two previously unreported cases of high killer whale depredation, and provide insights on ways to avoid the issue. The study also emphasizes the need to further examine the local characteristics of fisheries and the ecology of local depredating killer whale populations in as important drivers of depredation.</t>
  </si>
  <si>
    <t>[Tixier, Paul; Arnould, John P. Y.] Deakin Univ, Sch Life &amp; Environm Sci, Burwood Campus, Geelong, Vic, Australia; [Lea, Mary-Anne; Hindell, Mark A.] Univ Tasmania, Ecol &amp; Biodivers Ctr, Inst Marine &amp; Antarctic Studies, Hobart, Tas, Australia; [Guinet, Christophe] Univ La Rochelle, CNRS, UMR 7372, CEBC, Villiers En Bois, France; [Gasco, Nicolas; Duhamel, Guy] Museum Natl Hist Nat, UMR BOREA, Dept Adaptat Vivant, Paris, France</t>
  </si>
  <si>
    <t>Deakin University; University of Tasmania; La Rochelle Universite; Centre National de la Recherche Scientifique (CNRS); CNRS - Institute of Ecology &amp; Environment (INEE); Centre National de la Recherche Scientifique (CNRS); Institut de Recherche pour le Developpement (IRD); Museum National d'Histoire Naturelle (MNHN); Sorbonne Universite</t>
  </si>
  <si>
    <t>Tixier, P (corresponding author), Deakin Univ, Sch Life &amp; Environm Sci, Burwood Campus, Geelong, Vic, Australia.</t>
  </si>
  <si>
    <t>p.tixier@deakin.edu.au</t>
  </si>
  <si>
    <t>Guinet, Christophe/AAR-8457-2020; Hindell, Mark A/K-1131-2013; Tixier, Paul/AFU-7272-2022; Lea, Mary-Anne/E-9054-2013</t>
  </si>
  <si>
    <t>Hindell, Mark/0000-0002-7823-7185; Lea, Mary-Anne/0000-0001-8318-9299; Tixier, Paul/0000-0002-7325-3573</t>
  </si>
  <si>
    <t>Australian Research Council [160100329]; Australian Longline Pty. Ltd.; Austral Fisheries Pty. Ltd.; Syndicat des Armements Reunionais des Palangriers Congelateurs (SARPC); Agence Nationale pour la Recherche [ANR 17-CE32-0007-01]; Fondation des Mers Australes; Direction des Peches Maritimes et de l'Aquaculture (DPMA of Ministere de l'Agriculture et de l'Alimentation); Agence Nationale de la Recherche (ANR) [ANR-17-CE32-0007] Funding Source: Agence Nationale de la Recherche (ANR)</t>
  </si>
  <si>
    <t>Australian Research Council(Australian Research Council); Australian Longline Pty. Ltd.; Austral Fisheries Pty. Ltd.; Syndicat des Armements Reunionais des Palangriers Congelateurs (SARPC); Agence Nationale pour la Recherche(Agence Nationale de la Recherche (ANR)); Fondation des Mers Australes; Direction des Peches Maritimes et de l'Aquaculture (DPMA of Ministere de l'Agriculture et de l'Alimentation); Agence Nationale de la Recherche (ANR)(Agence Nationale de la Recherche (ANR))</t>
  </si>
  <si>
    <t>This work was funded by the Australian Research Council (Linkage Project 160100329) and industry partners Australian Longline Pty. Ltd. and Austral Fisheries Pty. Ltd. PECHEKER database was supported by Direction des Peches Maritimes et de l'Aquaculture (DPMA of Ministere de l'Agriculture et de l'Alimentation). Additional funding was provided by the Syndicat des Armements Reunionais des Palangriers Congelateurs (SARPC), the Fondation des Mers Australes and Agence Nationale pour la Recherche (ANR 17-CE32-0007-01) as part of the OrcaDepred project. The funders had no role in study design, data collection and analysis, decision to publish, or preparation of the manuscript.</t>
  </si>
  <si>
    <t>AUG 8</t>
  </si>
  <si>
    <t>e5306</t>
  </si>
  <si>
    <t>10.7717/peerj.5306</t>
  </si>
  <si>
    <t>GP7TC</t>
  </si>
  <si>
    <t>Green Published, Green Submitted, Green Accepted, gold</t>
  </si>
  <si>
    <t>WOS:000441110900003</t>
  </si>
  <si>
    <t>Yang, MY; Frank, TD; Fielding, CR</t>
  </si>
  <si>
    <t>Yang, Mingyu; Frank, Tracy D.; Fielding, Christopher R.</t>
  </si>
  <si>
    <t>CRYOGENIC BRINE AND ITS IMPACT ON DIAGENESIS OF GLACIOMARINE DEPOSITS, McMURDO SOUND, ANTARCTICA</t>
  </si>
  <si>
    <t>JOURNAL OF SEDIMENTARY RESEARCH</t>
  </si>
  <si>
    <t>VICTORIA LAND BASIN; ORBITALLY-INDUCED OSCILLATIONS; ROSS SEA; ICE-SHEET; CLAY-MINERALS; DRY VALLEYS; STRATIGRAPHY; HISTORY; CLIMATE; ORIGIN</t>
  </si>
  <si>
    <t>Pervasive O-18-depleted carbonate cements in sediment cores acquired by the Cape Roberts Project (CRP) in McMurdo Sound, Antarctica, were previously attributed to mixing of glacial meltwater and seawater in the subsurface. However, a more recent discovery of O-18-depleted, connate brine formed by seawater freezing in a nearby sediment core (AND-2A core) called this interpretation into question. This core contains widespread carbonate cements in the glaciomarine sediments, which have been demonstrated to precipitate from the brine by conventional (delta O-18) and clumped (Delta(47)) isotopic data. Building on findings from the AND-2A core, this study investigates the geochemical nature, origin, and distribution of diagenetic fluids, and re-evaluates their impact on diagenetic patterns in glaciomarine deposits of the composite Oligocene to lower Miocene succession from the CRP cores. Sandstones were characterized in the context of a well-established chronostratigraphic and sequence stratigraphic framework by systematic point counting and modal analysis using optical microscopy. Diagenetic carbonate phases and mineralogies were assessed by cathodoluminescence microscopy and energy-dispersive X-ray spectrometry. Low-Mg calcite cement is the most widespread diagenetic phase and was selected for analyses of stable carbon and oxygen isotopes. Similar to the AND-2A core, the cement increases in crystal size and decreases in delta O-18 value (-4.8 to -19.5%0 VPDB) with increasing depth to rs , similar to 700-800 m. These patterns indicate calcite precipitation from interstitial brine along local geothermal gradients. When considered in the context of Neogene climate, tectonic, and burial history, timing of calcite cementation is linked to a period of extensive formation of cryogenic brine during c. 13 to 10 Ma when the region transitioned into a cold, polar climate regime and McMurdo Sound was periodically glaciated by expanded, cold-based Antarctic ice sheets. Beyond McMurdo Sound, the propensity for formation of cryogenic brine exists in most glaciomarine settings. As such, the potential for diagenetic alteration by such fluids should be considered in studies of the deposits of ancient glaciated continental margins.</t>
  </si>
  <si>
    <t>[Yang, Mingyu; Frank, Tracy D.; Fielding, Christopher R.] Univ Nebraska Lincoln, Dept Earth &amp; Atmospher Sci, 126 Bessey Hall, Lincoln, NE 68588 USA</t>
  </si>
  <si>
    <t>University of Nebraska System; University of Nebraska Lincoln</t>
  </si>
  <si>
    <t>Yang, MY (corresponding author), Univ Nebraska Lincoln, Dept Earth &amp; Atmospher Sci, 126 Bessey Hall, Lincoln, NE 68588 USA.</t>
  </si>
  <si>
    <t>mingyu.yang@huskers.unl.edu</t>
  </si>
  <si>
    <t>Yang, Mingyu/HII-2795-2022</t>
  </si>
  <si>
    <t>Yang, Mingyu/0000-0002-0565-2820; Frank, Tracy/0000-0002-8422-7389</t>
  </si>
  <si>
    <t>National Science Foundation (NSF) Grant [PLR-1341390]</t>
  </si>
  <si>
    <t>National Science Foundation (NSF) Grant(National Science Foundation (NSF))</t>
  </si>
  <si>
    <t>This research was supported by National Science Foundation (NSF) Grant PLR-1341390 to T.D. Frank and C.R. Fielding. The Department of Earth and Atmospheric Sciences at the University of Nebraska-Lincoln is thanked for providing facility support. We are grateful to the Alfred Wegener Institute for Polar and Marine Research (AWI) for supporting sample collection. Justin Ahern assisted with drafting the lithostratigraphic column. We thank Brenda Bowen, Kitty Milliken, and Sadoon Morad, whose thoughtful reviews helped to improve the manuscript.</t>
  </si>
  <si>
    <t>SEPM-SOC SEDIMENTARY GEOLOGY</t>
  </si>
  <si>
    <t>TULSA</t>
  </si>
  <si>
    <t>6128 EAST 38TH ST, STE 308, TULSA, OK 74135-5814 USA</t>
  </si>
  <si>
    <t>1527-1404</t>
  </si>
  <si>
    <t>1938-3681</t>
  </si>
  <si>
    <t>J SEDIMENT RES</t>
  </si>
  <si>
    <t>J. Sediment. Res.</t>
  </si>
  <si>
    <t>AUG 7</t>
  </si>
  <si>
    <t>10.2110/jsr.2018.48</t>
  </si>
  <si>
    <t>GQ9IH</t>
  </si>
  <si>
    <t>WOS:000442084100002</t>
  </si>
  <si>
    <t>Gwyther, DE; O'Kane, TJ; Galton-Fenzi, BK; Monselesan, DP; Greenbaum, JS</t>
  </si>
  <si>
    <t>Gwyther, David E.; O'Kane, Terence J.; Galton-Fenzi, Benjamin K.; Monselesan, Didier P.; Greenbaum, Jamin S.</t>
  </si>
  <si>
    <t>Intrinsic processes drive variability in basal melting of the Totten Glacier Ice Shelf</t>
  </si>
  <si>
    <t>WATER MASSES; DYNAMICS</t>
  </si>
  <si>
    <t>Over the period 2003-2008, the Totten Ice Shelf (TIS) was shown to be rapidly thinning, likely due to basal melting. However, a recent study using a longer time series found high interannual variability present in TIS surface elevation without any apparent trend. Here we show that low-frequency intrinsic ocean variability potentially accounts for a large fraction of the variability in the basal melting of TIS. Specifically, numerical ocean model simulations show that up to 44% of the modelled variability in basal melting in the 1-5 year timescale (and up to 21% in the 5-10 year timescale) is intrinsic, with a similar response to the full climate forcing. We identify the important role of intrinsic ocean variability in setting the observed interannual variation in TIS surface thickness and velocity. Our results further demonstrate the need to account for intrinsic ocean processes in the detection and attribution of change.</t>
  </si>
  <si>
    <t>[Gwyther, David E.] Univ Tasmania, Inst Marine &amp; Antarctic Studies, Private Bag 129, Hobart, Tas 7001, Australia; [O'Kane, Terence J.; Monselesan, Didier P.] CSIRO Oceans &amp; Atmosphere, Hobart, Tas 7001, Australia; [Galton-Fenzi, Benjamin K.] Australian Antarctic Div, Kingston, Tas 7050, Australia; [Galton-Fenzi, Benjamin K.] Univ Tasmania, Antarctic Climate &amp; Ecosyst Cooperat Res Ctr, Hobart, Tas 7001, Australia; [Greenbaum, Jamin S.] Univ Texas Austin, Inst Geophys, Austin, TX 78758 USA</t>
  </si>
  <si>
    <t>University of Tasmania; Commonwealth Scientific &amp; Industrial Research Organisation (CSIRO); Australian Antarctic Division; University of Tasmania; Antarctic Climate &amp; Ecosystems Cooperative Research Centre (ACE CRC); University of Texas System; University of Texas Austin</t>
  </si>
  <si>
    <t>Gwyther, DE (corresponding author), Univ Tasmania, Inst Marine &amp; Antarctic Studies, Private Bag 129, Hobart, Tas 7001, Australia.</t>
  </si>
  <si>
    <t>david.gwyther@gmail.com</t>
  </si>
  <si>
    <t>O'Kane, Terence J/B-1655-2009; Gwyther, David E/Q-2987-2018; O'Kane, Terence/AAV-1123-2021; Monselesan, Didier/A-2327-2012</t>
  </si>
  <si>
    <t>O'Kane, Terence J/0000-0002-2137-5915; Gwyther, David E/0000-0002-7218-2785; O'Kane, Terence/0000-0002-2137-5915; Monselesan, Didier/0000-0002-0310-8995; Greenbaum, Jamin Stevens/0000-0002-0745-7113; Galton-Fenzi, Benjamin Keith/0000-0003-1404-4103</t>
  </si>
  <si>
    <t>Australian Research Council's Special Research Initiative for Antarctic Gateway Partnership [SR140300001]; National Computational Infrastructure (NCI) [gh9, nk1]; Australian Government; Australian Commonwealth Scientific and Industrial Research Organisation (CSIRO) Decadal Forecasting Project; NSF [PLR-1543452, PLR-1143843]; G. Unger Vetlesen Foundation</t>
  </si>
  <si>
    <t>Australian Research Council's Special Research Initiative for Antarctic Gateway Partnership(Australian Research Council); National Computational Infrastructure (NCI)(United States Department of Health &amp; Human ServicesNational Institutes of Health (NIH) - USANIH National Cancer Institute (NCI)); Australian Government(Australian Government); Australian Commonwealth Scientific and Industrial Research Organisation (CSIRO) Decadal Forecasting Project; NSF(National Science Foundation (NSF)); G. Unger Vetlesen Foundation</t>
  </si>
  <si>
    <t>D.E.G. is grateful for the insightful input from K. Kelly, R. Gwyther, A. Fraser, F. McCormack, G. Williams, R. Hart, C. Greene and L. Padman. Research was supported by the Australian Research Council's Special Research Initiative for Antarctic Gateway Partnership (Project ID SR140300001). This research was undertaken with the assistance of computing resource grants gh9 and nk1 from the National Computational Infrastructure (NCI), which is supported by the Australian Government. T.J.O'K. and D.P.M. were supported by the Australian Commonwealth Scientific and Industrial Research Organisation (CSIRO) Decadal Forecasting Project (https://research.csiro.au/dfp). J.S.G. was supported by NSF grants PLR-1543452 and PLR-1143843, as well as the G. Unger Vetlesen Foundation. This is University of Texas Institute for Geophysics contribution number #3276.</t>
  </si>
  <si>
    <t>10.1038/s41467-018-05618-2</t>
  </si>
  <si>
    <t>GP6IG</t>
  </si>
  <si>
    <t>WOS:000440981600018</t>
  </si>
  <si>
    <t>Shprits, YY; Menietti, JD; Drozdov, AY; Horne, RB; Woodfield, EE; Groene, JB; de Soria-Santacruz, M; Averkamp, TF; Garrett, H; Paranicas, C; Gurnett, DA</t>
  </si>
  <si>
    <t>Shprits, Y. Y.; Menietti, J. D.; Drozdov, A. Y.; Horne, R. B.; Woodfield, E. E.; Groene, J. B.; de Soria-Santacruz, M.; Averkamp, T. F.; Garrett, H.; Paranicas, C.; Gurnett, D. A.</t>
  </si>
  <si>
    <t>Strong whistler mode waves observed in the vicinity of Jupiter's moons</t>
  </si>
  <si>
    <t>ELECTRON ACCELERATION; MAGNETIC-FIELD; DIFFUSION; MAGNETOSPHERE; GANYMEDE</t>
  </si>
  <si>
    <t>Understanding of wave environments is critical for the understanding of how particles are accelerated and lost in space. This study shows that in the vicinity of Europa and Ganymede, that respectively have induced and internal magnetic fields, chorus wave power is significantly increased. The observed enhancements are persistent and exceed median values of wave activity by up to 6 orders of magnitude for Ganymede. Produced waves may have a pronounced effect on the acceleration and loss of particles in the Jovian magnetosphere and other astrophysical objects. The generated waves are capable of significantly modifying the energetic particle environment, accelerating particles to very high energies, or producing depletions in phase space density. Observations of Jupiter's magnetosphere provide a unique opportunity to observe how objects with an internal magnetic field can interact with particles trapped in magnetic fields of larger scale objects.</t>
  </si>
  <si>
    <t>[Shprits, Y. Y.] GFZ German Res Ctr Geosci, Helmholtz Ctr Potsdam, D-14473 Potsdam, Germany; [Shprits, Y. Y.] Univ Potsdam, Inst Phys &amp; Astron, D-14469 Potsdam, Germany; [Shprits, Y. Y.; Drozdov, A. Y.] Univ Calif Los Angeles, Dept Earth Planetary &amp; Space Sci, Los Angeles, CA 90095 USA; [Menietti, J. D.; Groene, J. B.; Averkamp, T. F.; Gurnett, D. A.] Univ Iowa, Dept Phys &amp; Astron, Iowa City, IA 52242 USA; [Horne, R. B.; Woodfield, E. E.] British Antarctic Survey, Cambridge CB3 0ET, England; [de Soria-Santacruz, M.; Garrett, H.] CALTECH, Jet Prop Lab, 4800 Oak Grove Dr, Pasadena, CA 91109 USA; [Paranicas, C.] Johns Hopkins Univ, Appl Phys Lab, Johns Hopkins Rd, Laurel, MD 20723 USA</t>
  </si>
  <si>
    <t>Helmholtz Association; Helmholtz-Center Potsdam GFZ German Research Center for Geosciences; University of Potsdam; University of California System; University of California Los Angeles; University of Iowa; UK Research &amp; Innovation (UKRI); Natural Environment Research Council (NERC); NERC British Antarctic Survey; National Aeronautics &amp; Space Administration (NASA); NASA Jet Propulsion Laboratory (JPL); California Institute of Technology; Johns Hopkins University; Johns Hopkins University Applied Physics Laboratory</t>
  </si>
  <si>
    <t>Shprits, YY (corresponding author), GFZ German Res Ctr Geosci, Helmholtz Ctr Potsdam, D-14473 Potsdam, Germany.;Shprits, YY (corresponding author), Univ Potsdam, Inst Phys &amp; Astron, D-14469 Potsdam, Germany.;Shprits, YY (corresponding author), Univ Calif Los Angeles, Dept Earth Planetary &amp; Space Sci, Los Angeles, CA 90095 USA.</t>
  </si>
  <si>
    <t>yshprits@gfz-potsdam.de</t>
  </si>
  <si>
    <t>Drozdov, Alexander/Y-2161-2019; Shprits, Yuri Y/I-2174-2014; Horne, Richard B/U-3764-2019; Woodfield, Emma/B-5313-2014</t>
  </si>
  <si>
    <t>Drozdov, Alexander/0000-0002-5334-2026; Horne, Richard B/0000-0002-0412-6407; Woodfield, Emma/0000-0002-0531-8814</t>
  </si>
  <si>
    <t>NASA [NNX11AM36G, NNX15AI94G]; EC [H2020 637302]; STFC grant [ST/ M00130X/1]; NERC [bas0100031] Funding Source: UKRI; STFC [ST/M00130X/1] Funding Source: UKRI; NASA [NNX15AI94G, 807557] Funding Source: Federal RePORTER</t>
  </si>
  <si>
    <t>NASA(National Aeronautics &amp; Space Administration (NASA)); EC(European Union (EU)European Commission Joint Research Centre); STFC grant(UK Research &amp; Innovation (UKRI)Science &amp; Technology Facilities Council (STFC)); NERC(UK Research &amp; Innovation (UKRI)Natural Environment Research Council (NERC)); STFC(UK Research &amp; Innovation (UKRI)Science &amp; Technology Facilities Council (STFC)); NASA(National Aeronautics &amp; Space Administration (NASA))</t>
  </si>
  <si>
    <t>We thank B. Mauk and M. Kivelson for useful discussions. Work at UCLA was supported by NASA grant NNX11AM36G and NNX15AI94G. Work at GFZ was supported by EC grant H2020 637302. R.B.H. and E.E.W. were supported by STFC grant ST/ M00130X/1. J.D.M. was supported by NASA grant NNX11AM36G. The research from H.G. and M.d.S.-S. was carried out at the Jet Propulsion Laboratory, California Institute of Technology, under a contract with NASA.</t>
  </si>
  <si>
    <t>10.1038/s41467-018-05431-x</t>
  </si>
  <si>
    <t>WOS:000440981600008</t>
  </si>
  <si>
    <t>Ropert-Coudert, Y; Kato, A; Shiomi, K; Barbraud, C; Angelier, F; Delord, K; Poupart, T; Koubbi, P; Raclot, T</t>
  </si>
  <si>
    <t>Ropert-Coudert, Yan; Kato, Akiko; Shiomi, Kozue; Barbraud, Christophe; Angelier, Frederic; Delord, Karine; Poupart, Timothee; Koubbi, Philippe; Raclot, Thierry</t>
  </si>
  <si>
    <t>Two Recent Massive Breeding Failures in an Adelie Penguin Colony Call for the Creation of a Marine Protected Area in D'Urville Sea/Mertz</t>
  </si>
  <si>
    <t>eco-indicating species; Sea ice; breeding; foraging; marine protected areas; seabirds; extreme events</t>
  </si>
  <si>
    <t>EMPEROR PENGUINS</t>
  </si>
  <si>
    <t>In the d'Urville Sea in East Antarctica, a population of roughly 20,000 pairs of Adelie penguins of Iles des Petrels (Terre Addle) has experienced two massive breeding failures, with no chick surviving the 2013-14 and 2016-17 breeding seasons. In both seasons the extent of sea ice in front of the colony persisted throughout the breeding cycle of the birds. The timing of sea-ice recession differed greatly between seasons and the absence of polynya in a crucial phase of the cycle were paramount in driving these failures. The change in the icescape in front of Ile des Petrels following the calving of the Mertz glacier in 2010, together with increase in precipitations and changes in sea-ice firmness explain this situation and are discussed in the present manuscript. To prevent additional future impacts on this colony, like competition with fisheries for instance, we strongly support a scientific research zone in the d'Urville Sea- Mertz area, one of the three zones of proposed Marine Protected Area in East Antarctica to the Commission for the Conservation of Antarctic Marine Living Resources.</t>
  </si>
  <si>
    <t>[Ropert-Coudert, Yan; Kato, Akiko; Barbraud, Christophe; Angelier, Frederic; Delord, Karine; Poupart, Timothee] Univ La Rochelle, Ctr Etud Biol Chize, CNRS, UMR7372, Villiers En Bois, France; [Shiomi, Kozue] Natl Inst Polar Res, Tokyo, Japan; [Poupart, Timothee] Deakin Univ, Fac Sci &amp; Technol, Sch Life &amp; Environm Sci, Burwood, Vic, Australia; [Koubbi, Philippe] Univ Caen Basse Normandie, Univ Pierre &amp; Marie Curie, Museum Natl Hist Nat,Sorbonne Univ,IRD,UMR 7208, Unite Biol Organismes &amp; Ecosyst Aquat,BOREA,CNRS, Paris, France; [Raclot, Thierry] UDS, CNRS, Dept Ecol Physiol &amp; Ethol, Inst Pluridisciplinaire Hubert Curien,UMR 7178, Strasbourg, France</t>
  </si>
  <si>
    <t>Centre National de la Recherche Scientifique (CNRS); CNRS - Institute of Ecology &amp; Environment (INEE); La Rochelle Universite; Research Organization of Information &amp; Systems (ROIS); National Institute of Polar Research (NIPR) - Japan; Deakin University; Universite de Caen Normandie; Centre National de la Recherche Scientifique (CNRS); Institut de Recherche pour le Developpement (IRD); Museum National d'Histoire Naturelle (MNHN); Sorbonne Universite; CNRS - Institute of Ecology &amp; Environment (INEE); Centre National de la Recherche Scientifique (CNRS); CNRS - National Institute of Nuclear and Particle Physics (IN2P3); Universites de Strasbourg Etablissements Associes; Universite de Strasbourg</t>
  </si>
  <si>
    <t>Ropert-Coudert, Y (corresponding author), Univ La Rochelle, Ctr Etud Biol Chize, CNRS, UMR7372, Villiers En Bois, France.</t>
  </si>
  <si>
    <t>yan.ropert-coudert@cebc.cnrs.fr</t>
  </si>
  <si>
    <t>Kato, Akiko/W-2447-2019; Barbraud, Christophe/A-5870-2012; Shiomi, Kozue/GSO-1403-2022; Koubbi, Philippe/D-5873-2015</t>
  </si>
  <si>
    <t>Barbraud, Christophe/0000-0003-0146-212X; Shiomi, Kozue/0000-0002-2614-9538; Kato, Akiko/0000-0002-8947-3634</t>
  </si>
  <si>
    <t>French Polar Institute Paul Emile Victor (IPEV); WWF-UK; Zone Atelier Antarctique et Subantarctique - LTER France of the CNRS; BNP Paribas Foundation</t>
  </si>
  <si>
    <t>This study was financially supported by the French Polar Institute Paul Emile Victor (IPEV), the WWF-UK through R. Downie, the Zone Atelier Antarctique et Subantarctique - LTER France of the CNRS. This study was approved by the ethic committee of IPEV. This study is a contribution to the program SENSEI funded by the BNP Paribas Foundation.</t>
  </si>
  <si>
    <t>AUG 6</t>
  </si>
  <si>
    <t>10.3389/fmars.2018.00264</t>
  </si>
  <si>
    <t>HJ7FP</t>
  </si>
  <si>
    <t>WOS:000457360900002</t>
  </si>
  <si>
    <t>Bui, OTN; Kameyama, S; Yoshikawa-Inoue, H; Ishii, M; Sasano, D; Uchida, H; Tsunogai, U</t>
  </si>
  <si>
    <t>Oanh Thi Ngoc Bui; Kameyama, Sohiko; Yoshikawa-Inoue, Hisayuki; Ishii, Masao; Sasano, Daisuke; Uchida, Hiroshi; Tsunogai, Urumu</t>
  </si>
  <si>
    <t>Estimates of methane emissions from the Southern Ocean from quasi-continuous underway measurements of the partial pressure of methane in surface seawater during the 2012/13 austral summer</t>
  </si>
  <si>
    <t>TELLUS SERIES B-CHEMICAL AND PHYSICAL METEOROLOGY</t>
  </si>
  <si>
    <t>dissolved CH4 distribution; Southern Ocean; CRDS coupling with an equilibrator; CH4 emission; oceanic fronts; sea-air exchange</t>
  </si>
  <si>
    <t>ATMOSPHERIC METHANE; WEDDELL SEA; GROWTH-RATE; NORTH-SEA; WATER; CO2; CH4; FLUX; CIRCULATION; EVOLUTION</t>
  </si>
  <si>
    <t>We used a new underway measurement system to investigate the partial pressure of methane (CH4) in surface seawater and overlying air in the Southern Ocean from late November 2012 to mid-February 2013. The underway system consisted of a cavity ring-down spectroscopy analyser and a shower-head type equilibrator. The monthly mean atmospheric CH4 mixing ratios obtained agreed well (within 5ppb) with those recorded at onshore baseline stations. CH4 saturation ratios (SR, %), defined as CH4 concentration in seawater divided by CH4 concentration equilibrated with atmospheric CH4, varied between 85 and 185%; most of the ratios we calculated indicated supersaturation, except for those from south of the Southern limit of Upper Circumpolar Deep Water. SR was higher at the lower latitudes, including coastal areas north of the Sub-Antarctic Front, but decreased gradually and monotonously between the Sub-Antarctic Front and the Upper Circumpolar Deep Water. At high latitudes south of the Polar Front, SR decreased to below 100% due to the effects of upwelling and vertical mixing. We found a strong linear correlation between SR and apparent oxygen utilisation (AOU) south of the Polar Front. Observed SR decreased with increasing AOU and reached 85% at high AOU (41 mu mol kg(-1)) and low temperature (-1.8 degrees C). On the basis of the linear relationship between SR and AOU, we evaluated the climatological sea-air flux of CH4 from December to February for the entire Southern Ocean south of 50 degrees S: Sea-air CH4 emission was estimated to be 0.027 Tg yr(-1) in December, 0.04 Tg yr(-1) in January, and 0.019 Tg yr(-1) in February.</t>
  </si>
  <si>
    <t>[Oanh Thi Ngoc Bui; Kameyama, Sohiko; Yoshikawa-Inoue, Hisayuki] Hokkaido Univ, Grad Sch Environm Sci, Marine &amp; Atmospher Geochem Lab, Sapporo, Hokkaido, Japan; [Ishii, Masao; Sasano, Daisuke] Japan Meteorol Agcy, Meteorol Res Inst, Ibaraki, Japan; [Uchida, Hiroshi] Japan Agcy Marine Earth Sci &amp; Technol, Yokosuka, Kanagawa, Japan; [Tsunogai, Urumu] Nagoya Univ, Grad Sch Environm Studies, Chikusa, Japan</t>
  </si>
  <si>
    <t>Hokkaido University; Japan Meteorological Agency; Meteorological Research Institute - Japan; Japan Agency for Marine-Earth Science &amp; Technology (JAMSTEC); Nagoya University</t>
  </si>
  <si>
    <t>Bui, OTN (corresponding author), Hokkaido Univ, Grad Sch Environm Sci, Marine &amp; Atmospher Geochem Lab, Sapporo, Hokkaido, Japan.</t>
  </si>
  <si>
    <t>btnoanh@ees.hokudai.ac.jp</t>
  </si>
  <si>
    <t>Yoshikawa, Hisayuki/A-4056-2012; Kameyama, Sohiko/D-5143-2015; Tsunogai, Urumu/C-8303-2011</t>
  </si>
  <si>
    <t>Tsunogai, Urumu/0000-0002-1517-3284; SASANO, Daisuke/0000-0002-7228-823X</t>
  </si>
  <si>
    <t>GRENE Project; Ministry of Education, Culture, Sports, Science and Technology of Japan [23241002, 26281001]; Grants-in-Aid for Scientific Research [23241002, 26281001] Funding Source: KAKEN</t>
  </si>
  <si>
    <t>GRENE Project; 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</si>
  <si>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We greatly appreciate the shipboard support of the master and crew of R/V Mirai during legs 2 and 3 of cruise MR12-05. This research was supported in part by the GRENE Project and by Grants-in-Aid for Scientific Research from the Ministry of Education, Culture, Sports, Science and Technology of Japan (#23241002, #26281001). We thank Dr Shigeru Aoki for his insightful comments and helpful suggestions.</t>
  </si>
  <si>
    <t>1600-0889</t>
  </si>
  <si>
    <t>TELLUS B</t>
  </si>
  <si>
    <t>Tellus Ser. B-Chem. Phys. Meteorol.</t>
  </si>
  <si>
    <t>10.1080/16000889.2018.1478594</t>
  </si>
  <si>
    <t>GP7GL</t>
  </si>
  <si>
    <t>WOS:000441062800001</t>
  </si>
  <si>
    <t>Segawa, T; Matsuzaki, R; Takeuchi, N; Akiyoshi, A; Navarro, F; Sugiyama, S; Yonezawa, T; Mori, H</t>
  </si>
  <si>
    <t>Segawa, Takahiro; Matsuzaki, Ryo; Takeuchi, Nozomu; Akiyoshi, Ayumi; Navarro, Francisco; Sugiyama, Shin; Yonezawa, Takahiro; Mori, Hiroshi</t>
  </si>
  <si>
    <t>Bipolar dispersal of red-snow algae</t>
  </si>
  <si>
    <t>RNA SECONDARY STRUCTURE; PHYLOGENETIC ANALYSIS; ITS2; ALIGNMENT; COLD; TOOL; IDENTIFICATION; BIOGEOGRAPHY; CHLOROPHYTA; COMMUNITIES</t>
  </si>
  <si>
    <t>Red-snow algae are red-pigmented unicellular algae that appear seasonally on the surface of thawing snow worldwide. Here, we analyse the distribution patterns of snow algae sampled from glaciers and snow patches in the Arctic and Antarctica based on nuclear ITS2 sequences, which evolve rapidly. The number of phylotypes is limited in both polar regions, and most are specific to either the Arctic or Antarctica. However, the bipolar phylotypes account for the largest share (37.3%) of all sequences, suggesting that red-algal blooms in polar regions may comprise mainly cosmopolitan phylotypes but also include endemic organisms, which are distributed either in the Arctic or Antarctica.</t>
  </si>
  <si>
    <t>[Segawa, Takahiro] Univ Yamanashi, Ctr Life Sci Res, 1000 Shimokato, Chuo, Yamanashi 4093898, Japan; [Segawa, Takahiro; Akiyoshi, Ayumi] Natl Inst Polar Res, 10-3 Midori Cho, Tachikawa, Tokyo, Japan; [Matsuzaki, Ryo] Natl Inst Environm Studies, Ctr Environm Biol &amp; Ecosyst Studies, 16-2 Onogawa, Tsukuba, Ibaraki, Japan; [Takeuchi, Nozomu] Chiba Univ, Grad Sch Sci, Dept Earth Sci, Inage Ku, 1-33 Yayoi Cho, Chiba, Japan; [Navarro, Francisco] Univ Politecn Madrid, Dept Matemat Aplicada Tecnol Informac &amp; Comunicac, ETSI Comunicac, Av Complutense 30, E-28040 Madrid, Spain; [Sugiyama, Shin] Hokkaido Univ, Inst Low Temp Sci, Nishi8,Kita19, Sapporo, Hokkaido, Japan; [Yonezawa, Takahiro] Tokyo Univ Agr, Fac Agr, Dept Anim Sci, 1737 Funako, Atsugi, Kanagawa, Japan; [Yonezawa, Takahiro] Fudan Univ, Sch Life Sci, SongHu Rd 2005, Shanghai 200438, Peoples R China; [Mori, Hiroshi] Natl Inst Genet, Ctr Informat Biol, 1111 Yata, Mishima, Shizuoka, Japan</t>
  </si>
  <si>
    <t>University of Yamanashi; Research Organization of Information &amp; Systems (ROIS); National Institute of Polar Research (NIPR) - Japan; National Institute for Environmental Studies - Japan; Chiba University; Universidad Politecnica de Madrid; Hokkaido University; Tokyo University of Agriculture; Fudan University; Research Organization of Information &amp; Systems (ROIS); National Institute of Genetics (NIG) - Japan</t>
  </si>
  <si>
    <t>Segawa, T (corresponding author), Univ Yamanashi, Ctr Life Sci Res, 1000 Shimokato, Chuo, Yamanashi 4093898, Japan.;Segawa, T (corresponding author), Natl Inst Polar Res, 10-3 Midori Cho, Tachikawa, Tokyo, Japan.</t>
  </si>
  <si>
    <t>tsegawa@yamanashi.ac.jp</t>
  </si>
  <si>
    <t>Navarro, Francisco/L-2941-2014; Sugiyama, Shin/C-2511-2012; Takeuchi, Nozomu/Q-7869-2016</t>
  </si>
  <si>
    <t>Navarro, Francisco/0000-0002-5147-0067; Takeuchi, Nozomu/0000-0002-3267-5534; Matsuzaki, Ryo/0000-0002-8989-5933; Segawa, Takahiro/0000-0002-3111-708X; Mori, Hiroshi/0000-0003-0806-7704; Yonezawa, Takahiro/0000-0002-0012-1887</t>
  </si>
  <si>
    <t>Juan Carlos I Station on Livingston Island; Spanish Polar Program [CTM2014-56473-R]; Japan Society for the Promotion of Science (JSPS) [18H04139, 17H01854, 16H01772, 26247078, 26241020]; Great Britain Sasakawa Foundation; Grants-in-Aid for Scientific Research [18H04139, 26247078, 17H01854] Funding Source: KAKEN</t>
  </si>
  <si>
    <t>Juan Carlos I Station on Livingston Island; Spanish Polar Program; Japan Society for the Promotion of Science (JSPS)(Ministry of Education, Culture, Sports, Science and Technology, Japan (MEXT)Japan Society for the Promotion of Science); Great Britain Sasakawa Foundation; Grants-in-Aid for Scientific Research(Ministry of Education, Culture, Sports, Science and Technology, Japan (MEXT)Japan Society for the Promotion of ScienceGrants-in-Aid for Scientific Research (KAKENHI))</t>
  </si>
  <si>
    <t>We thank the Spanish Polar Program for the support provided by the Juan Carlos I Station on Livingston Island. Project CTM2014-56473-R from the Spanish Polar Program contributed to the funding of the field work on Livingston Island. This study was supported by Grants-in-Aid for Scientific Research (no. 18H04139, 17H01854, 16H01772, 26247078, and 26241020) from the Japan Society for the Promotion of Science (JSPS). We acknowledge the 48th Japanese Antarctic Research Expedition (JARE). We thank Dr. Jun Uetake, Dr. Yukiko Tanabe and Dr. Takumi Murakami for collecting snow samples as part of their field research, and to Drs. Arwyn Edwards and Tristram Irvine-Fynn for Svalbard sampling supported by Great Britain Sasakawa Foundation funds. We would also like to thank Dr. Sota Tanaka for assistance in preparing the micromanipulator system. Computations were partially performed on the NIG (National Institute of Genetics) supercomputer at the ROIS (Research Organization of Information and Systems) National Institute of Genetics.</t>
  </si>
  <si>
    <t>10.1038/s41467-018-05521-w</t>
  </si>
  <si>
    <t>GP3TT</t>
  </si>
  <si>
    <t>WOS:000440777000024</t>
  </si>
  <si>
    <t>McQuillan, RV; Stevens, GW; Mumford, KA</t>
  </si>
  <si>
    <t>McQuillan, Rebecca V.; Stevens, Geoffrey W.; Mumford, Kathryn A.</t>
  </si>
  <si>
    <t>The electrochemical regeneration of granular activated carbons: A review</t>
  </si>
  <si>
    <t>JOURNAL OF HAZARDOUS MATERIALS</t>
  </si>
  <si>
    <t>Electrochemical; Granular activated carbon; Regeneration; Three-dimensional electrode</t>
  </si>
  <si>
    <t>WASTE-WATER TREATMENT; IN-SITU REMEDIATION; ELECTRO-FENTON; ORGANIC POLLUTANTS; CONTAMINATED SOILS; ANODIC-OXIDATION; PART 1; REMOVAL; PHENOL; ADSORPTION</t>
  </si>
  <si>
    <t>The electrochemical treatment of exhausted granular activated carbon (GAC) has been identified as an effective alternative to traditional adsorbent regeneration methods (e.g. thermal, chemical, and microbial). However, despite its proven potential and initial investigation over two decades ago, the development of this technology has been progressing slowly, hindering its deployment in industrial applications. Thus, a review has been conducted that aims to present the fundamentals of GAC electrochemical regenerative methods, what research has been conducted to develop the technology to the present day, and lastly, identify limitations and future prospects associated with electrochemical methods. The regenerative mechanism is firstly discussed, followed by a presentation of the varying reactor configurations and operating parameters utilized during the electrochemical treatment of GAC materials exhausted with a broad range of wastewater contaminants. Finally, emerging electrochemical technologies used for the commercial treatment of exhausted adsorbent materials and contaminated soils are discussed.</t>
  </si>
  <si>
    <t>[McQuillan, Rebecca V.; Stevens, Geoffrey W.; Mumford, Kathryn A.] Univ Melbourne, Particulate Fluids Proc Ctr, Dept Chem &amp; Biomol Engn, Parkville, Vic 3010, Australia</t>
  </si>
  <si>
    <t>University of Melbourne</t>
  </si>
  <si>
    <t>Mumford, KA (corresponding author), Univ Melbourne, Bldg 165, Parkville, Vic 3010, Australia.</t>
  </si>
  <si>
    <t>mumfordk@unimelb.edu.au</t>
  </si>
  <si>
    <t>McQuillan, Rebecca/0000-0003-4147-8353; Stevens, Geoffrey/0000-0002-5788-4682</t>
  </si>
  <si>
    <t>Australian Antarctic Science Project [4029]; Particulate Fluids Processing Centre</t>
  </si>
  <si>
    <t>Australian Antarctic Science Project; Particulate Fluids Processing Centre</t>
  </si>
  <si>
    <t>The authors acknowledge the research financial support provided from the Australian Antarctic Science Project 4029 and The Particulate Fluids Processing Centre.</t>
  </si>
  <si>
    <t>0304-3894</t>
  </si>
  <si>
    <t>1873-3336</t>
  </si>
  <si>
    <t>J HAZARD MATER</t>
  </si>
  <si>
    <t>J. Hazard. Mater.</t>
  </si>
  <si>
    <t>AUG 5</t>
  </si>
  <si>
    <t>10.1016/j.jhazmat.2018.04.079</t>
  </si>
  <si>
    <t>Engineering, Environmental; Environmental Sciences</t>
  </si>
  <si>
    <t>Engineering; Environmental Sciences &amp; Ecology</t>
  </si>
  <si>
    <t>GR0FO</t>
  </si>
  <si>
    <t>WOS:000442190000005</t>
  </si>
  <si>
    <t>Anderson, L; Finney, BP; Shapley, MD</t>
  </si>
  <si>
    <t>Anderson, Lesleigh; Finney, Bruce P.; Shapley, Mark D.</t>
  </si>
  <si>
    <t>Lake levels in a discontinuous permafrost landscape: Late Holocene variations inferred from sediment oxygen isotopes, Yukon Flats, Alaska</t>
  </si>
  <si>
    <t>Alaska; Holocene; paleoclimate; Yukon Flats; lake sediment delta O-18; thermokarst</t>
  </si>
  <si>
    <t>CENTRAL BROOKS RANGE; NATIONAL WILDLIFE REFUGE; CLIMATE-CHANGE; NORTHERN ALASKA; MASS-BALANCE; VARIABILITY; EVOLUTION; CARBON; DEGRADATION; TEMPERATURE</t>
  </si>
  <si>
    <t>During recent decades, lake levels in the Yukon Flats region of interior Alaska have fluctuated dramatically. However, prior to recorded observations, no data are available to indicate if similar or more extreme variations occurred during past centuries and millennia. This study explores the history of Yukon Flats lake origins and lake levels for the past approximately 5,500 years from sediment analyses guided by previous work on permafrost extent, thermokarst, and modern isotope hydrology. Sediments dated by Pb-210 and AMS radiocarbon indicate stable chronologies following initial lake initiation. Subsequent lithology is autochthonous, and oxygen isotope ratios of endogenic carbonate reflect lake level change at multiple time scales. Sediment results indicate high lake levels between approximately 4000 and 1850 cal yr BP, which is interpreted to reflect wetter-than-modern conditions. Lower lake levels with short-lived high stands during the past approximately 800 years reflect generally arid conditions with brief wet intervals similar to the region's moisture regime today. The millennial trend is one of increasing aridity and corresponds closely with fire reconstructions and regional paleoclimatic trends. We conclude that high-magnitude lake-level fluctuations and decadal scale trends occurred before the observational period and are persistent hydroclimatic features of the Yukon Flats region.</t>
  </si>
  <si>
    <t>[Anderson, Lesleigh] US Geol Survey, Geosci &amp; Environm Change Sci Ctr, Box 25046, Denver, CO 80225 USA; [Finney, Bruce P.] Idaho State Univ, Dept Biol Sci, Pocatello, ID 83209 USA; [Finney, Bruce P.] Idaho State Univ, Dept Geosci, Pocatello, ID 83209 USA; [Shapley, Mark D.] Univ Minnesota, Continental Sci Drilling Coordinat Off, Minneapolis, MN USA; [Shapley, Mark D.] Univ Minnesota, Natl Lacustrine Core Facil LacCore, Minneapolis, MN USA</t>
  </si>
  <si>
    <t>United States Department of the Interior; United States Geological Survey; Idaho; Idaho State University; Idaho; Idaho State University; University of Minnesota System; University of Minnesota Twin Cities; University of Minnesota System; University of Minnesota Twin Cities</t>
  </si>
  <si>
    <t>Anderson, L (corresponding author), US Geol Survey, Geosci &amp; Environm Change Sci Ctr, Box 25046, Denver, CO 80225 USA.</t>
  </si>
  <si>
    <t>land@usgs.gov</t>
  </si>
  <si>
    <t>Shapley, Mark/0000-0003-4770-1878</t>
  </si>
  <si>
    <t>U.S. Geological Survey Land Change Science Research and Development program</t>
  </si>
  <si>
    <t>This research is supported by the U.S. Geological Survey Land Change Science Research and Development program. Nikki Guldager and the Yukon Flats National Wildlife Refuge provided air transportation and field logistics. We thank David Dettman and Chris Eastoe at the University of Arizona, who provided carbonate isotope measurements, and Dan Engstrom of the Science Museum of Minnesota, who provided radiometric dating and age models. We thank Chad Wolack of the University of Colorado Institute for Arctic and Alpine Research, who provided macrofossil graphitization and AMS 14C ages, and Carl Jurkowski for his assistance. Paco VanSistine provided imagery and ARC-GIS; Colin Penn provided coulometry measurements. Jeremy Havens provided assistance with figures. We are grateful to Miriam Jones, Mary Edwards, and an anonymous reviewer for constructive criticisms and suggestions that served to significantly improve the manuscript. Any use of trade, firm, or product names is for descriptive purposes only and does not imply endorsement by the U.S. government.</t>
  </si>
  <si>
    <t>AUG 3</t>
  </si>
  <si>
    <t>e1496565</t>
  </si>
  <si>
    <t>10.1080/15230430.2018.1496565</t>
  </si>
  <si>
    <t>GP6DL</t>
  </si>
  <si>
    <t>WOS:000440967100001</t>
  </si>
  <si>
    <t>Pitts, MC; Poole, LR; Gonzalez, R</t>
  </si>
  <si>
    <t>Pitts, Michael C.; Poole, Lamont R.; Gonzalez, Ryan</t>
  </si>
  <si>
    <t>Polar stratospheric cloud climatology based on CALIPSO spaceborne lidar measurements from 2006 to 2017</t>
  </si>
  <si>
    <t>LARGE HNO3-CONTAINING PARTICLES; NITRIC-ACID TRIHYDRATE; A-TRAIN CALIOP; ALGORITHM DESCRIPTION; ARCTIC STRATOSPHERE; CHLORINE ACTIVATION; CONDENSATION NUCLEI; OZONE DEPLETION; MOUNTAIN WAVES; SAM-II</t>
  </si>
  <si>
    <t>The Cloud-Aerosol Lidar with Orthogonal Polarization (CALIOP) on the CALIPSO (Cloud-Aerosol Lidar and Infrared Pathfinder Satellite Observations) satellite has been observing polar stratospheric clouds (PSCs) from mid-June 2006 until the present. The spaceborne lidar profiles PSCs with unprecedented spatial (5km horizontal x 180m vertical) resolution and its dual-polarization capability enables classification of PSCs according to composition. Nearly coincident Aura Microwave Limb Sounder (MLS) measurements of the primary PSC condensables (HNO3 and H2O) provide additional constraints on particle composition. A new CALIOP version 2 (v2) PSC detection and composition classification algorithm has been implemented that corrects known deficiencies in previous algorithms and includes additional refinements to improve composition discrimination. Major v2 enhancements include dynamic adjustment of composition boundaries to account for effects of denitrification and dehydration, explicit use of measurement uncertainties, addition of composition confidence indices, and retrieval of particulate backscatter, which enables simplified estimates of particulate surface area density (SAD) and volume density (VD). The over 11 years of CALIOP PSC observations in each v2 composition class conform to their expected thermodynamic existence regimes, which is consistent with previous analyses of data from 2006 to 2011 and underscores the robustness of the v2 composition discrimination approach. The v2 algorithm has been applied to the CALIOP dataset to produce a PSC reference data record spanning the 2006-2017 time period, which is the foundation for a new comprehensive, high-resolution climatology of PSC occurrence and composition for both the Antarctic and Arctic. Time series of daily-averaged, vortex-wide PSC areal coverage versus altitude illustrate that Antarctic PSC seasons are similar from year to year, with about 25% relative standard deviation in Antarctic PSC spatial volume at the peak of the season in July and August. Multi-year average, monthly zonal mean cross sections depict the climatological patterns of Antarctic PSC occurrence in latitude-altitude and also equivalent-latitudepotential- temperature coordinate systems, with the latter system better capturing the microphysical processes controlling PSC existence. Polar maps of the multi-year mean geographical patterns in PSC occurrence frequency show a climatological maximum between longitudes 90 degrees W and 0 degrees, which is the preferential region for forcing by orography and upper tropospheric anticyclones. The climatological mean distributions of particulate SAD and VD also show maxima in this region due to the large enhancements from the frequent ice clouds. Stronger wave activity in the Northern Hemisphere leads to a more disturbed Arctic polar vortex, whose evolution and lifetime vary significantly from year to year. Accordingly, Arctic PSC areal coverage is distinct from year to year with no  typical year, and the relative standard deviation in Arctic PSC spatial volume is &gt;100% throughout most of the season. When PSCs are present in the Arctic, they most likely occur between longitudes 60 degrees W and 90 degrees E, which is consistent with the preferential location of the Arctic vortex. Comparisons of CALIOP v2 and Michelson Interferometer for Passive Atmospheric Sounding (MIPAS) Antarctic PSC observations show excellent correspondence in the overall spatial and temporal evolution, as well as for different PSC composition classes. Climatological patterns of CALIOP v2 PSC occurrence frequency in the vicinity of McMurdo Station, Antarctica, and Ny-Alesund, Spitsbergen, are similar in nature to those derived from local ground-based lidar measurements. To investigate the possibility of longer-term trends, appropriately subsampled and averaged CALIOP v2 PSC observations from 2006 to 2017 were compared with PSC data during the 1978-1989 period obtained by the spaceborne solar occultation instrument SAM II (Stratospheric Aerosol Measurement II). There was good consistency between the two instruments in column Antarctic PSC occurrence frequency, suggesting that there has been no long-term trend. There was less overall consistency between the Arctic records, but it is very likely due to the high degree of interannual variability in PSCs rather than a longterm trend.</t>
  </si>
  <si>
    <t>[Pitts, Michael C.] NASA, Langley Res Ctr, Hampton, VA 23681 USA; [Poole, Lamont R.] Sci Syst &amp; Applicat Inc, Hampton, VA 23666 USA; [Gonzalez, Ryan] NASA, Univ Space Res Assoc, Langley Res Ctr, Hampton, VA 23681 USA; [Gonzalez, Ryan] Colorado State Univ, Dept Atmospher Sci, Ft Collins, CO 80523 USA</t>
  </si>
  <si>
    <t>National Aeronautics &amp; Space Administration (NASA); NASA Langley Research Center; Science Systems and Applications Inc; National Aeronautics &amp; Space Administration (NASA); NASA Langley Research Center; Universities Space Research Association (USRA); Colorado State University</t>
  </si>
  <si>
    <t>Pitts, MC (corresponding author), NASA, Langley Res Ctr, Hampton, VA 23681 USA.</t>
  </si>
  <si>
    <t>michael.c.pitts@nasa.gov</t>
  </si>
  <si>
    <t>Stratosphere-troposphere Processes And their Role in Climate (SPARC) project; International Space Science Institute (ISSI); NASA [NNL16AA05C]</t>
  </si>
  <si>
    <t>Stratosphere-troposphere Processes And their Role in Climate (SPARC) project; International Space Science Institute (ISSI); NASA(National Aeronautics &amp; Space Administration (NASA))</t>
  </si>
  <si>
    <t>The authors would like to thank David Considine, Program Scientist for the CALIPSO and CloudSat missions, for continued support of this research. The authors also acknowledge the Stratosphere-troposphere Processes And their Role in Climate (SPARC) project and the International Space Science Institute (ISSI) for its support of the SPARC Polar Stratospheric Cloud Initiative (PSCi). Support for Lamont R. Poole is provided under NASA contract NNL16AA05C. Michael C. Pitts and Lamont R. Poole would like to pay special tribute to our late colleague William H. (Bill) Hunt, a senior lidar engineer who made many significant contributions to the success of atmospheric lidar programs at NASA Langley over his 40-year career. A testament to his thoroughness and dedication is the fact that CALIOP has exceeded its expected lifetime many times over.</t>
  </si>
  <si>
    <t>10.5194/acp-18-10881-2018</t>
  </si>
  <si>
    <t>GP2SN</t>
  </si>
  <si>
    <t>WOS:000440686500003</t>
  </si>
  <si>
    <t>Carella, M; Uriz, MJ</t>
  </si>
  <si>
    <t>Carella, Mirco; Uriz, Maria J.</t>
  </si>
  <si>
    <t>Description of two new genera (Antarctotetilla, Levantiniella) and a new species of Tetillidae</t>
  </si>
  <si>
    <t>taxonomy; Antarctic demosponges; Middle-East marine sponges; pseudocortex; pore features; minibarcode</t>
  </si>
  <si>
    <t>GLASS SPONGES PORIFERA; CRYPTIC SPECIATION; DEMOSPONGIAE; HEXACTINELLIDA; PHYLOGENY; EVOLUTION; COAST</t>
  </si>
  <si>
    <t>Tetillidae is a sponge family distributed all over the world but with some genera apparently endemic from the Antarctic and Subantarctic (the Antarctic clade). Species identification results tricky due to the similarities of their morphological characters. However, molecular phylogenies have helped to resolve the family taxonomy. The last phylogenetic study on Tetillidae suggested the creation of two new genera: Levantiniella and Antarctotetilla. Lenvantiniella, from Middle East Mediterranean Sea, was previously classified within Cinachyrella, from which it differs in the small rounded surface cavities, distinctive from true porocalices. Antarctotetilla has up to now an Antarctic distribution, and harbors species wrongly classified within Tethya, Craniella, or Tetilla. The main differences of Antarctotetilla to other Tetillidae genera are the presence of pores grouped in small areas, and a poorly-defined cortex (pseudocortex). This study aims to re-describe in detail the species of Tetillidae that belong in the two above mentioned new genera, and to highlight that molecular phylogenies should be combined with morphological analyses to improve taxonomical decisions. We also describe a new Tetillidae species with a hair-like hispidation, which we name Antarctotetilla pilosa nov. sp. Furthermore, the types of Tethya coactifera and T. crassispicula (Lendenfeld, 1907) were reexamined because of some morphological similarities with Antarctotetilla. The minibarcode sequences (a small COI fragment) placed them within the Antarctic Glade harboring Antarctotetilla and Cinachyra, but did not resolve their genus position. A morphological revision, however, suggests placing T. coactifera in Antarctotetilla, while T. crassispicula, which owns porocalices and a spicule-reinforced cortex, appeared to belong in Cinachyra.</t>
  </si>
  <si>
    <t>[Carella, Mirco; Uriz, Maria J.] CSIC, CEAB, Acces Cala St Francesc 14, Blanes 17300, Girona, Spain</t>
  </si>
  <si>
    <t>Consejo Superior de Investigaciones Cientificas (CSIC); CSIC - Centre d'Estudis Avancats de Blanes (CEAB)</t>
  </si>
  <si>
    <t>Uriz, MJ (corresponding author), CSIC, CEAB, Acces Cala St Francesc 14, Blanes 17300, Girona, Spain.</t>
  </si>
  <si>
    <t>iosune@ceab.csic.es</t>
  </si>
  <si>
    <t>Uriz, Maria J./AGP-4595-2022</t>
  </si>
  <si>
    <t>Uriz, Maria J./0000-0002-8169-3173</t>
  </si>
  <si>
    <t>MarSymBiomics project (Spanish FECYT agency grant) [CTM2013-43286-P]; Benthic Ecology Consolidate Award (Generalitat of Catalonian) [214-SGR-120]; BluePharmTrain FP7 People-INT [607786]</t>
  </si>
  <si>
    <t>MarSymBiomics project (Spanish FECYT agency grant); Benthic Ecology Consolidate Award (Generalitat of Catalonian); BluePharmTrain FP7 People-INT</t>
  </si>
  <si>
    <t>We would like to thank R. Knust (Alfred-Wegener-Institut, AWI; Germany) and J.M. Gili (Instituto de Ciencias Del Mar de Barcelona, ICM; Spain) for the invitation to take part of the XXVII Polarstern cruise funded by the AWI to MJU; T. Lundalv (University of Gothenburg, Sweden) guided the ROV, and took sponge samples; E. Isla, S. Rossi (ICM), A. Wolf, J. Gut, D. Gerde, and C. Richter (AWI) helped in sampling and facilitated on board work; D. Janussen (Senckenberg Research Institute and Nature Museum, Frankfurt amMain, Germany) was in charge of the Agasiz (AGT) and bottom trawl (BT) gears. We would thank Noemie Vasset and Isabelle Domart-Coulon (Departement Milieux et Peuplements Aquatiques, unite BOrEA, MNHN, Paris, France), Jean Vacelet (Station Marine d'Endoume, Marseille, France), Lauren Hughes Tom White (Natural History Museum, NHM, London, United Kingdom) and Carsten Luter (Humboldt University of Berlin, Germany) for the specimens got on loan. We acknowledge the help of Elena Gerasimova (University of Bergen, Norway) for making some of the thick sections used in this study and Paco Cardenas (Uppsala University, Sweden) for giving us informations concerning the use of minibarcodes secuences. We also thank Yaniv Aluma (Tel Aviv University, Israel), Nuria Burgos (Centre D'Estudis Avancat de Blanes, Spain) for the pictures provided. A special thanks to Ana Riesgo Gil (Natural History Museum, NHM, London, United Kingdom) for helping us to obtain some additional pictures of the species type. The study has been partially funded by MarSymBiomics project (Spanish FECYT agency grant ref. CTM2013-43286-P), Benthic Ecology Consolidate Award (Generalitat of Catalonian ref. 214-SGR-120), and BluePharmTrain FP7 People-INT no: 607786.</t>
  </si>
  <si>
    <t>AUG 2</t>
  </si>
  <si>
    <t>10.11646/zootaxa.4455.2.3</t>
  </si>
  <si>
    <t>GQ0UC</t>
  </si>
  <si>
    <t>WOS:000441334000003</t>
  </si>
  <si>
    <t>Dearborn, KD; Danby, RK</t>
  </si>
  <si>
    <t>Dearborn, Katherine D.; Danby, Ryan K.</t>
  </si>
  <si>
    <t>Topographic influences on ring widths of trees and shrubs across alpine treelines in southwest Yukon</t>
  </si>
  <si>
    <t>Dendroclimatology; shrub ring width analysis; forest-tundra ecotone</t>
  </si>
  <si>
    <t>ARCTIC TUNDRA; CLIMATE SENSITIVITY; RADIAL GROWTH; RESPONSES; FOREST; EXPANSION; ELEVATION; ABUNDANCE; CONIFERS; TRENDS</t>
  </si>
  <si>
    <t>Growth responses of trees and shrubs to climate often exhibit unexplained variation in alpine regions, making it difficult to predict how they will respond to future changes in climate. We sought to characterize and explain this variability in southwest Yukon, a topographically complex region of subarctic Canada. We collected cores and sections from 360 spruce trees and 480 willow shrubs across treelines on north and south aspects in six valleys spanning two mountain ranges. We compared growth rates, growth patterns, and climate-growth responses between species and topographic factors. South aspects had wider tree rings and higher tree and shrub interseries correlations than north aspects, likely because of shallow active layers on the latter. Growth patterns and responses to climate did not vary between aspects or elevations but differed slightly between mountain ranges, likely because of differences in spring soil moisture content between ranges. Growth responses of both species to summer temperature were positive, but tree growth was negatively correlated to spring temperature and shrub growth was negatively correlated to summer precipitation, both of which are projected to increase along with summer temperature. Future changes in climate could therefore reduce the growth of one or both species in southwest Yukon.</t>
  </si>
  <si>
    <t>[Dearborn, Katherine D.; Danby, Ryan K.] Queens Univ, Dept Geog &amp; Planning, Mackintosh Corry Hall,68 Univ Ave, Kingston, ON K7L 3N9, Canada</t>
  </si>
  <si>
    <t>Queens University - Canada</t>
  </si>
  <si>
    <t>Dearborn, KD (corresponding author), Queens Univ, Dept Geog &amp; Planning, Mackintosh Corry Hall,68 Univ Ave, Kingston, ON K7L 3N9, Canada.</t>
  </si>
  <si>
    <t>katherined88@gmail.com</t>
  </si>
  <si>
    <t>Dearborn, Katherine/I-8178-2019</t>
  </si>
  <si>
    <t>Dearborn, Katherine/0000-0002-4850-7690; Danby, Ryan/0000-0002-8295-3790</t>
  </si>
  <si>
    <t>Natural Sciences and Engineering Research Council of Canada [371427-09]</t>
  </si>
  <si>
    <t>Natural Sciences and Engineering Research Council of Canada(Natural Sciences and Engineering Research Council of Canada (NSERC)CGIAR)</t>
  </si>
  <si>
    <t>This work was supported by the Natural Sciences and Engineering Research Council of Canada (371427-09).</t>
  </si>
  <si>
    <t>e1495445</t>
  </si>
  <si>
    <t>10.1080/15230430.2018.1495445</t>
  </si>
  <si>
    <t>GP1DX</t>
  </si>
  <si>
    <t>WOS:000440555300001</t>
  </si>
  <si>
    <t>Brigham, LM; Esch, EH; Kopp, CW; Cleland, EE</t>
  </si>
  <si>
    <t>Brigham, Laurel M.; Esch, Ellen H.; Kopp, Christopher W.; Cleland, Elsa E.</t>
  </si>
  <si>
    <t>Warming and shrub encroachment decrease decomposition in arid alpine and subalpine ecosystems</t>
  </si>
  <si>
    <t>Artemisia rothrockii; climate change; passive warming; sagebrush; Trifolium andersonii; White Mountains</t>
  </si>
  <si>
    <t>PLANT LITTER DECOMPOSITION; ARCTIC TUNDRA; MICROBIAL ACTIVITY; SNOW; RESPONSES; CLIMATE; EXCHANGE; WINTER; RATES; COLD</t>
  </si>
  <si>
    <t>Climate change is shifting species distributions and altering plant community composition worldwide. For instance, with rising temperatures shrubs are encroaching into alpine ecosystems, resulting in important implications for ecosystem functioning. In particular, woody-plant encroachment could slow decomposition in systems traditionally dominated by herbaceous species. To evaluate how litter decomposition responded jointly to warming and shrub presence, we conducted a passive warming chamber experiment in subalpine and alpine plant communities in the White Mountains of California. Passive warming chambers were placed over plots with and without the range-expanding sagebrush Artemisia rothrockii at two elevations. Litter from A. rothrockii and the common perennial herb Trifolium andersonii decomposed for two years under the experimental treatments. Nitrate availability was measured with ion-exchange resins during the same time period. Warming decreased decomposition rates overall, associated with decreased soil moisture, but did not influence soil nitrate availability. Sagebrush presence decreased both decomposition rates and nitrate availability. Hence, future warming in this system will likely reduce decomposition rates, both directly and indirectly, via shrub encroachment. However, impacts on nutrient mineralization are less clear. These findings highlight how shifting species composition, through processes such as range expansions, can influence ecosystem responses to climate change.</t>
  </si>
  <si>
    <t>[Brigham, Laurel M.; Esch, Ellen H.; Cleland, Elsa E.] Univ Calif San Diego, Div Biol Sci, Ecol Behav &amp; Evolut Sect, La Jolla, CA 92093 USA; [Kopp, Christopher W.] Univ British Columbia, Biodivers Res Ctr, Dept Bot, Vancouver, BC, Canada</t>
  </si>
  <si>
    <t>University of California System; University of California San Diego; University of British Columbia</t>
  </si>
  <si>
    <t>Brigham, LM (corresponding author), Univ Calif San Diego, 9500 Gilman Dr,0116, La Jolla, CA 92093 USA.</t>
  </si>
  <si>
    <t>laurel.brigham@colorado.edu</t>
  </si>
  <si>
    <t>Brigham, Laurel/0000-0001-5592-9165; Esch, Ellen/0000-0002-4253-0910</t>
  </si>
  <si>
    <t>National Science Foundation Graduate Research Fellowship [DGE-1144086]; White Mountain Research Center Minigrant; Mary DeDecker Botanical grant; University of Colorado Boulder Libraries Open Access Fund</t>
  </si>
  <si>
    <t>National Science Foundation Graduate Research Fellowship(National Science Foundation (NSF)); White Mountain Research Center Minigrant; Mary DeDecker Botanical grant; University of Colorado Boulder Libraries Open Access Fund</t>
  </si>
  <si>
    <t>This work was performed at the University of California Natural Reserve System's White Mountain Research Station, and we are grateful for the research infrastructure provided by the station managers. We thank Elizabeth Premo and the Fall 2015 undergraduate Ecology Lab (BIEB 121) students at the University of California, San Diego, who assisted in processing samples from this experiment. The comments of several anonymous reviewers greatly improved the manuscript. This material is based on work supported by the National Science Foundation Graduate Research Fellowship under Grant No. (DGE-1144086), a White Mountain Research Center Minigrant, and a Mary DeDecker Botanical grant (CNPS Bristlecone Chapter). Publication of this chapter was funded by the University of Colorado Boulder Libraries Open Access Fund. Any opinions, findings, and conclusions or recommendations expressed in this material are those of the authors and do not necessarily reflect the views of the National Science Foundation.</t>
  </si>
  <si>
    <t>e1494941</t>
  </si>
  <si>
    <t>10.1080/15230430.2018.1494941</t>
  </si>
  <si>
    <t>GP1DW</t>
  </si>
  <si>
    <t>WOS:000440555100001</t>
  </si>
  <si>
    <t>Stuart-Smith, RD; Brown, CJ; Ceccarelli, DM; Edgar, GJ</t>
  </si>
  <si>
    <t>Stuart-Smith, Rick D.; Brown, Christopher J.; Ceccarelli, Daniela M.; Edgar, Graham J.</t>
  </si>
  <si>
    <t>Ecosystem restructuring along the Great Barrier Reef following mass coral bleaching</t>
  </si>
  <si>
    <t>MARINE PROTECTED AREAS; CLIMATE-CHANGE; FISH; CONSERVATION; COMMUNITIES; DYNAMICS; PATTERNS; IMPACT; EVENT</t>
  </si>
  <si>
    <t>Global warming is markedly changing diverse coral reef ecosystems through an increasing frequency and magnitude of mass bleaching events(1-3). How local impacts scale up across affected regions depends on numerous factors, including patchiness in coral mortality, metabolic effects of extreme temperatures on populations of reef-dwelling species(4) and interactions between taxa. Here we use data from before and after the 2016 mass bleaching event to evaluate ecological changes in corals, algae, fishes and mobile invertebrates at 186 sites along the full latitudinal span of the Great Barrier Reef and western Coral Sea. One year after the bleaching event, reductions in live coral cover of up to 51% were observed on surveyed reefs that experienced extreme temperatures; however, regional patterns of coral mortality were patchy. Consistent declines in coral-feeding fishes were evident at the most heavily affected reefs, whereas few other short-term responses of reef fishes and invertebrates could be attributed directly to changes in coral cover. Nevertheless, substantial region-wide ecological changes occurred that were mostly independent of coral loss, and instead appeared to be linked directly to sea temperatures. Community-wide trophic restructuring was evident, with weakening of strong pre-existing latitudinal gradients in the diversity of fishes, invertebrates and their functional groups. In particular, fishes that scrape algae from reef surfaces, which are considered to be important for recovery after bleaching(2), declined on northern reefs, whereas other herbivorous groups increased on southern reefs. The full impact of the 2016 bleaching event may not be realized until dead corals erode during the next decade(5,6) . However, our short-term observations suggest that the recovery processes, and the ultimate scale of impact, are affected by functional changes in communities, which in turn depend on the thermal affinities of local reef-associated fauna. Such changes will vary geographically, and may be particularly acute at locations where many fishes and invertebrates are close to their thermal distribution limits(7).</t>
  </si>
  <si>
    <t>[Stuart-Smith, Rick D.; Edgar, Graham J.] Univ Tasmania, Inst Marine &amp; Antarctic Studies, Hobart, Tas, Australia; [Brown, Christopher J.] Griffith Univ, Australian Rivers Inst, Nathan, Qld, Australia; [Ceccarelli, Daniela M.] James Cook Univ, ARC Ctr Excellence Coral Reef Studies, Townsville, Qld, Australia</t>
  </si>
  <si>
    <t>University of Tasmania; Griffith University; James Cook University</t>
  </si>
  <si>
    <t>Stuart-Smith, RD (corresponding author), Univ Tasmania, Inst Marine &amp; Antarctic Studies, Hobart, Tas, Australia.</t>
  </si>
  <si>
    <t>rstuarts@utas.edu.au</t>
  </si>
  <si>
    <t>Ceccarelli, Daniela/AAN-3577-2020; Edgar, Graham/AAY-3797-2020; Brown, Christopher J/G-4287-2011; Stuart-Smith, Rick D/M-1829-2013; Stuart-Smith, Rick/I-5214-2019; Ceccarelli, Daniela/AGO-7628-2022</t>
  </si>
  <si>
    <t>Edgar, Graham/0000-0003-0833-9001; Brown, Christopher J/0000-0002-7271-4091; Stuart-Smith, Rick D/0000-0002-8874-0083; Stuart-Smith, Rick/0000-0002-8874-0083;</t>
  </si>
  <si>
    <t>Commonwealth Environment Research Facilities Program; Marine Biodiversity Hub; Australian Government's National Environmental Science Programme (NESP); Australian Research Council; Ian Potter Foundation; Parks Australia; Australian Research Council [DE160101207]; Australian Research Council [DE160101207] Funding Source: Australian Research Council</t>
  </si>
  <si>
    <t>Commonwealth Environment Research Facilities Program; Marine Biodiversity Hub; Australian Government's National Environmental Science Programme (NESP)(Australian Government); Australian Research Council(Australian Research Council); Ian Potter Foundation; Parks Australia; Australian Research Council(Australian Research Council); Australian Research Council(Australian Research Council)</t>
  </si>
  <si>
    <t>We thank the Reef Life Survey (RLS) divers and boat skippers who assisted with field surveys, including D. and J. Shields, I. Donaldson and S. Griffiths, and A. Cooper, J. Berkhout and E. Clausius at the University of Tasmania for logistics and data management; J. Stuart-Smith, S. Baker, A. Bates and N. Barrett for further support in the development of RLS, fieldwork and concepts explored in the paper. Development of RLS was supported by the former Commonwealth Environment Research Facilities Program, and analyses were supported by the Marine Biodiversity Hub, a collaborative partnership supported through the Australian Government's National Environmental Science Programme (NESP), and by the Australian Research Council. Funding and support for the GBR and Coral Sea RLS field surveys was provided by The Ian Potter Foundation and Parks Australia. Permits were provided by Parks Australia and the Great Barrier Reef Marine Park Authority. C.J.B. was supported by a Discovery Early Career Researcher Award (DE160101207) from the Australian Research Council.</t>
  </si>
  <si>
    <t>10.1038/s41586-018-0359-9</t>
  </si>
  <si>
    <t>GP1DE</t>
  </si>
  <si>
    <t>WOS:000440552600050</t>
  </si>
  <si>
    <t>Lattuca, B; Yan, Y; Kerneis, M; Cuisset, T; Silvain, J; Range, G; Elhadad, S; Pouillot, C; Leclercq, F; Manzo-Silberman, S; Bellemain-Appaix, A; Vicaut, E; Cayla, G; Collet, JP; Montalescot, G</t>
  </si>
  <si>
    <t>Lattuca, B.; Yan, Y.; Kerneis, M.; Cuisset, T.; Silvain, J.; Range, G.; Elhadad, S.; Pouillot, C.; Leclercq, F.; Manzo-Silberman, S.; Bellemain-Appaix, A.; Vicaut, E.; Cayla, G.; Collet, J. P.; Montalescot, G.</t>
  </si>
  <si>
    <t>Platelet function monitoring for the prediction of clinical outcomes: a pooled analysis of the randomized ARCTIC and ANTARCTIC trials</t>
  </si>
  <si>
    <t>EUROPEAN HEART JOURNAL</t>
  </si>
  <si>
    <t>European-Society-of-Cardiology Congress</t>
  </si>
  <si>
    <t>AUG 25-29, 2018</t>
  </si>
  <si>
    <t>Munich, GERMANY</t>
  </si>
  <si>
    <t>[Lattuca, B.; Yan, Y.; Kerneis, M.; Silvain, J.; Collet, J. P.; Montalescot, G.] Hosp Pitie Salpetriere, Inst Cardiol, Paris, France; [Cuisset, T.] Hosp La Timone Marseille, Cardiol, Marseille, France; [Range, G.] Hosp Louis Pasteur Chartres, Cardiol, Chartres, France; [Elhadad, S.] Hosp Lagny Marne la Vallee, Cardiol, Jossigny, France; [Pouillot, C.] Clin St Clotilde, Cardiol, St Denis De La Reunion, France; [Leclercq, F.] Univ Hosp Arnaud de Villeneuve, Cardiol, Montpellier, France; [Manzo-Silberman, S.] Hosp Lariboisiere, Cardiol, Paris, France; [Bellemain-Appaix, A.] Hosp Juan les Pins, Cardiol, Antibes, France; [Vicaut, E.] Hosp Lariboisiere, Epidemiol &amp; Clin Res Unit, Paris, France; [Cayla, G.] Univ Hosp Nimes, Cardiol, Nimes, France</t>
  </si>
  <si>
    <t>Sorbonne Universite; Assistance Publique Hopitaux Paris (APHP); Hopital Universitaire Pitie-Salpetriere - APHP; Aix-Marseille Universite; Assistance Publique-Hopitaux de Marseille; Universite de Montpellier; CHU de Montpellier; Assistance Publique Hopitaux Paris (APHP); Universite Paris Cite; Hopital Universitaire Lariboisiere-Fernand-Widal - APHP; Assistance Publique Hopitaux Paris (APHP); Universite Paris Cite; Hopital Universitaire Lariboisiere-Fernand-Widal - APHP; Universite de Montpellier; CHU de Nimes</t>
  </si>
  <si>
    <t>Manzo-Silberman, Stéphane/ABB-9864-2021</t>
  </si>
  <si>
    <t>0195-668X</t>
  </si>
  <si>
    <t>1522-9645</t>
  </si>
  <si>
    <t>EUR HEART J</t>
  </si>
  <si>
    <t>Eur. Heart J.</t>
  </si>
  <si>
    <t>AUG</t>
  </si>
  <si>
    <t>P1722</t>
  </si>
  <si>
    <t>Cardiac &amp; Cardiovascular Systems</t>
  </si>
  <si>
    <t>Cardiovascular System &amp; Cardiology</t>
  </si>
  <si>
    <t>HM9RZ</t>
  </si>
  <si>
    <t>WOS:000459824001121</t>
  </si>
  <si>
    <t>Lattuca, B; Cayla, G; Silvain, J; Cuisset, T; Leclercq, F; Manzo-Silberman, S; Saint-Etienne, C; Delarche, N; El Mahmoud, R; Carrie, D; Souteyrand, G; Diallo, A; Collet, JP; Vicaut, E; Montalescot, G</t>
  </si>
  <si>
    <t>Lattuca, B.; Cayla, G.; Silvain, J.; Cuisset, T.; Leclercq, F.; Manzo-Silberman, S.; Saint-Etienne, C.; Delarche, N.; El Mahmoud, R.; Carrie, D.; Souteyrand, G.; Diallo, A.; Collet, J. P.; Vicaut, E.; Montalescot, G.</t>
  </si>
  <si>
    <t>ACTION Study Grp</t>
  </si>
  <si>
    <t>Impact and predictive factors of bleeding complications in elderly patients admitted for an acute coronary syndrome: insights from the ANTARCTIC trial</t>
  </si>
  <si>
    <t>Congress of the European-Society-of-Cardiology</t>
  </si>
  <si>
    <t>[Lattuca, B.; Silvain, J.; Collet, J. P.; Montalescot, G.] Hosp Pitie Salpetriere, Inst Cardiol, Paris, France; [Cayla, G.] Univ Hosp Nimes, Cardiol, Nimes, France; [Cuisset, T.] Hosp La Timone Marseille, Cardiol, Marseille, France; [Leclercq, F.] Hosp Reg Univ Montpellier, Montpellier, France; [Manzo-Silberman, S.] Hosp Lariboisiere, Cardiol, Paris, France; [Saint-Etienne, C.] Univ Hosp Tours, Cardiol, Tours, France; [Delarche, N.] Hosp Ctr Pau, Cardiol, Pau, France; [El Mahmoud, R.] Univ Hosp Ambroise Pare, Cardiol, Boulogne, France; [Carrie, D.] Univ Hosp Toulouse, Cardiol, Toulouse, France; [Souteyrand, G.] Univ Hosp Gabriel Montpied, Cardiol, Clermont Ferrand, France; [Diallo, A.; Vicaut, E.] Hosp Lariboisiere, Epidemiol &amp; Clin Res Unit, Paris, France</t>
  </si>
  <si>
    <t>Sorbonne Universite; Assistance Publique Hopitaux Paris (APHP); Hopital Universitaire Pitie-Salpetriere - APHP; Universite de Montpellier; CHU de Nimes; Aix-Marseille Universite; Assistance Publique-Hopitaux de Marseille; Universite de Montpellier; Assistance Publique Hopitaux Paris (APHP); Universite Paris Cite; Hopital Universitaire Lariboisiere-Fernand-Widal - APHP; CHU Tours; Assistance Publique Hopitaux Paris (APHP); Hopital Universitaire Ambroise-Pare - APHP; CHU de Toulouse; CHU Clermont Ferrand; Assistance Publique Hopitaux Paris (APHP); Universite Paris Cite; Hopital Universitaire Lariboisiere-Fernand-Widal - APHP</t>
  </si>
  <si>
    <t>P2245</t>
  </si>
  <si>
    <t>WOS:000459824001395</t>
  </si>
  <si>
    <t>Cayla, G; Cuisset, T; Lattuca, B; Silvain, J; Leclercq, F; Silberman, SM; Pouillot, C; Carrie, D; Beygui, F; Vicaut, E; Range, G; Henry, P; Van Belle, E; Collet, JP; Montalescot, G</t>
  </si>
  <si>
    <t>Cayla, G.; Cuisset, T.; Lattuca, B.; Silvain, J.; Leclercq, F.; Silberman, S. Manzo; Pouillot, C.; Carrie, D.; Beygui, F.; Vicaut, E.; Range, G.; Henry, P.; Van Belle, E.; Collet, J. P.; Montalescot, G.</t>
  </si>
  <si>
    <t>De-escalation versus escalation of antiplatelet therapy in elderly ACS patients: insight from the ANTARCTIC trial</t>
  </si>
  <si>
    <t>[Cayla, G.] CHU Nimes, ACT Study Grp, Cardiol, Nimes, France; [Cuisset, T.] Hop La Timone, AP HM, Marseille, France; [Lattuca, B.] Univ Hosp Nimes, Cardiol, Nimes, France; [Silvain, J.; Collet, J. P.; Montalescot, G.] Hosp Pitie Salpetriere, AP HP, ACT Study Grp, Cardiol, Paris, France; [Leclercq, F.] Univ Hosp Arnaud de Villeneuve, Cardiol, Montpellier, France; [Silberman, S. Manzo; Henry, P.] Hosp Lariboisiere, Cardiol, Paris, France; [Pouillot, C.] Clin St Clotilde, Cardiol, St Clotilde, Reunion, France; [Carrie, D.] Univ Hosp Toulouse, Cardiol, Toulouse, France; [Beygui, F.] Univ Hosp Caen, Cardiol, Caen, France; [Vicaut, E.] Hosp Lariboisiere, Rech Clin, Paris, France; [Range, G.] Hosp Louis Pasteur Chartres, Cardiol, Chartres, France; [Van Belle, E.] Hosp Reg Univ Lille, Cardiol Hosp, Lille, France</t>
  </si>
  <si>
    <t>Universite de Montpellier; CHU de Nimes; Aix-Marseille Universite; Assistance Publique-Hopitaux de Marseille; Universite de Montpellier; CHU de Nimes; Sorbonne Universite; Assistance Publique Hopitaux Paris (APHP); Hopital Universitaire Pitie-Salpetriere - APHP; Universite de Montpellier; CHU de Montpellier; Assistance Publique Hopitaux Paris (APHP); Universite Paris Cite; Hopital Universitaire Lariboisiere-Fernand-Widal - APHP; CHU de Toulouse; CHU de Caen NORMANDIE; Universite de Caen Normandie; Assistance Publique Hopitaux Paris (APHP); Universite Paris Cite; Hopital Universitaire Lariboisiere-Fernand-Widal - APHP; Universite de Lille; CHU Lille</t>
  </si>
  <si>
    <t>Eli Lilly; Daiichi Sankyo; Accriva Diagnostics; Medtronic; Fondation Coeur et Recherche; Stentys</t>
  </si>
  <si>
    <t>Eli Lilly(Eli Lilly); Daiichi Sankyo(Daiichi Sankyo Company Limited); Accriva Diagnostics; Medtronic(Medtronic); Fondation Coeur et Recherche; Stentys</t>
  </si>
  <si>
    <t>Eli Lilly, Daiichi Sankyo, Stentys, Accriva Diagnostics, Medtronic, Fondation Coeur et Recherche</t>
  </si>
  <si>
    <t>WOS:000459824003890</t>
  </si>
  <si>
    <t>Lattuca, B; Cayla, G; Cuisset, T; Silvain, J; Bellemain-Appaix, A; Beygui, F; Varenne, O; Sabouret, P; Boueri, Z; Motreff, P; Bonnet, JL; Diallo, A; Collet, JP; Vicaut, E; Montalescot, G</t>
  </si>
  <si>
    <t>Lattuca, B.; Cayla, G.; Cuisset, T.; Silvain, J.; Bellemain-Appaix, A.; Beygui, F.; Varenne, O.; Sabouret, P.; Boueri, Z.; Motreff, P.; Bonnet, J. L.; Diallo, A.; Collet, J. P.; Vicaut, E.; Montalescot, G.</t>
  </si>
  <si>
    <t>Platelet function testing predicts bleeding complications in elderly patients admitted for an acute coronary syndrome: insights from the ANTARCTIC trial</t>
  </si>
  <si>
    <t>[Lattuca, B.; Silvain, J.; Sabouret, P.; Collet, J. P.; Montalescot, G.] Hosp Pitie Salpetriere, Inst Cardiol, Paris, France; [Cayla, G.] Univ Hosp Nimes, Cardiol, Nimes, France; [Cuisset, T.; Bonnet, J. L.] Hosp La Timone Marseille, Cardiol, Marseille, France; [Bellemain-Appaix, A.] Hosp Juan Ies Pins, Cardiol, Antibes, France; [Beygui, F.] Hosp Cote Nacre, Cardiol, Caen, France; [Varenne, O.] Hosp Cochin, Cardiol, Paris, France; [Boueri, Z.] Hosp Bastia, Cardiol, Bastia, France; [Motreff, P.] Univ Hosp Gabriel Montpied, Cardiol, Clermont Ferrand, France; [Diallo, A.; Vicaut, E.] Hosp Lariboisiere, Epidemiol &amp; Clin Res Unit, Paris, France</t>
  </si>
  <si>
    <t>Assistance Publique Hopitaux Paris (APHP); Hopital Universitaire Pitie-Salpetriere - APHP; Sorbonne Universite; Universite de Montpellier; CHU de Nimes; Aix-Marseille Universite; Assistance Publique-Hopitaux de Marseille; CHU de Caen NORMANDIE; Assistance Publique Hopitaux Paris (APHP); Universite Paris Cite; Hopital Universitaire Cochin - APHP; CHU Clermont Ferrand; Assistance Publique Hopitaux Paris (APHP); Universite Paris Cite; Hopital Universitaire Lariboisiere-Fernand-Widal - APHP</t>
  </si>
  <si>
    <t>Sabouret, Pierre/AAE-3459-2020</t>
  </si>
  <si>
    <t>Sabouret, Pierre/0000-0002-0243-3673</t>
  </si>
  <si>
    <t>WOS:000459824003892</t>
  </si>
  <si>
    <t>Li, FJ; Janussen, D; Peifer, C; Pérez-Victoria, I; Tasdemir, D</t>
  </si>
  <si>
    <t>Li, Fengjie; Janussen, Dorte; Peifer, Christian; Perez-Victoria, Ignacio; Tasdemir, Deniz</t>
  </si>
  <si>
    <t>Targeted Isolation of Tsitsikammamines from the Antarctic Deep-Sea Sponge Latrunculia biformis by Molecular Networking and Anticancer Activity</t>
  </si>
  <si>
    <t>Antarctica; deep-sea; marine sponge; Latrunculia; molecular networking; molecular docking; tsitsikammamine</t>
  </si>
  <si>
    <t>PYRROLOIMINOQUINONE ALKALOIDS; DISCORHABDIN ALKALOIDS; MARINE SPONGES; CYTOTOXIC PYRROLOIMINOQUINONES; NATURAL-PRODUCTS; DEMOSPONGIAE; PORIFERA; DIVERSITY; DISCOVERY; ECOLOGY</t>
  </si>
  <si>
    <t>The Antarctic deep-sea sponge Latrunculia (Latrunculia) biformis Kirkpatrick, 1908 (Class Demospongiae Sollas, Order Poecilosclerida Topsent, Latrunculiidae Topsent) was selected for chemical analyses due to its potent anticancer activity. Metabolomic analysis of its crude extract by HRMS/MS-based molecular networking showed the presence of several clusters of pyrroloiminoquinone alkaloids, i.e., discorhabdin and epinardin-type brominated pyridopyrroloquinolines and tsitsikammamines, the non-brominated bis-pyrroloiminoquinones. Molecular networking approach combined with a bioactivity-guided isolation led to the targeted isolation of the known pyrroloiminoquinone tsitsikammamine A (1) and its new analog 16,17-dehydrotsitsikammamine A (2). The chemical structures of the compounds 1 and 2 were elucidated by spectroscopic analysis (one-dimensional (1D) and two-dimensional (2D) NMR, HR-ESIMS). Due to minute amounts, molecular modeling and docking was used to assess potential affinities to potential targets of the isolated compounds, including DNA intercalation, topoisomerase I-II, and indoleamine 2,3-dioxygenase enzymes. Tsitsikammamines represent a small class of pyrroloiminoquinone alkaloids that have only previously been reported from the South African sponge genus Tsitsikamma Samaai &amp; Kelly and an Australian species of the sponge genus Zyzzya de Laubenfels. This is the first report of tsitsikammamines from the genus Latrunculia du Bocage and the successful application of molecular networking in the identification of comprehensive chemical inventory of L. biformis followed by targeted isolation of new molecules. This study highlights the high productivity of secondary metabolites of Latrunculia sponges and may shed new light on their biosynthetic origin and chemotaxonomy.</t>
  </si>
  <si>
    <t>[Li, Fengjie; Tasdemir, Deniz] GEOMAR Helmholtz Ctr Ocean Res Kiel, GEOMAR Ctr Marine Biotechnol GEOMAR Biotech, Res Unit Marine Nat Prod Chem, Kiel Kanal 44, D-24106 Kiel, Germany; [Janussen, Dorte] Senckenberg Res Inst, Senckenberganlage 25, D-60325 Frankfurt, Germany; [Janussen, Dorte] Nat Hist Museum, Senckenberganlage 25, D-60325 Frankfurt, Germany; [Peifer, Christian] Univ Kiel, Pharmaceut Chem, Gutenbergstr 76, D-24118 Kiel, Germany; [Perez-Victoria, Ignacio] Fdn MEDINA, Parque Tecnol Salud,Ave Conocimiento, Granada 18016, Spain; [Tasdemir, Deniz] Univ Kiel, Fac Math &amp; Nat Sci, Christian Albrechts Pl 4, D-24118 Kiel, Germany</t>
  </si>
  <si>
    <t>Helmholtz Association; GEOMAR Helmholtz Center for Ocean Research Kiel; Senckenberg Gesellschaft fur Naturforschung (SGN); University of Kiel; University of Kiel</t>
  </si>
  <si>
    <t>Tasdemir, D (corresponding author), GEOMAR Helmholtz Ctr Ocean Res Kiel, GEOMAR Ctr Marine Biotechnol GEOMAR Biotech, Res Unit Marine Nat Prod Chem, Kiel Kanal 44, D-24106 Kiel, Germany.;Tasdemir, D (corresponding author), Univ Kiel, Fac Math &amp; Nat Sci, Christian Albrechts Pl 4, D-24118 Kiel, Germany.</t>
  </si>
  <si>
    <t>fli@geomar.de; dorte.janussen@senckenberg.de; cpeifer@pharmazie.uni-kiel.de; ignacio.perez-victoria@medinaandalucia.es; dtasdemir@geomar.de</t>
  </si>
  <si>
    <t>; Perez-Victoria, Ignacio/I-1559-2015</t>
  </si>
  <si>
    <t>li, Fengjie/0000-0001-7825-7509; Perez-Victoria, Ignacio/0000-0002-4556-688X</t>
  </si>
  <si>
    <t>China Scholarship Council; Deutsche Forschungsgemeinschaft (DFG) [JA 1063/17-1]; Land Schleswig-Holstein within the funding programme Open Access Publikationsfonds</t>
  </si>
  <si>
    <t>China Scholarship Council(China Scholarship Council); Deutsche Forschungsgemeinschaft (DFG)(German Research Foundation (DFG)); Land Schleswig-Holstein within the funding programme Open Access Publikationsfonds</t>
  </si>
  <si>
    <t>Fengjie Li thanks the China Scholarship Council for a Ph.D. fellowship. The Deutsche Forschungsgemeinschaft (DFG) is acknowledged by Dorte Janussen for financial support to her Antarctic sponge research (JA 1063/17-1). We thank Daniel Kersken for his dedicated effort in the collection and fixation of the sponge material during the PS96 expedition. Thanks are due also to the captain and crew of RV POLARSTERN. We are grateful to Arlette Wenzel-Storjohann for performing anticancer assays. Fengjie Li thanks Delphine Parrot and Giuseppina Chianese for helpful advises in molecular networking and compound purifications. We acknowledge financial support by Land Schleswig-Holstein within the funding programme Open Access Publikationsfonds.</t>
  </si>
  <si>
    <t>10.3390/md16080268</t>
  </si>
  <si>
    <t>HI8WP</t>
  </si>
  <si>
    <t>WOS:000456736900020</t>
  </si>
  <si>
    <t>Zhang, PP; Li, J; Yu, LY; Wei, JF; Xu, T; Sun, GJ</t>
  </si>
  <si>
    <t>Zhang Pingping; Li Jiang; Yu Leiye; Wei Jingfang; Xu Tong; Sun Guojie</t>
  </si>
  <si>
    <t>Transcriptomic analysis reveals the effect of the exopolysaccharide of Psychrobacter sp B-3 on gene expression in RAW264.7 macrophage cells</t>
  </si>
  <si>
    <t>ACTA OCEANOLOGICA SINICA</t>
  </si>
  <si>
    <t>Psychrobacter sp B-3; B-3 exopolysaccharide; RAW264.7 macrophage; differentially expressed genes; immunological pathway; metabolic pathway</t>
  </si>
  <si>
    <t>POLYSACCHARIDES; ANTITUMOR</t>
  </si>
  <si>
    <t>B-3 exopolysaccharide is extracted from the Antarctic psychrophilic bacterium Psychrobacter sp. B-3. We have previously shown that it activates macrophages and affects their immunoregulatory activities. To determine what genes are affected during this process, we detected the genes differentially expressed in cells of RAW264.7 macrophages treated with B-3 exopolysaccharide by transcriptomic analysis. B-3 exopolysaccharide treatment caused differential expression of 420 genes, of which 178 were up-regulated and 242 were down-regulated. These genes were shown to be involved in many aspects of cell function, mainly metabolism and immunity. Genes were enriched in multiple immune-related pathways, and the most significantly enriched genes were involved in antigen processing and presentation pathways. The pathway in which differentially expressed genes were the most significantly enriched was the metabolic pathway; specifically, the expression of many metabolic enzyme genes was altered by B-3 exopolysaccharide treatment. Additionally, the genes involved in metabolisms of amino acids, carbohydrates, lipids and nucleotides, varied to certain degrees. B-3 exopolysaccharide, therefore, appears to directly affect the immune function of RAW264.7 macrophages as an immunostimulant, or to indirectly change intracellular metabolism. This is the first study to determine the effect of an Antarctic psychrophilic bacterial exopolysaccharide on RAW264.7 macrophages. Our findings provide an important reference for research into the regulation of macrophage immune function by different polysaccharides.</t>
  </si>
  <si>
    <t>[Zhang Pingping; Wei Jingfang; Xu Tong; Sun Guojie] Hebei Univ Sci &amp; Technol, Coll Biol Sci &amp; Engn, Shijiazhuang 050018, Hebei, Peoples R China; [Li Jiang] State Ocean Adm, Inst Oceanog 1, Key Lab Marine Bioact Subst, Qingdao 266061, Peoples R China; [Yu Leiye] Chinese Acad Sci, Inst Biophys, Beijing 100101, Peoples R China; [Yu Leiye] Univ Chinese Acad Sci, Beijing 100049, Peoples R China</t>
  </si>
  <si>
    <t>Hebei University of Science &amp; Technology; First Institute of Oceanography, Ministry of Natural Resources; Chinese Academy of Sciences; Institute of Biophysics, CAS; Chinese Academy of Sciences; University of Chinese Academy of Sciences, CAS</t>
  </si>
  <si>
    <t>Sun, GJ (corresponding author), Hebei Univ Sci &amp; Technol, Coll Biol Sci &amp; Engn, Shijiazhuang 050018, Hebei, Peoples R China.;Li, J (corresponding author), State Ocean Adm, Inst Oceanog 1, Key Lab Marine Bioact Subst, Qingdao 266061, Peoples R China.</t>
  </si>
  <si>
    <t>lijiang@fio.org.cn; sunguojie1975@126.com</t>
  </si>
  <si>
    <t>, lijiang/AAD-4033-2021</t>
  </si>
  <si>
    <t>Important National Science &amp; Technology Specific Projects [2011ZX8001-003]; National Natural Science Fundation of China [40706053]; Chinese Polar Environment Comprehensive Investigation &amp; Assessment Programs [CHINARE2017-01-05]</t>
  </si>
  <si>
    <t>Important National Science &amp; Technology Specific Projects; National Natural Science Fundation of China(National Natural Science Foundation of China (NSFC)); Chinese Polar Environment Comprehensive Investigation &amp; Assessment Programs</t>
  </si>
  <si>
    <t>Foundation item: The Important National Science &amp; Technology Specific Projects under contract No. 2011ZX8001-003; the National Natural Science Fundation of China under contract No. 40706053; Chinese Polar Environment Comprehensive Investigation &amp; Assessment Programs under contract No. CHINARE2017-01-05.</t>
  </si>
  <si>
    <t>0253-505X</t>
  </si>
  <si>
    <t>1869-1099</t>
  </si>
  <si>
    <t>ACTA OCEANOL SIN</t>
  </si>
  <si>
    <t>Acta Oceanol. Sin.</t>
  </si>
  <si>
    <t>10.1007/s13131-018-1227-z</t>
  </si>
  <si>
    <t>GP9LS</t>
  </si>
  <si>
    <t>WOS:000441239100007</t>
  </si>
  <si>
    <t>Schünemann, AL; Almeida, PHA; Thomazini, A; Fernandes, EL; Francelino, MR; Schaefer, CEGR; Pereira, AB</t>
  </si>
  <si>
    <t>Schunemann, Adriano L.; Almeida, Pedro Henrique A.; Thomazini, Andre; Fernandes Filho, Elpidio L.; Francelino, Marcio R.; Schaefer, Carlos E. G. R.; Pereira, Antonio Batista</t>
  </si>
  <si>
    <t>High-resolution topography for Digital Terrain Model (DTM) in Keller Peninsula, Maritime Antarctica</t>
  </si>
  <si>
    <t>ANAIS DA ACADEMIA BRASILEIRA DE CIENCIAS</t>
  </si>
  <si>
    <t>terrestrial laser scanner; remote sensing; geomorphology; Antarctic</t>
  </si>
  <si>
    <t>High resolution topography (HRT) surveys is an important tool to model landscapes, especially in zones subjected to strong environmental changes, such as Antarctica, where landform is highly influenced by cryoclasty and permafrost melting. The aim of this work was to obtain a high accurate DTM for Keller Peninsula, Maritime Antarctica. The survey study was assessed in the 2014/2015 and 2015/2016 during the austral summer, by using Terrestrial Laser Scanner (TLS). In order to cover 8 km 2 of the Peninsula, the TLS equipment was installed in 81 different points. Results of the DTM generated by TLS (hereafter, HRT-DTM), and the terrain variables Aspect,. Slope and Hillshade obtained were compared with previous models generated by aerophotographic survey (hereafter, APG-DTM). RMSE for the HRT and APG-DTM were 0.726 and 2.397 m, respectively. Spatial resolution of the DTMs was 0.20 m. Morphometric variables obtained from the two methods presented visual differences on the thematic maps, especially related to the Aspect. Generalization was the main process, whereas interpolation occurred for the HRT survey, being the process of choice for the APG method. A large number of points are obtained by the Us, providing a dense cloud of points, spatially well-distributed, enabling the generalization process to obtain surface models with high performance.</t>
  </si>
  <si>
    <t>[Schunemann, Adriano L.; Pereira, Antonio Batista] Univ Fed Pampa, UNIPAMPA, Ave Antonio Trilha 1847, BR-97300000 Sao Gabriel, RS, Brazil; [Almeida, Pedro Henrique A.; Fernandes Filho, Elpidio L.; Francelino, Marcio R.; Schaefer, Carlos E. G. R.] Univ Fed Vicosa, Ave Peter Henry Rolfs S-N,Campus Univ, BR-36570900 Vicosa, MG, Brazil; [Thomazini, Andre] Univ Fed Sao Joao Del Rei, UFSJ, Dept Ciencias Agr, DCIAG, Rua Setimo Morcira Martins 188,Caixa Postal 56, BR-35702031 Sete Lagoas, MG, Brazil</t>
  </si>
  <si>
    <t>Universidade Federal do Pampa; Universidade Federal de Vicosa; Universidade Federal de Sao Joao del-Rei</t>
  </si>
  <si>
    <t>Schünemann, AL (corresponding author), Univ Fed Pampa, UNIPAMPA, Ave Antonio Trilha 1847, BR-97300000 Sao Gabriel, RS, Brazil.</t>
  </si>
  <si>
    <t>als@unipampa.edu.br</t>
  </si>
  <si>
    <t>Schünemann, Adriano Luis/AAN-1224-2020; Pereira, Antonio/AAD-5703-2019; Filho, Elpidio I Fernandes/G-1560-2012; Pereira, Antonio B/I-8201-2014; Schaefer, Carlos Ernesto/AAY-4977-2020; Francelino, Marcio Rocha/AAS-4224-2020; Filho, Elpídio Inácio Fernandes/AAE-7315-2019</t>
  </si>
  <si>
    <t>Schünemann, Adriano Luis/0000-0001-7227-7074; Pereira, Antonio B/0000-0003-0368-4594; Francelino, Marcio Rocha/0000-0001-8837-1372; Filho, Elpídio Inácio Fernandes/0000-0002-9484-1411; Thomazini, Andre/0000-0001-5613-0494</t>
  </si>
  <si>
    <t>Conselho Nacional de Desenvolvimento Cientifico e Tecnologico (CNPq) [556794/2009-5]; Ministerio da Ciencia, Tecnologia e Inovacao (MCTI); Project Geoespaco, process CNPq/PROANTAR [556872/2009-6]; Universidade Federal do Pampa</t>
  </si>
  <si>
    <t>Conselho Nacional de Desenvolvimento Cientifico e Tecnologico (CNPq)(Conselho Nacional de Desenvolvimento Cientifico e Tecnologico (CNPQ)); Ministerio da Ciencia, Tecnologia e Inovacao (MCTI); Project Geoespaco, process CNPq/PROANTAR; Universidade Federal do Pampa</t>
  </si>
  <si>
    <t>We acknowledge Conselho Nacional de Desenvolvimento Cientifico e Tecnologico (CNPq) (556794/2009-5) and Ministerio da Ciencia, Tecnologia e Inovacao (MCTI) for granting financial support. This work is a contribution of INCT-Criosfera TERRANTAR group. Thanks for the Project Geoespaco (http://www.inpe.br/crs/pan/pesquisas/geoespaco.php), process CNPq/PROANTAR: 556872/2009-6, for the GNSS base data. We thank Universidade Federal do Pampa for support.</t>
  </si>
  <si>
    <t>ACAD BRASILEIRA DE CIENCIAS</t>
  </si>
  <si>
    <t>RIO JANEIRO</t>
  </si>
  <si>
    <t>RUA ANFILOFIO DE CARVALHO, 29, 3 ANDAR, 20030-060 RIO JANEIRO, BRAZIL</t>
  </si>
  <si>
    <t>0001-3765</t>
  </si>
  <si>
    <t>1678-2690</t>
  </si>
  <si>
    <t>AN ACAD BRAS CIENC</t>
  </si>
  <si>
    <t>An. Acad. Bras. Cienc.</t>
  </si>
  <si>
    <t>10.1590/0001-3765201820170296</t>
  </si>
  <si>
    <t>GQ9KZ</t>
  </si>
  <si>
    <t>WOS:000442096300008</t>
  </si>
  <si>
    <t>Saavedra, JM; Azócar, MA; Rodríguez, V; Ramírez-Sarmiento, CA; Andrews, BA; Asenjo, JA; Parra, LP</t>
  </si>
  <si>
    <t>Saavedra, Juan M.; Azocar, Mauricio A.; Rodriguez, Vida; Ramirez-Sarmiento, Cesar A.; Andrews, Barbara A.; Asenjo, Juan A.; Parra, Loreto P.</t>
  </si>
  <si>
    <t>Relevance of Local Flexibility Near the Active Site for Enzymatic Catalysis: Biochemical Characterization and Engineering of Cellulase Cel5A From Bacillus agaradherans</t>
  </si>
  <si>
    <t>BIOTECHNOLOGY JOURNAL</t>
  </si>
  <si>
    <t>cellulase; flexibility; molecular dynamics; protein engineering</t>
  </si>
  <si>
    <t>MOLECULAR-DYNAMICS; PSEUDOALTEROMONAS-HALOPLANKTIS; DIHYDROFOLATE-REDUCTASE; PSYCHROPHILIC CELLULASE; ANTARCTIC BACTERIUM; PROTEIN DYNAMICS; ENZYMES; RESOLUTION; STABILITY; ENDOGLUCANASE</t>
  </si>
  <si>
    <t>Detailed molecular mechanisms underpinning enzymatic reactions are still a central problem in biochemistry. The need for active site flexibility to sustain catalytic activity constitutes a notion of wide acceptance, although its direct influence remains to be fully understood. With the aim of studying the relationship between structural dynamics and enzyme catalysis, the cellulase Cel5A from Bacillus agaradherans is used as a model for in silico comparative analysis with mesophilic and psychrophilic counterparts. Structural features that determine flexibility are related to kinetic and thermodynamic parameters of catalysis. As a result, three specific positions in the vicinity of the active site of CeI5A are selected for protein engineering via site-directed mutagenesis. Three CeI5A variants are generated, N141 L, A137Y and 1102A/A137Y, showing a concomitant increase in the catalytic activity at low temperatures and a decrease in activation energy and activation enthalpy, similar to cold-active enzymes. These results are interpreted in structural terms by molecular dynamics simulations, showing that disrupting a hydrogen bond network in the vicinity of the active site increases local flexibility. These results provide a structural framework for explaining the changes in thermodynamic parameters observed between homologous enzymes with varying temperature adaptations.</t>
  </si>
  <si>
    <t>[Saavedra, Juan M.; Azocar, Mauricio A.; Rodriguez, Vida; Andrews, Barbara A.; Asenjo, Juan A.] Univ Chile, Ctr Biotechnol &amp; Bioengn CeBiB, Dept Chem Engn &amp; Biotechnol, Santiago, Chile; [Ramirez-Sarmiento, Cesar A.; Parra, Loreto P.] Pontificia Univ Catolica Chile, Sch Engn Med, Inst Biol &amp; Med Engn, Ave Vicua Mackenna 4860, Santiago 7820436, Chile; [Ramirez-Sarmiento, Cesar A.; Parra, Loreto P.] Pontificia Univ Catolica Chile, Sch Biol Sci, Inst Biol &amp; Med Engn, Ave Vicua Mackenna 4860, Santiago 7820436, Chile; [Parra, Loreto P.] Pontificia Univ Catolica Chile, Sch Engn, Dept Chem &amp; Bioproc Engn, Santiago, Chile</t>
  </si>
  <si>
    <t>Universidad de Chile; Pontificia Universidad Catolica de Chile; Pontificia Universidad Catolica de Chile; Pontificia Universidad Catolica de Chile</t>
  </si>
  <si>
    <t>Parra, LP (corresponding author), Pontificia Univ Catolica Chile, Sch Engn Med, Inst Biol &amp; Med Engn, Ave Vicua Mackenna 4860, Santiago 7820436, Chile.;Parra, LP (corresponding author), Pontificia Univ Catolica Chile, Sch Biol Sci, Inst Biol &amp; Med Engn, Ave Vicua Mackenna 4860, Santiago 7820436, Chile.;Parra, LP (corresponding author), Pontificia Univ Catolica Chile, Sch Engn, Dept Chem &amp; Bioproc Engn, Santiago, Chile.</t>
  </si>
  <si>
    <t>loreto.parra@uc.cl</t>
  </si>
  <si>
    <t>Parra, Loreto/D-2593-2014; Asenjo, Juan JAA/L-8336-2013; Saavedra, Matias/AAP-8996-2021</t>
  </si>
  <si>
    <t>CONICYT Basal Centre Grant for the Centre for Biotechnology and Bioengineering, CeBiB [FB0001]; National Laboratory for High Performance Computing, NLHPC [ECM-02]</t>
  </si>
  <si>
    <t>CONICYT Basal Centre Grant for the Centre for Biotechnology and Bioengineering, CeBiB; National Laboratory for High Performance Computing, NLHPC</t>
  </si>
  <si>
    <t>This work was supported by CONICYT Basal Centre Grant for the Centre for Biotechnology and Bioengineering, CeBiB (FB0001), and partially supported by the supercomputing infrastructure of the National Laboratory for High Performance Computing, NLHPC (ECM-02).</t>
  </si>
  <si>
    <t>WILEY-V C H VERLAG GMBH</t>
  </si>
  <si>
    <t>WEINHEIM</t>
  </si>
  <si>
    <t>POSTFACH 101161, 69451 WEINHEIM, GERMANY</t>
  </si>
  <si>
    <t>1860-6768</t>
  </si>
  <si>
    <t>1860-7314</t>
  </si>
  <si>
    <t>BIOTECHNOL J</t>
  </si>
  <si>
    <t>Biotechnol. J.</t>
  </si>
  <si>
    <t>10.1002/biot.201700669</t>
  </si>
  <si>
    <t>Biochemical Research Methods; Biotechnology &amp; Applied Microbiology</t>
  </si>
  <si>
    <t>Biochemistry &amp; Molecular Biology; Biotechnology &amp; Applied Microbiology</t>
  </si>
  <si>
    <t>GO7VS</t>
  </si>
  <si>
    <t>WOS:000440285600003</t>
  </si>
  <si>
    <t>Vinayachandran, PN; Matthews, AJ; Kumar, KV; Sanchez-Franks, A; Thushara, V; George, J; Vijith, V; Webber, BGM; Queste, BY; Roy, R; Sarkar, A; Baranowski, DB; Bhat, GS; Klingaman, NP; Peatman, SC; Parida, C; Heywood, KJ; Hall, R; King, B; Kent, EC; Nayak, AA; Neema, CP; Amol, P; Lotliker, A; Kankonkar, A; Gracias, DG; Vernekar, S; D'Souza, AC; Valluvan, G; Pargaonkar, SM; Dinesh, K; Giddings, J; Joshi, M</t>
  </si>
  <si>
    <t>Vinayachandran, P. N.; Matthews, Adrian J.; Kumar, K. Vijay; Sanchez-Franks, Alejandra; Thushara, V.; George, Jenson; Vijith, V.; Webber, Benjnjamin G. M.; Queste, Bastien Y.; Roy, Rajdeep; Sarkar, Amit; Baranowski, Dariusz B.; Bhat, G. S.; Klingaman, Nicholas P.; Peatman, Simon C.; Parida, C.; Heywood, Karen J.; Hall, Robert; King, Brian; Kent, Elizabeth C.; Nayak, Anoop A.; Neema, C. P.; Amol, P.; Lotliker, A.; Kankonkar, A.; Gracias, D. G.; Vernekar, S.; D'Souza, A. C.; Valluvan, G.; Pargaonkar, Shrikant M.; Dinesh, K.; Giddings, Jack; Joshi, Manoj</t>
  </si>
  <si>
    <t>BoBBLE Ocean-Atmosphere Interaction and Its Impact on the South Asian Monsoon</t>
  </si>
  <si>
    <t>SUMMER MONSOON; SRI-LANKA; BAY; BENGAL; CURRENTS; SEA; WATER; VARIABILITY; TURBULENCE; FLUXES</t>
  </si>
  <si>
    <t>[Vinayachandran, P. N.; Thushara, V.; George, Jenson; Vijith, V.; Bhat, G. S.; Nayak, Anoop A.; Neema, C. P.; Pargaonkar, Shrikant M.] Indian Inst Sci, Ctr Atmospher &amp; Ocean Sci, Bangalore, Karnataka, India; [Matthews, Adrian J.; Webber, Benjnjamin G. M.; Queste, Bastien Y.; Heywood, Karen J.; Hall, Robert; Giddings, Jack; Joshi, Manoj] Univ East Anglia, Ctr Ocean &amp; Atmospher Sci, Sch Environm Sci, Norwich, Norfolk, England; [Matthews, Adrian J.] Univ East Anglia, Sch Math, Norwich, Norfolk, England; [Kumar, K. Vijay; Kankonkar, A.; Gracias, D. G.; Vernekar, S.; D'Souza, A. C.] CSIR, Natl Inst Oceanog, Panaji, Goa, India; [Sanchez-Franks, Alejandra; King, Brian; Kent, Elizabeth C.] Natl Oceanog Ctr, Southampton, Hants, England; [Roy, Rajdeep] Indian Space Res Org, Natl Remote Sensing Ctr, Hyderabad, Telangana, India; [Sarkar, Amit] Natl Ctr Antarctic &amp; Ocean Res, Esso, Goa, India; [Baranowski, Dariusz B.] Univ Warsaw, Inst Geophys, Fac Phys, Warsaw, Poland; [Klingaman, Nicholas P.; Peatman, Simon C.] Univ Reading, Natl Ctr Atmospher Sci Climate, Reading, Berks, England; [Parida, C.] Berhampur Univ, Berhampur 760007, Odisha, India; [Amol, P.] CSIR, Natl Inst Oceanog, Visakhapatnam, Andhra Pradesh, India; [Lotliker, A.; Dinesh, K.] Indian Natl Ctr Ocean Informat Serv, Hyderabad, India; [Valluvan, G.] Natl Inst Ocean Technol, Madras, Tamil Nadu, India; [Vijith, V.] Cochin Univ Sci &amp; Technol, Sch Marine Sci, Kochi, India</t>
  </si>
  <si>
    <t>Indian Institute of Science (IISC) - Bangalore; University of East Anglia; University of East Anglia; Council of Scientific &amp; Industrial Research (CSIR) - India; CSIR - National Institute of Oceanography (NIO); NERC National Oceanography Centre; Department of Space (DoS), Government of India; Indian Space Research Organisation (ISRO); National Remote Sensing Centre (NRSC); Ministry of Earth Sciences (MoES) - India; National Centre for Polar and Ocean Research (NCPOR); Earth System Science Organization (ESSO); University of Warsaw; University of Reading; UK Research &amp; Innovation (UKRI); Natural Environment Research Council (NERC); NERC National Centre for Atmospheric Science; Berhampur University; Council of Scientific &amp; Industrial Research (CSIR) - India; CSIR - National Institute of Oceanography (NIO); Ministry of Earth Sciences (MoES) - India; Indian National Centre for Ocean Information Services (INCOIS); Ministry of Earth Sciences (MoES) - India; National Institute of Ocean Technology (NIOT); Cochin University Science &amp; Technology</t>
  </si>
  <si>
    <t>Vinayachandran, PN (corresponding author), Indian Inst Sci, Ctr Atmospher &amp; Ocean Sci, Bangalore, Karnataka, India.</t>
  </si>
  <si>
    <t>vinay@iisc.ac.in</t>
  </si>
  <si>
    <t>Roy, Rajdeep/G-7790-2011; Klingaman, Nicholas/H-4610-2012; Lotliker, Aneesh/AAP-7154-2021; Amol, Prakash/AAP-8131-2021; Keyes, Dennis/AAZ-9285-2021; Sanchez-Franks, Alejandra/AAR-3494-2021; Heywood, Karen J/L-1757-2016; George, Jenson/GXH-1342-2022; Kent, Elizabeth/C-1281-2011; Joshi, Manoj/C-1795-2008; V, Vijith/ABB-9499-2021; Peatman, Simon/C-8071-2012; Webber, Benjamin G M/J-7096-2015; Matthews, Adrian/A-6444-2011; Hall, Rob/C-8007-2012</t>
  </si>
  <si>
    <t>Klingaman, Nicholas/0000-0002-2927-9303; Lotliker, Aneesh/0000-0001-5467-173X; Amol, Prakash/0000-0002-6254-8587; Sanchez-Franks, Alejandra/0000-0002-4831-5461; Kent, Elizabeth/0000-0002-6209-4247; Joshi, Manoj/0000-0002-2948-2811; V, Vijith/0000-0002-5669-1264; Peatman, Simon/0000-0002-2511-7649; Matthews, Adrian/0000-0003-0492-1168; Baranowski, Dariusz/0000-0001-8848-3884; roy, rajdeep/0000-0001-5509-257X; Webber, Ben/0000-0002-8812-5929; Queste, Bastien/0000-0002-3786-2275; KING, Brian/0000-0003-1338-3234; Hall, Rob/0000-0002-3665-6322</t>
  </si>
  <si>
    <t>Ministry Sciences, government of India; NERC [NE/L010976/1]; NERC BoBBLE project [NE/L013835/1, NE/L013827/1, NE/L013800/1]; Ministry of Earth Sciences [MM/NERC-MoES-02/2014/002]; MoES-BoBBLE project; NERC-BoBBLE Project; NERC [NE/L010976/1, NE/L013800/1, NE/R015244/1, NE/L013835/1, ncas10003, NE/L013827/1] Funding Source: UKRI</t>
  </si>
  <si>
    <t>Ministry Sciences, government of India; NERC(UK Research &amp; Innovation (UKRI)Natural Environment Research Council (NERC)); NERC BoBBLE project; Ministry of Earth Sciences; MoES-BoBBLE project; NERC-BoBBLE Project; NERC(UK Research &amp; Innovation (UKRI)Natural Environment Research Council (NERC))</t>
  </si>
  <si>
    <t>BoBBLE is a joint MoES, India-NERC, U.K. program. The BoBBLE field program on board the R/V Sindhu Sadhana was funded by the Ministry Sciences, government of India, under its Monsoon Mission program administered by the Indian Institute of Tropical Meteorology, Pune. We are indebted to the CSIR National Institute of Oceanography, Goa, India, for providing the R/V Sindhu Sadhana for BoBBLE. We greatly appreciate the encouragement by Dr. M. Rajeevan, secretary of MoES, and Dr. S. S. C. Shenoi, director of INCOIS, and the support and cooperation of Dr. P. S. Rao (NIO) and the captain, officers, and crew of the R/V Sindhu Sadhana. We thank Dr. D. Shankar (NIO), Dr. R. Venkatesan (NIOT), Dr. Tata Sudhakar (NIOT), Dr. Anil Kumar (NCOAR), Dr. M. Ravichandran (INCOIS), and their team, for their support for the field program. ASCAT wind data were obtained from IFREMER (www.ifremer.fr/cersat/en/data/data.htm); NCEP data from NOAA (www.esrl.noaa.gov/psd/; Kalnay et al 1996); CERES downward longwave and shortwave radiation data from NASA (https://ceres.larc.nasa.gov); OSCAR data from NASA (https://podaac.jpl.nasa.gov/CitingPODAAC); AMSR-E products from Remote Sensing Systems (www.remss.com/missions/amsr); KALPANA OLR from the Indian Institute of Tropical Meteorology (www.tropmet.res.in); TRMM rainfall data from NASA (http://daac.gsfc.nasa.gov/precipitation); MSLA from Copernicus Marine and Environment Monitoring Service (CMEMS; http://marine.copernicus.eu/); gridded Argo data from the Global Data Assembly Centre (Argo GDAC); and SEANOE and ERA winds, fluxes, and meteorological parameters from ECMWF (www.ecmwf.int/en/research/climate-reanalysis/era-interim). The core Argo profiles were collected and made freely available by the international Argo program and the national programs that contribute to it (www.argo.ucsd.edu ,http://argo.jcommops.org). NPK was supported by NERC (NE/L010976/1). ASF, BGMW, and SCP were supported by the NERC BoBBLE project (NE/L013835/1, NE/L013827/1, NE/L013800/1). PNV was supported by the Ministry of Earth Sciences (MM/NERC-MoES-02/2014/002). Participation of all Indian scientists were supported by the MoES-BoBBLE project, and all others were supported by the NERC-BoBBLE Project. We thank three anonymous reviewers for their thoughtful and constructive comments on the manuscript.</t>
  </si>
  <si>
    <t>10.1175/BAMS-D-16-0230.1</t>
  </si>
  <si>
    <t>GT5PB</t>
  </si>
  <si>
    <t>WOS:000444560600007</t>
  </si>
  <si>
    <t>Borisanova, AO; Chernyshev, AV; Ekimova, IA</t>
  </si>
  <si>
    <t>Borisanova, Anastasia O.; Chernyshev, Alexei V.; Ekimova, Irina A.</t>
  </si>
  <si>
    <t>Deep-sea Entoprocta from the Sea of Okhotsk and the adjacent open Pacific abyssal area: New species and new taxa of host animals</t>
  </si>
  <si>
    <t>Biogeography; Biodiversity; Echinoidea; Kamptozoa; Loxosomatidae; Kuril Basin; Molecular phylogeny; Propeamussidae; Sea of Okhotsk; Symbiotic association</t>
  </si>
  <si>
    <t>KURIL-KAMCHATKA TRENCH; PHYLOGENETIC POSITION; RYUKYU ARCHIPELAGO; LOXOSOMELLA-VIVIPARA; ANTARCTIC ENTOPROCTA; LOXOSOMATIDAE; OKINAWA; ISLANDS; COAST</t>
  </si>
  <si>
    <t>The Entoprocta fauna still remains almost unexplored: many geographical areas have not yet been studied for their diversity, and almost nothing is known about deep-sea species. We described four new species of solitary Entoprocta from the family Loxosomatidae. The material was collected within a depth range between 3206 m and 3580 m during the German-Russian deep-sea expedition SokhoBio aboard R/V Akademik Lavrentyev in July - August 2015 in the Kuril Basin of the Sea of Okhotsk, Bussol Strait, and the adjacent open Pacific abyssal area. We used methods of light and scanning electronic microscopy and also laser confocal microscopy for morphological studies. Maximum likelihood and Bayesian analyses of partial DNA sequences of 18S and 28S rRNA genes were used to reconstruct phylogenetic trees. Loxosomella aeropsis sp. nov. was found on spines of the sea urchin Aeropsis fulva; Loxosomella cyatiformis sp. nov. was found on shells of the propeamussiid bivalve Catillopecten squamiformis; Loxosomella malakhovi sp. nov. was found living as an epibiont of the nephtyid polychaete Aglaophamus sp., and Loxosomella sextentaculata sp. nov., as an epibiont of the spionid polychaete Laonice sp. Echinoidea and Bivalvia have been first recorded as hosts of loxosomatid entoprocts in their symbiotic associations. A molecular phylogenetic analysis of partial 18S rRNA and 28S rRNA of Loxosomella aeropsis sp. nov., L. cyatiformis sp. nov., and L. malakhovi sp. nov. show that these species nest in the Glade of solitary entoprocts among other Loxosomella species. Musculature of investigated species, Loxosomella aeropsis sp. nov and L. malakhovi sp. nov., is typical for loxosomatids and includes the longitudinal muscles of a stalk, the musculature of the digestive tract, the atrial muscular ring, and tentacle muscles. Each species has species-specific muscles so details of myoanatomy can be used for identification of species in addition to other morphological features.</t>
  </si>
  <si>
    <t>[Borisanova, Anastasia O.; Ekimova, Irina A.] Moscow MV Lomonosov State Univ, Fac Biol, Moscow 119991, Russia; [Chernyshev, Alexei V.] Russian Acad Sci, Far Eastern Branch, Natl Sci Ctr Marine Biol, Vladivostok 690041, Russia; [Chernyshev, Alexei V.; Ekimova, Irina A.] Far Eastern Fed Univ, Vladivostok 690600, Russia</t>
  </si>
  <si>
    <t>Lomonosov Moscow State University; Russian Academy of Sciences; National Scientific Center of Marine Biology, Far East Branch of the Russian Academy of Sciences; Far Eastern Federal University</t>
  </si>
  <si>
    <t>Borisanova, AO (corresponding author), Moscow MV Lomonosov State Univ, Fac Biol, Moscow 119991, Russia.</t>
  </si>
  <si>
    <t>borisanovaao@mail.ru</t>
  </si>
  <si>
    <t>Chernyshev, Alexei/A-7195-2014; Ekimova, Irina/L-3958-2015; Borisanova, Anastasia/AAG-4427-2020</t>
  </si>
  <si>
    <t>Chernyshev, Alexei/0000-0002-2203-3001; Ekimova, Irina/0000-0002-1846-0780; Borisanova, Anastasia/0000-0002-9700-6446</t>
  </si>
  <si>
    <t>Russian Science Foundation [14-50-00029, 14-50-00034]; Russian-German joint project [14.616.21.0077]; Russian Foundation for Basic Research [15-29-02601]; Russian Ministry for Science and Education [14.616.21.0077]</t>
  </si>
  <si>
    <t>Russian Science Foundation(Russian Science Foundation (RSF)); Russian-German joint project; Russian Foundation for Basic Research(Russian Foundation for Basic Research (RFBR)Spanish Government); Russian Ministry for Science and Education(Ministry of Education and Science, Russian Federation)</t>
  </si>
  <si>
    <t>The project was financially supported by the Russian Science Foundation (project no. 14-50-00029) and the Russian-German joint project 14.616.21.0077(Beneficial). CLSM investigations of the material were financially supported by the Russian Science Foundation (project no. 14-50-00034). Molecular genetic studies and proceeding of the paper were supported by the Russian Foundation for Basic Research (project no. 15-29-02601). The biogeography and distribution study was supported by the Russian Ministry for Science and Education (Project No. 14.616.21.0077). The authors are deeply grateful to Dr. Inna L. Alalykina, Dr. Kirill V. Minin, and Dr. Gennady M. Kamenev for their help with identification of the host species. The authors are indebted to Dr. E.M. Krylova and Dr. V. Denis for their thoughtful comments and all advices. This is SokhoBio publication # 11.</t>
  </si>
  <si>
    <t>10.1016/j.dsr2.2017.11.010</t>
  </si>
  <si>
    <t>HD5OT</t>
  </si>
  <si>
    <t>WOS:000452580500008</t>
  </si>
  <si>
    <t>Malyutina, MV; Brandt, A</t>
  </si>
  <si>
    <t>Malyutina, Marina V.; Brandt, Angelika</t>
  </si>
  <si>
    <t>First records of deep-sea Munnopsidae (Isopoda: Asellota) from the Kuril Basin of the Sea of Okhotsk, with description of Gurjanopsis kurilensis sp. nov.</t>
  </si>
  <si>
    <t>Asellota; Munnopsidae; Gurjanopsis; Taxonomy; New species; Northwest Pacific; Deep sea; Sea of Okhotsk; Kuril Basin; Benthos; Kuril-Kamchatka Trench area; SokhoBio; Diversity; Distribution</t>
  </si>
  <si>
    <t>PERACARID CRUSTACEANS MALACOSTRACA; EURYCOPE-SPINIFRONS GURJANOVA; KAMCHATKA TRENCH; SPECIES COMPOSITION; ABYSSAL DEPTHS; BIODIVERSITY; DIVERSITY; REDESCRIPTION; EXPEDITIONS; BAEONECTES</t>
  </si>
  <si>
    <t>The deep-sea Munnopsidae Lilljeborg, 1864 of the Kuril Basin of the Sea of Okhotsk, the Bussol Strait, as well as the western abyssal slope of the Kuril-Kamchatka Trench (KKT) off the Bussol Strait were studied. The material was collected during the expedition SokhoBio (Sea of Okhotsk Biodiversity Studies) in the summer of 2015. The first data on the composition and distribution of the family Munnopsidae from the SokhoBio samples are presented. In total 2190 individuals of Munnopsidae from 53 species, 26 genera and seven subfamilies have been collected at 19 of 21 C-EBS stations at all 11 sites of the SokhoBio expedition. The most abundant subfamily in the samples was Ilyarachninae Hansen, 1916 (36%), followed by Eurycopinae Hansen, 1916 (29%). In the Kuril Basin 39 species of 20 genera and 5 subfamilies were found, the main portion of munnopsids here was represented by the Ilyarachninae (39%), followed by the group of genera incertae sedis (31%) and Eurycopinae (27%). The abyssal munnopsid fauna of the Kuril Basin is an intermediate in terms of diversity and species richness between the adjacent studied abyssal areas, the Sea of Japan and the open abyssal of the KKT. Half of the collected species, 27 species (51%) are shared with the KKT area, 22 species (41.5%) are common to the Kuril Basin and the Pacific sites. About 80% of the collected species are new to science. One of the new species, Gurjanopsis kurilensis sp. nov. is described herein. Gurjanopsis Malyutina and Brandt, 2007 is the only genus within the Munnopsidae having a posteromedial notch in the pleotelson containing tiny uropods and the anus. A similar notch in the pleotelson containing uropods within Janiroidea Kussakin, 1967 is known only in species of Jaera Leach, 1814 (Janiridae G.O. Sars, 1897). The male pleopods of Gurjanopsis which cover the pleopodal cavity of the pleotelson are unusual for the family. This operculum is formed by the small pleopods 1 and 2 and the enlarged exopods of pleopods 3. This is similar to the pleopodal structure found in the primitive asellote superfamilies Aselloidea Latreille, 1802 and Stenotrioidea Hansen 1905, while in Janiroidea only pleopods 1 and 2 are operculate. The new species is the third species of the rare genus Gurjanopsis and the first record of the genus, previously only known from the deep-sea of the Arctic and the Antarctic, for the Pacific Ocean. The finding a species of Baeonectes Wilson, 1982 in abyssal depths of the Kuril Basin is the deepest record of the genus.</t>
  </si>
  <si>
    <t>[Malyutina, Marina V.] Russian Acad Sci, AV Zhirmunsky Inst Marine Biol, Far Eastern Branch, Natl Sci Ctr Marine Biol, 17 Palchevskogo St, Vladivostok 690041, Russia; [Malyutina, Marina V.] Far Eastern Fed Univ, Ajax St, Vladivostok 690600, Russia; [Brandt, Angelika] Senckenberg Res Inst, Senckenberganlage 25, D-60325 Frankfurt, Germany; [Brandt, Angelika] Nat Hist Museum, Dept Marine Zool, Sect Crustacea, Senckenberganlage 25, D-60325 Frankfurt, Germany; [Brandt, Angelika] Goethe Univ Frankfurt, Inst Ecol Evolut &amp; Divers, Max von Laue Str 13, D-60439 Frankfurt, Germany</t>
  </si>
  <si>
    <t>Russian Academy of Sciences; National Scientific Center of Marine Biology, Far East Branch of the Russian Academy of Sciences; Far Eastern Federal University; Senckenberg Gesellschaft fur Naturforschung (SGN); Goethe University Frankfurt</t>
  </si>
  <si>
    <t>Malyutina, MV (corresponding author), Russian Acad Sci, AV Zhirmunsky Inst Marine Biol, Far Eastern Branch, Natl Sci Ctr Marine Biol, 17 Palchevskogo St, Vladivostok 690041, Russia.</t>
  </si>
  <si>
    <t>m_malyutina@mail.ru</t>
  </si>
  <si>
    <t>Brandt, Angelika/C-1630-2018; Malyutina, Marina/JAC-6506-2023</t>
  </si>
  <si>
    <t>Malyutina, Marina/0000-0003-2161-3917</t>
  </si>
  <si>
    <t>Russian Science Foundation [14-50-00034]; Russian Academy of Science Priority Program the Far East [15-1-6-056]; PTJ (German Ministry for Science and Education) [03G0857A]; Ministry of Education and Science of the Russian Federation [14.616.21.0077]</t>
  </si>
  <si>
    <t>Russian Science Foundation(Russian Science Foundation (RSF)); Russian Academy of Science Priority Program the Far East; PTJ (German Ministry for Science and Education); Ministry of Education and Science of the Russian Federation(Ministry of Education and Science, Russian Federation)</t>
  </si>
  <si>
    <t>The material was collected during the SokhoBio expedition from the RV Akademik M.A. Lavrentyev with financial support of the Russian Science Foundation (Project No. 14-50-00034). All supplies for the cruise were covered by grant of the Russian Academy of Science Priority Program the Far East No. 15-1-6-056. The sorting of samples was financially supported by the PTJ (German Ministry for Science and Education) grant 03G0857A to Prof. Dr. Angelika Brandt, University of Hamburg. We thank the crews of the RV Akademik M.A. Lavrentyev for their help on board and all persons who helped with sorting of the samples. The biogeography and distribution study was supported by the Ministry of Education and Science of the Russian Federation (Project No. 14.616.21.0077). Special thanks to Dr. A. Mayorova and Dr. O. Golovan for their support and technical help with preparation of the photo and the map. We are grateful to both anonymous reviewers for their help to improve the manuscript and to Dr. K. Merrin for her kind proofreading and correcting English. This is a SokhoBio publication No 24.</t>
  </si>
  <si>
    <t>10.1016/j.dsr2.2017.12.006</t>
  </si>
  <si>
    <t>WOS:000452580500021</t>
  </si>
  <si>
    <t>Mironov, AN; Minin, KV; Dilman, AB; Smirnov, IS</t>
  </si>
  <si>
    <t>Mironov, Alexander N.; Minin, Kirill V.; Dilman, Anna B.; Smirnov, Igor S.</t>
  </si>
  <si>
    <t>Deep-sea echinoderms of the Sea of Okhotsk</t>
  </si>
  <si>
    <t>Echinoderms; Abyssal; Sea of Okhotsk; Submergence; Dispersal; Centers of fauna redistribution</t>
  </si>
  <si>
    <t>VERTICAL-DISTRIBUTION; URCHINS; ECHINOIDEA; FAUNA; HOLOTHUROIDEA; DIVERSITY; GENUS</t>
  </si>
  <si>
    <t>New samples of abyssal echinoderms taken in the Sea of Okhotsk by the SokhoBio expedition have been examined and analyzed. Taking into account this new data, 34 echinoderm species are distributed deeper than 2000 m in the Sea of Okhotsk. Among them, 10 species are found in the Sea of Okhotsk for the first time, and 6 species are found in the abyssal zone of the Sea of Okhotsk for the first time. The species richness of the abyssal echinoderm fauna in the North-West Pacific areas (north of 30 degrees N and west of 180 degrees E) negatively correlates with the level of their geomorphological isolation: the higher the level of isolation of the area, the lower the species richness of its abyssal fauna. The number of echinoderm species in the abyssal zone is found to be 9 in the most isolated Sea of Japan, 34 species in the semi-enclosed Sea of Okhotsk, and 47 species in the least isolated Bering Sea. More than 58 species occur in the open North-West Pacific abyssal area. The new data on echinoderms indicates both submergence of the sublittoral-bathyal species and dispersal of the abyssal species through the deep straits into the Kuril Basin of the Sea of Okhotsk. Among the abyssal echinoderms of the Sea of Okhotsk, pseudoabyssal and true abyssal species account for similar to 24% and similar to 35% respectively. The influence of the Antarctic and West Pacific deep-sea centers of fauna redistribution is discussed.</t>
  </si>
  <si>
    <t>[Mironov, Alexander N.; Minin, Kirill V.; Dilman, Anna B.] Russian Acad Sci, PP Shirshov Inst Oceanol, Nakhimovsky Pr 36, Moscow 117997, Russia; [Smirnov, Igor S.] Russian Acad Sci, Zool Inst, Univ Skaya Nab 1, St Petersburg 199034, Russia</t>
  </si>
  <si>
    <t>Russian Academy of Sciences; Shirshov Institute of Oceanology; Russian Academy of Sciences; Zoological Institute of the Russian Academy of Sciences</t>
  </si>
  <si>
    <t>Minin, KV (corresponding author), Russian Acad Sci, PP Shirshov Inst Oceanol, Nakhimovsky Pr 36, Moscow 117997, Russia.</t>
  </si>
  <si>
    <t>kirill.minin569@gmail.com</t>
  </si>
  <si>
    <t>Dilman, Anna A.B./K-8938-2016; Mironov, Alexander N./A-5335-2017; Minin, Kirill V./K-8392-2016; Smirnov, Igor/R-2792-2017</t>
  </si>
  <si>
    <t>Minin, Kirill/0000-0003-3900-612X; Smirnov, Igor/0000-0003-3098-3346</t>
  </si>
  <si>
    <t>Russian Foundation for Basic Research [15-04-03481a, 15-29-02457]; Russian Ministry for Science and Education [14.616.21.0077]</t>
  </si>
  <si>
    <t>Russian Foundation for Basic Research(Russian Foundation for Basic Research (RFBR)Spanish Government); Russian Ministry for Science and Education(Ministry of Education and Science, Russian Federation)</t>
  </si>
  <si>
    <t>We thank Angelika Brandt and Marina Malyutina for the opportunity to examine the SokhoBio collection of echinoderms, and Alexey Smirnov - for the opportunity to examine the echinoderms from the collection of the Zoological Institute, St. Petersburg. We are also grateful to Andrey Gebruk, Elena Panina, Antonina Rogacheva and Alexey Smirnov for support in the identification of the holothurians. Our thanks to Andrey Gebruk, Rachel Downey and anonymous reviewers whose constructive comments and suggestions helped improving this paper. This work was supported by the Russian Foundation for Basic Research [grant numbers 15-04-03481a and 15-29-02457], biogeography and distribution study was supported by the Russian Ministry for Science and Education [Project No. 14.616.21.0077].</t>
  </si>
  <si>
    <t>10.1016/j.dsr2.2017.10.003</t>
  </si>
  <si>
    <t>WOS:000452580500026</t>
  </si>
  <si>
    <t>Yesiltas, M; Jaret, S; Young, J; Wright, SP; Glotch, TD</t>
  </si>
  <si>
    <t>Yesiltas, Mehmet; Jaret, Steven; Young, Jordan; Wright, Shawn P.; Glotch, Timothy D.</t>
  </si>
  <si>
    <t>Three-Dimensional Raman Tomographic Microspectroscopy: A Novel Imaging Technique</t>
  </si>
  <si>
    <t>Raman microspectroscopy; meteorites; minerals; tomography; three-dimensional; imaging</t>
  </si>
  <si>
    <t>COESITE; METAMORPHISM; CRATER; STISHOVITE</t>
  </si>
  <si>
    <t>Chemical constituents and their spatial distributions in terrestrial and extraterrestrial samples may provide clues to their formation histories and secondary processes they were subjected to. Most analytical tools are either limited in imaging the interior of samples or they are destructive such that the sample is chemically modified. In this work, we have conducted three-dimensional Raman tomographic imaging experiments on both terrestrial and extraterrestrial samples. The in situ nondestructive analytical technique presented here provides spatial distribution of various chemical constituents from the interior of the samples with high spatial and depth resolution. Raman data were first collected from two-dimensional layers at the surface and at various depths inside the samples by means of confocal Raman imaging. Individual chemical distribution maps were generated for each layer, which were then stacked to form and visualize the three-dimensional distributions. In addition to three-dimensional distributions, Raman spectral information was also collected from each pixel within the measured areas, thus allowing us to also perform detailed spectral investigations of the samples.</t>
  </si>
  <si>
    <t>[Yesiltas, Mehmet] Kirklareli Univ, Fac Aeronaut &amp; Space Sci, Kirklareli, Turkey; [Jaret, Steven; Young, Jordan; Glotch, Timothy D.] SUNY Stony Brook, Dept Geosci, Stony Brook, NY 11794 USA; [Yesiltas, Mehmet] Planetary Sci Inst, Tucson, AZ USA</t>
  </si>
  <si>
    <t>Kirklareli University; State University of New York (SUNY) System; State University of New York (SUNY) Stony Brook</t>
  </si>
  <si>
    <t>Yesiltas, M (corresponding author), Kirklareli Univ, Fac Aeronaut &amp; Space Sci, Kirklareli, Turkey.</t>
  </si>
  <si>
    <t>myesiltas@knights.ucf.edu</t>
  </si>
  <si>
    <t>Yesiltas, Mehmet/G-3735-2013; Glotch, Timothy D/B-6829-2008</t>
  </si>
  <si>
    <t>Yesiltas, Mehmet/0000-0002-1521-0460; Wright, Shawn/0000-0001-8776-3235; Jaret, Steven/0000-0003-1265-9470</t>
  </si>
  <si>
    <t>RIS4E node of NASA's Solar System Exploration Research Virtual Institute (SSERVI)</t>
  </si>
  <si>
    <t>We are grateful to NASA's Meteorite Working Group for the meteorite sample from the Antarctic meteorite collection, John Luczaj for the pyrite, Sidney Hemming and Troy Rasbury for the rutile, and Martin Schoonen and Hiroshi Ohmoto (Emeritus at Penn State) for the BIF sample. We thank reviewers and the Editor for their constructive comments. We also wish to thank Volkan Eskizeybek and Arife Aktas (Science and Technology Application and Research Center of Canakkale Onsekiz Mart University, Turkey) for their support during the Raman data collection. This work is funded by the RIS4E node of NASA's Solar System Exploration Research Virtual Institute (SSERVI; PI: T. D. Glotch). The data presented here will be made publicly available via Turkish Spectral Database at http://tsd.klu.edu.tr/.</t>
  </si>
  <si>
    <t>10.1029/2018EA000369</t>
  </si>
  <si>
    <t>GS8WA</t>
  </si>
  <si>
    <t>WOS:000443994000005</t>
  </si>
  <si>
    <t>Arthur, B; Hindell, M; Bester, M; De Bruyn, PJN; Goebel, ME; Trathan, P; Lea, MA</t>
  </si>
  <si>
    <t>Arthur, Benjamin; Hindell, Mark; Bester, Marthan; De Bruyn, P. J. Nico; Goebel, Michael E.; Trathan, Phil; Lea, Mary-Anne</t>
  </si>
  <si>
    <t>Managing for change: Using vertebrate at sea habitat use to direct management efforts</t>
  </si>
  <si>
    <t>ECOLOGICAL INDICATORS</t>
  </si>
  <si>
    <t>Spatial distribution; Species distribution model; Fisheries competition; Baseline; Distribution shift; Animal tracking; Geolocation; Southern Ocean</t>
  </si>
  <si>
    <t>ANTARCTIC FUR SEALS; CLIMATE-CHANGE; ARCTOCEPHALUS-GAZELLA; SOUTH GEORGIA; RESPONSES; ICE; FLUCTUATIONS; ENVIRONMENT; SEASONALITY; PREDATORS</t>
  </si>
  <si>
    <t>To understand and predict current and future distributions of animals under a changing climate it is essential to establish historical ranges as baselines against which distribution shifts can be assessed. Management approaches also require comprehension of temporal variability in spatial distributions that can occur over shorter time scales, such as inter-annually or seasonally. Focussing on the Southern Ocean, one of the most rapidly changing environments on Earth, we used Species Distribution Models (SDMs) and satellite ocean data to reconstruct the likely historical foraging habitats of Antarctic fur seals (Arctocephalus gazella) from three populations during the non-breeding winter (Marion Island, Bird Island and Cape Shirreff), to assess whether habitat quality has changed in recent decades. We then quantified temporal variability in distributions to assess overlap with management areas (CCAMLR Commission for the Conservation of Antarctic Marine Living Resources) and the potential for competition with fisheries. Despite notable physical ocean changes, the quality of foraging habitat during the non-breeding season has remained relatively consistent over 20 years at Marion and Bird Islands, but less so at Cape Shirreff, where reduced sea ice cover has improved habitat accessibility. Spatio-temporally explicit SDMs identified variability in habitats across the winter. Some areas overlapped significantly with fisheries activities, suggesting a potential for competition for prey resources at several key periods. A significant component of core habitat at all populations was not within the CCAMLR Convention Area. Although organisations such as CCAMLR adopt a precautionary, ecosystem-based approach to fisheries management, changes to the physical environment and developments in the fishing industry can affect how dependant species are impacted. The hindcasting of historical spatial distributions shown here are baselines against which future changes can be assessed. Given recent proposals for a system of marine protected areas (MPAs) in the Southern Ocean, our results can be used in the design and evaluation of MPAs, be they static or dynamic. Our study also demonstrates that the core habitat of species may fall outside of areas of active management, providing an important context for the interpretation of monitoring programs and management efforts.</t>
  </si>
  <si>
    <t>[Arthur, Benjamin; Hindell, Mark; Lea, Mary-Anne] Univ Tasmania, Inst Marine &amp; Antarctic Studies, 20 Castray Esplanade, Hobart, Tas 7004, Australia; [Arthur, Benjamin; Hindell, Mark; Lea, Mary-Anne] Univ Tasmania, Antarctic Climate &amp; Ecosyst Cooperat Res Ctr, 20 Castray Esplanade, Hobart, Tas 7004, Australia; [Bester, Marthan; De Bruyn, P. J. Nico] Univ Pretoria, Dept Zool &amp; Entomol, Mammal Res Inst, Private Bag X20, ZA-0028 Pretoria, South Africa; [Goebel, Michael E.] NOAA, Antarctic Ecosyst Res Div, NMFS, SWFSC, 8901 La Jolla Shores Dr, La Jolla, CA 92037 USA; [Trathan, Phil] British Antarctic Survey, Madingley Rd, Cambridge CB3 0ET, England</t>
  </si>
  <si>
    <t>University of Tasmania; University of Tasmania; Antarctic Climate &amp; Ecosystems Cooperative Research Centre (ACE CRC); University of Pretoria; National Oceanic Atmospheric Admin (NOAA) - USA; UK Research &amp; Innovation (UKRI); Natural Environment Research Council (NERC); NERC British Antarctic Survey</t>
  </si>
  <si>
    <t>Arthur, B (corresponding author), Inst Marine &amp; Antarctic Studies, Private Bag 129, Hobart, Tas 7001, Australia.</t>
  </si>
  <si>
    <t>Benjamin.Arthur@utas.edu.au</t>
  </si>
  <si>
    <t>Bester, Marthán N/E-5387-2010; de Bruyn, P. J. Nico/E-4176-2010; Hindell, Mark A/K-1131-2013; Lea, Mary-Anne/E-9054-2013</t>
  </si>
  <si>
    <t>de Bruyn, P. J. Nico/0000-0002-9114-9569; Arthur, Benjamin/0000-0002-1390-5760; Lea, Mary-Anne/0000-0001-8318-9299; Hindell, Mark/0000-0002-7823-7185</t>
  </si>
  <si>
    <t>Sea World Research and Rescue Foundation Inc. Australia [SWR/3/2008, SWR/6/2013]; ANZ Trustees Holsworth Wildlife Research Endowment [L0020491]; Australian Research Council [DP0770910]; Australian Antarctic Science Grant [2940]; NERC [bas0100035] Funding Source: UKRI; Australian Research Council [DP0770910] Funding Source: Australian Research Council</t>
  </si>
  <si>
    <t>Sea World Research and Rescue Foundation Inc. Australia; ANZ Trustees Holsworth Wildlife Research Endowment; Australian Research Council(Australian Research Council); Australian Antarctic Science Grant; NERC(UK Research &amp; Innovation (UKRI)Natural Environment Research Council (NERC)); Australian Research Council(Australian Research Council)</t>
  </si>
  <si>
    <t>We are grateful to the many field teams at Marion Island (2008-13), Bird Island (2008-11) and Cape Shirreff (2008-10) who have deployed and recovered tags. We acknowledge the logistical support provided by the South African National Antarctic Program (SANAP), the British Antarctic Survey (BAS) and the U.S. Antarctic Marine Living Resources (US AMLR) Program. Thank you to Mike Sumner and Ben Raymond for providing analytical support and to Keith Reid for his advice during analysis and manuscript preparation. This work was funded by Sea World Research and Rescue Foundation Inc. Australia (SWR/3/2008, SWR/6/2013), ANZ Trustees Holsworth Wildlife Research Endowment (L0020491), Australian Research Council (DP0770910) and Australian Antarctic Science Grant (2940). All animal handling and experimentation were approved by the University of Tasmania Animal Ethics Committee (Permits A0009431, A001134 and A0013637), the University of Pretoria Animal Use and Care Committee (Permit AUCC 040827-024) and the joint British Antarctic Survey- Cambridge University Animal Ethics Review Committee (does not issue permit numbers). Research at Cape Shirreff was conducted under the USA Marine Mammal Protection Act Permit No. 774-1847-04 granted by the Office of Protected Resources, National Marine Fisheries Service, the Antarctic Conservation Act Permit No. 2008-008, and approved by the NMFS-SWFSC Institutional Animal Care and Use Committee.Data accessibility</t>
  </si>
  <si>
    <t>1470-160X</t>
  </si>
  <si>
    <t>1872-7034</t>
  </si>
  <si>
    <t>ECOL INDIC</t>
  </si>
  <si>
    <t>Ecol. Indic.</t>
  </si>
  <si>
    <t>10.1016/j.ecolind.2018.04.019</t>
  </si>
  <si>
    <t>Biodiversity Conservation; Environmental Sciences</t>
  </si>
  <si>
    <t>GT5BJ</t>
  </si>
  <si>
    <t>WOS:000444520600035</t>
  </si>
  <si>
    <t>Madeira, C; Mendonça, V; Flores, AAV; Diniz, MS; Vinagre, C</t>
  </si>
  <si>
    <t>Madeira, Carolina; Mendonca, Vanessa; Flores, Augusto A. V.; Diniz, Mario S.; Vinagre, Catarina</t>
  </si>
  <si>
    <t>High thermal tolerance does not protect from chronic warming - A multiple end-point approach using a tropical gastropod, Stramonita haemastoma</t>
  </si>
  <si>
    <t>Tropical gastropod; Ocean warming; Cellular stress response; Thermal tolerance; Rocky shore; Eco-physiology</t>
  </si>
  <si>
    <t>HEAT-SHOCK PROTEINS; CLIMATE-CHANGE; TEMPERATURE-DEPENDENCE; ECOLOGICAL RELEVANCE; LIPID-PEROXIDATION; STRESS RESPONSES; OXIDATIVE STRESS; ENERGY RESERVES; ANTARCTIC FISH; METABOLIC-RATE</t>
  </si>
  <si>
    <t>Animal physiology and ecology are affected by increasing environmental temperatures, and this is particularly relevant in the tropics, where organisms are already living on the warm edge of their thermal windows. Here, we present data on sub-lethal effects of temperature (using molecular biomarkers), thermal tolerance, warming safety margins and body size shifts of a gastropod (Stramonita haemastoma) from tropical rocky shores, under an experimental setup of a climate warming scenario. Heat shock response, protein damage, antioxidant activity and lipid damage were all evaluated once a week during one month of exposure at a control temperature, and at an experimental temperature of plus 3 degrees C. Significant increase of heat shock protein response, lipid peroxides and catalase at the elevated temperature suggest the activation of cytoprotective pathways as response to an increased thermal load. Duration of exposure also had a significant influence in the animals' responses, since whole body thermal tolerance only showed acclimation potential in the short-term, but not in the long-term. Thermal safety margin was low for this species, suggesting a narrow ability to tolerate further warming. Smaller body sizes were observed in specimens exposed to increased temperature, suggesting the occurrence of slower growth and possible changes in energy metabolism. Hence, enduring thermal stress, as predicted if present day warming trends are not reversed, may compromise populations of tropical marine snails.</t>
  </si>
  <si>
    <t>[Madeira, Carolina; Mendonca, Vanessa; Vinagre, Catarina] Univ Lisbon, MARE Marine &amp; Environm Sci Ctr, Fac Ciencias, P-1749016 Lisbon, Portugal; [Madeira, Carolina; Diniz, Mario S.] Univ Nova Lisboa, Fac Ciencias &amp; Tecnol, Dept Quim, UCIBIO,REQUIMTE, P-2829516 Caparica, Portugal; [Flores, Augusto A. V.] Univ Sao Paulo, Cebimar Ctr Biol Marinha, Km 131-5, Sao Sebastiao, SP, Brazil</t>
  </si>
  <si>
    <t>Universidade de Lisboa; Universidade Nova de Lisboa; Universidade de Sao Paulo</t>
  </si>
  <si>
    <t>Madeira, C (corresponding author), Univ Lisbon, MARE Marine &amp; Environm Sci Ctr, Fac Ciencias, P-1749016 Lisbon, Portugal.</t>
  </si>
  <si>
    <t>scmadeira@fc.ul.pt</t>
  </si>
  <si>
    <t>Vinagre, Catarina/G-1965-2015; Diniz, Mário/C-7849-2013; Madeira, Carolina/B-1531-2019; Flores, Augusto A. V./B-7092-2011; Mendonca, Vanessa/C-5774-2015</t>
  </si>
  <si>
    <t>Vinagre, Catarina/0000-0003-2146-7948; Diniz, Mário/0000-0003-1571-0366; Madeira, Carolina/0000-0003-1632-634X; Flores, Augusto A. V./0000-0001-9347-8860; Mendonca, Vanessa/0000-0002-3658-9502</t>
  </si>
  <si>
    <t>Portuguese Foundation for Science and Technology (FCT, Portugal) through WarmingWebs project [PTDC/MAR-EST/2141/2012]; FCT; FCT (Portugal) [SFRH/BD/92975/2013, SFRH/BD/ 109618/2015]; [UID/MAR/04292/2013]; [UID/Multi/04378/2013]; Fundação para a Ciência e a Tecnologia [SFRH/BD/109618/2015, SFRH/BD/92975/2013, UID/Multi/04378/2013] Funding Source: FCT</t>
  </si>
  <si>
    <t>Portuguese Foundation for Science and Technology (FCT, Portugal) through WarmingWebs project; FCT(Fundacao para a Ciencia e a Tecnologia (FCT)); FCT (Portugal)(Fundacao para a Ciencia e a Tecnologia (FCT)); ; ; Fundação para a Ciência e a Tecnologia(Fundacao para a Ciencia e a Tecnologia (FCT))</t>
  </si>
  <si>
    <t>This study had the support of the Portuguese Foundation for Science and Technology (FCT, Portugal) through the WarmingWebs project (PTDC/MAR-EST/2141/2012), the Investigador FCT position granted to C. Vinagre and the strategic projects UID/MAR/04292/2013 granted to MARE and UID/Multi/04378/2013 granted to UCIBIO. C.M. and V.M. acknowledge PhD grants (SFRH/BD/92975/2013 and SFRH/BD/ 109618/2015, respectively) also granted by FCT (Portugal). Authors would like to thank everyone involved in the field work and maintenance of the experimental tanks.</t>
  </si>
  <si>
    <t>10.1016/j.ecolind.2018.04.044</t>
  </si>
  <si>
    <t>WOS:000444520600062</t>
  </si>
  <si>
    <t>Plominsky, AM; Trefault, N; Podell, S; Blanton, JM; De la Iglesia, R; Allen, EE; von Dassow, P; Ulloa, O</t>
  </si>
  <si>
    <t>Plominsky, Alvaro M.; Trefault, Nicole; Podell, Sheila; Blanton, Jessica M.; De la Iglesia, Rodrigo; Allen, Eric E.; von Dassow, Peter; Ulloa, Osvaldo</t>
  </si>
  <si>
    <t>Metabolic potential and in situ transcriptomic profiles of previously uncharacterized key microbial groups involved in coupled carbon, nitrogen and sulfur cycling in anoxic marine zones</t>
  </si>
  <si>
    <t>ENVIRONMENTAL MICROBIOLOGY</t>
  </si>
  <si>
    <t>OXYGEN-MINIMUM-ZONE; TROPICAL NORTH PACIFIC; GROUP-A BACTERIA; PHYLOGENETIC CHARACTERIZATION; POPULATION-STRUCTURE; METHANE OXIDATION; DEFICIENT WATERS; RIBOSOMAL-RNA; DENITRIFICATION; DIVERSITY</t>
  </si>
  <si>
    <t>Anoxic marine zones (AMZs) impact biogeochemical cycles at the global scale, particularly the nitrogen cycle. Key microbial players from AMZs have been identified, but the majority remains unrecognized or uncharacterized. Thirty-one single-cell amplified genomes (SAGs) from the eastern tropical North and South Pacific AMZs were sequenced to gain insight into the distribution, metabolic potential and contribution to the community transcriptional profile of these uncharacterized bacterial and archaeal groups. Detailed analyses focused on SAG-bins assigned to three of these groups that presented 79%-100% estimated genome completeness: the putative sulphur-oxidizing Gamaproteobacteria EOSA II clade, a Marinimicrobia member of the recently recognized PN262000N21 clade found to be abundant in AMZ anoxic cores, and a representative of the Marine Benthic Group A Thaumarchaeota. Community-based analyses revealed that these three groups are significantly more abundant and transcriptionally more active in the AMZ microbial communities than previously described phylogenetically related microbial groups. Collectively, these groups have the potential to link biogeochemically relevant processes by coupling the carbon, nitrogen and sulfur cycles. Together, these results increase our understanding of key microbial components inhabiting AMZs and other oxygen-deficient marine environments, enhancing our capacity to predict the impact of the expansion of these ecosystems due to climate change.</t>
  </si>
  <si>
    <t>[Plominsky, Alvaro M.; Ulloa, Osvaldo] Univ Concepcion, Dept Oceanog, POB 160-C, Concepcion 4070386, Chile; [Plominsky, Alvaro M.; von Dassow, Peter; Ulloa, Osvaldo] Univ Concepcion, Inst Milenio Oceanog, Concepcion, Chile; [Trefault, Nicole] Univ Mayor, GEMA Ctr Genom Ecol &amp; Environm, Santiago 8580745, Chile; [Plominsky, Alvaro M.; Podell, Sheila; Blanton, Jessica M.; Allen, Eric E.] Univ Calif San Diego, Scripps Inst Oceanog, Marine Biol Res Div, San Diego, CA 92093 USA; [De la Iglesia, Rodrigo] Pontificia Univ Catolica Chile, Dept Mol Genet &amp; Microbiol, Santiago 8331150, Chile; [Allen, Eric E.] Univ Calif San Diego, Div Biol Sci, San Diego, CA 92103 USA; [von Dassow, Peter] Pontificia Univ Catolica Chile, Dept Ecol, Santiago 8331150, Chile; [von Dassow, Peter] UPMC, Evolutionary Biol &amp; Ecol Algae, Res Dept, CNRS,UMI 3614, F-29680 Roscoff, France</t>
  </si>
  <si>
    <t>Universidad de Concepcion; Universidad de Concepcion; Universidad Mayor; University of California System; University of California San Diego; Scripps Institution of Oceanography; Pontificia Universidad Catolica de Chile; University of California System; University of California San Diego; Pontificia Universidad Catolica de Chile; Sorbonne Universite; Centre National de la Recherche Scientifique (CNRS); CNRS - Institute of Ecology &amp; Environment (INEE)</t>
  </si>
  <si>
    <t>Ulloa, O (corresponding author), Univ Concepcion, Dept Oceanog, POB 160-C, Concepcion 4070386, Chile.;Ulloa, O (corresponding author), Univ Concepcion, Inst Milenio Oceanog, Concepcion, Chile.</t>
  </si>
  <si>
    <t>oulloa@udec.cl</t>
  </si>
  <si>
    <t>Blanton, Jessica/JBJ-5728-2023; von Dassow, Peter/JXW-7856-2024; Ulloa, Osvaldo/E-1821-2011</t>
  </si>
  <si>
    <t>von Dassow, Peter/0000-0002-1858-1953; Ulloa, Osvaldo/0000-0002-9501-5576; De la Iglesia, Rodrigo/0000-0002-2000-8697; Podell, Sheila/0000-0001-7073-5190; Blanton, Jessica/0000-0002-1653-7836</t>
  </si>
  <si>
    <t>Millennium Science Initiative [IC 120019]; Chilean National Commision for Scientific and Technological Research [1161483, 20120014, 3140191]; US National Science Foundation [DGE-1144086, MCB-1149552]</t>
  </si>
  <si>
    <t>Millennium Science Initiative; Chilean National Commision for Scientific and Technological Research; US National Science Foundation(National Science Foundation (NSF))</t>
  </si>
  <si>
    <t>The authors thank Frank J. Stewart and Allan Devol/Bess Ward for the opportunity of participating in the NH1315 (OMZoMBiE) and NBP13-05 oceanographic cruises in 2013 respectively. We also thank Alejandro Murillo, Cristian Venegas and Gadiel Alarcon for collecting samples during the oceanographic cruises and Salvador Ramirez for the CheckM analysis. We thank Rick Cavicchioli and his laboratory at UNSW for sharing the environmental data and sequence accession numbers from their Antarctic lakes, and Southern Ocean metagenomes. Additionally, we thank the Steven Hallam Laboratory at UBC, and specially Steven, Alyse Hawley and Connor Morgan-Lang for their help with the NESAP and Saanich Inlet metagenomic fragment recruitments and critical discussion of this manuscript. This study was financially supported by the Millennium Science Initiative (Grant IC 120019), the Chilean National Commision for Scientific and Technological Research (Grant Fondecyt 1161483 to O.U.; Grant Conicyt-USA 20120014 to P. von D., R. De la I., N.T. and O.U.; and Postdoctoral Grant 3140191 to A.M.P.), and the US National Science Foundation (DGE-1144086 Graduate Research Fellowship to J.M.B. and MCB-1149552 to E.E.A.). The authors declare no conflict of interest.</t>
  </si>
  <si>
    <t>1462-2912</t>
  </si>
  <si>
    <t>1462-2920</t>
  </si>
  <si>
    <t>ENVIRON MICROBIOL</t>
  </si>
  <si>
    <t>Environ. Microbiol.</t>
  </si>
  <si>
    <t>10.1111/1462-2920.14109</t>
  </si>
  <si>
    <t>GU3NA</t>
  </si>
  <si>
    <t>WOS:000445184600004</t>
  </si>
  <si>
    <t>Norregaard, RD; Dang, M; Bach, L; Geertz-Hansen, O; Gustavson, K; Aastrup, P; Leifsson, PS; Sondergaard, J; Nowak, B; Sonne, C</t>
  </si>
  <si>
    <t>Norregaard, Rasmus Dyrmose; Dang, Mai; Bach, Lis; Geertz-Hansen, Ole; Gustavson, Kim; Aastrup, Peter; Leifsson, Pall S.; Sondergaard, Jens; Nowak, Barbara; Sonne, Christian</t>
  </si>
  <si>
    <t>Comparison of heavy metals, parasites and histopathology in sculpins (Myoxocephalus spp.) from two sites at a lead-zinc mine in North East Greenland</t>
  </si>
  <si>
    <t>ENVIRONMENTAL RESEARCH</t>
  </si>
  <si>
    <t>Arctic; Pollution; Heavy metal; Monitoring; Fish; Effects</t>
  </si>
  <si>
    <t>FRESH-WATER FISH; SPARUS-AURATA L.; FOURHORN SCULPIN; GILLS; TOXICITY; MERCURY; QUADRICORNIS; EXPOSURE; HEALTH; LIVER</t>
  </si>
  <si>
    <t>The former lead-zinc mine at Mestersvig, Greenland, continues to contaminate the surrounding environment despite its operations ceasing over 50 years ago. Elevated concentrations of heavy metals are found in water, sediment and biota in the terrestrial, freshwater and marine environments. To shed light on the present contamination and its potential effects on local fish we investigated gill and liver histology of sculpins (Myoxocephalus spp.) around the former mining area. Two species of sculpins were caught; shorthorn sculpins (M. scorpius; n = 16) and fourhorn sculpins (M. quadricornis; n = 17) at a contaminated site, Nyhavn, and shorthorn sculpins (M. scorpius; n = 25) at the reference site. In a previous study we found histopathological changes in the tissues of the sculpins, and we suspected this to be related to elevated heavy metal tissue concentrations. Concentrations of Fe, Hg, Mn, Pb, Se and Zn were significantly higher in sculpins at Nyhavn compared to the reference site. Reference NOED and LOEC thresholds for biochemistry, tissue lesions, growth, survival and reproduction for hepatic Hg, As, Cd and Pb from the ERED database were exceeded in both sculpin species. Histopathological investigations of the sculpins gills revealed significant increases in the prevalence of hyperplastic epithelium, inflammation, intensity of neutral and total mucus cells and chloride cells along with an increased infection of colonial Peritricha. At the contaminated Nyhavn site, fourhorn sculpins had a significantly higher prevalence of chondroplastic tissue and intensity of neutral, mixed and total mucus cells in the gills compared to the shorthorn sculpins. The data indicate that both sculpin species could be useful indicator species for environmental monitoring of metal pollution in Arctic areas. However, confounding effects of gender and species should be investigated further. Effects on other biomarkers as well as baseline measurements should be included in future environmental monitoring efforts around mining activities in Greenland.</t>
  </si>
  <si>
    <t>[Norregaard, Rasmus Dyrmose; Bach, Lis; Gustavson, Kim; Aastrup, Peter; Sondergaard, Jens; Nowak, Barbara; Sonne, Christian] Aarhus Univ, Fac Sci &amp; Technol, Arctic Res Ctr, Dept Biosci, Frederiksborgvej 399, DK-4000 Roskilde, Denmark; [Norregaard, Rasmus Dyrmose; Geertz-Hansen, Ole] Greenland Inst Nat Resources, Dept Environm &amp; Mineral Resources, Nuuk, Greenland; [Leifsson, Pall S.] Univ Copenhagen, Fac Hlth, Dept Pathobiol, Frederiksberg, Denmark; [Dang, Mai; Nowak, Barbara] Univ Tasmania, Inst Marine &amp; Antarctic Studies, Launceston, Tas 7250, Australia</t>
  </si>
  <si>
    <t>Aarhus University; Greenland Institute of Natural Resources; University of Copenhagen; University of Tasmania</t>
  </si>
  <si>
    <t>Norregaard, RD (corresponding author), Aarhus Univ, Fac Sci &amp; Technol, Arctic Res Ctr, Dept Biosci, Frederiksborgvej 399, DK-4000 Roskilde, Denmark.</t>
  </si>
  <si>
    <t>rdyn@bios.au.dk</t>
  </si>
  <si>
    <t>Søndergaard, Jens js/F-3031-2013; Sonne, Christian/I-7532-2013; Gustavson, Kim/J-7851-2013; Søndergaard, Jens/AAZ-1079-2020; Nowak, Barbara/J-7261-2014; Bach, Lis/J-6567-2013</t>
  </si>
  <si>
    <t>Søndergaard, Jens js/0000-0002-1629-1864; Sonne, Christian/0000-0001-5723-5263; Søndergaard, Jens/0000-0001-7680-9920; Leifsson, Pall S/0000-0003-1539-9491; Nowak, Barbara/0000-0002-0347-643X; Dang, Mai T. S./0000-0003-2542-120X; Gustavson, Kim/0000-0001-8242-0276; Aastrup, Peter/0000-0003-4258-3358; Bach, Lis/0000-0003-2891-4202</t>
  </si>
  <si>
    <t>Greenlandic Research Council; Ministry of Environment and Food, Denmark; Environmental Agency for Mineral Resources Activities, Greenland</t>
  </si>
  <si>
    <t>The Greenlandic Research Council is acknowledged for funding Rasmus D. Norregaards PhD study. The Ministry of Environment and Food, Denmark and the Environmental Agency for Mineral Resources Activities, Greenland is acknowledged for financial support. AM Plejdrup and SE Joensen at Bioscience are acknowledged for conducting the element analyses. Laboratory technician B Andersen at KU Life is acknowledged for preparing slides for histological examination.</t>
  </si>
  <si>
    <t>0013-9351</t>
  </si>
  <si>
    <t>1096-0953</t>
  </si>
  <si>
    <t>ENVIRON RES</t>
  </si>
  <si>
    <t>Environ. Res.</t>
  </si>
  <si>
    <t>10.1016/j.envres.2018.04.016</t>
  </si>
  <si>
    <t>GL9JQ</t>
  </si>
  <si>
    <t>WOS:000437551200035</t>
  </si>
  <si>
    <t>Wang, LZ; Shen, Y; Du, YJ; Qiu, CJ; Zhang, JJ; Wang, SJ</t>
  </si>
  <si>
    <t>Wang, Lingzhao; Shen, Yan; Du, Yunjian; Qiu, Chunjiang; Zhang, Junjie; Wang, Shujun</t>
  </si>
  <si>
    <t>Recovery of Functional Ingredients from Antarctic Krill (Euphausia superba) Using an Improved Aqueous Enzymatic Extraction Method with Soybean Oil as Co-Solvent</t>
  </si>
  <si>
    <t>EUROPEAN JOURNAL OF LIPID SCIENCE AND TECHNOLOGY</t>
  </si>
  <si>
    <t>astaxanthin; docosahexaenoic acid; eicosapentaenoic acid; Euphausia superba; soybean oil</t>
  </si>
  <si>
    <t>FATTY-ACIDS; ASTAXANTHIN; OPTIMIZATION</t>
  </si>
  <si>
    <t>Antarctic krill are rich sources of functional ingredients, including astaxanthin, eicosapentaenoic acid (EPA), and docosahexaenoic acid (DHA). In this work, the functional ingredients are extracted by an improved aqueous enzymatic extraction method, where exogenous enzymes are not consumed and soybean oil is chosen as co-solvent. The optimal conditions for oil recovery are determined to be a water addition of 30%, an initial pH of 7.5, a temperature of 43.2 degrees C, an autolysis time of 6h, and a soybean oil addition ratio (g/g) of 3. Meanwhile, the oil recovery rate is 76.7%. The recovered oil contains 44.24mgkg(-1) astaxanthin and its total fatty acids contain 1.1% EPA and 0.6% DHA. The moisture and volatile matter content, acid value, and peroxide value of recovered oil are sufficient to meet the first grade requirements of soybean oil. The oxidative stability of recovered oil is close to that of soybean oil at room temperature. The recovered oil can be taken as a good source of EPA, DHA, and astaxanthin for consideration of use as an edible oil item for human consumption.Practical Applications: Antarctic krill (Euphasia superba) are generally known as huge biomass resources, strong endogenous enzymes, and rich sources of functional ingredients including EPA, DHA, and astaxanthin. In this work, the strong endogenous enzymes are employed to extract the functional ingredients from E. superba using soybean oil as co-solvent. Furthermore, chemical compositions, physicochemical properties, and oxidative stabilities of the recovered oil are investigated. The results are useful for the extensive utilization of E. superba in food industry. The functional ingredients including EPA, DHA, and astaxanthin in krill are extracted by an improved aqueous enzymatic extraction method, where exogenous enzymes are not consumed and soybean oil is chosen as co-solvent. The recovered oil can be taken as a good source of EPA, DHA, and astaxanthin for consideration of use as an edible oil item for human consumption.</t>
  </si>
  <si>
    <t>[Wang, Lingzhao; Shen, Yan; Du, Yunjian; Qiu, Chunjiang; Zhang, Junjie] Huaihai Inst Technol, Jiangsu Key Lab Marine Biotechnol, Lianyungang 222005, Peoples R China; [Wang, Lingzhao; Wang, Shujun] Jiangsu Marine Resources Dev Res Inst, Lianyungang 222005, Peoples R China</t>
  </si>
  <si>
    <t>Jiangsu Ocean University</t>
  </si>
  <si>
    <t>Wang, LZ (corresponding author), Huaihai Inst Technol, Jiangsu Key Lab Marine Biotechnol, Lianyungang 222005, Peoples R China.;Wang, LZ (corresponding author), Jiangsu Marine Resources Dev Res Inst, Lianyungang 222005, Peoples R China.</t>
  </si>
  <si>
    <t>lingzhaowang@aliyun.com</t>
  </si>
  <si>
    <t>Wang, Shujun/AAD-7001-2020; Wang, Lingzhao/B-4999-2016</t>
  </si>
  <si>
    <t>Wang, Shujun/0000-0003-1495-3278; Wang, Lingzhao/0000-0003-4377-5941</t>
  </si>
  <si>
    <t>Open-end Funds of Jiangsu Key Laboratory of Marine Biotechnology, Huaihai Institute of Technology [2014HS009]; Jiangsu Overseas Visiting Scholar Program for University Prominent Young and Middle-aged Teachers and Presidents [2017]; Priority Academic Program Development of Jiangsu Higher Education Institutions [5511201801X]</t>
  </si>
  <si>
    <t>Open-end Funds of Jiangsu Key Laboratory of Marine Biotechnology, Huaihai Institute of Technology; Jiangsu Overseas Visiting Scholar Program for University Prominent Young and Middle-aged Teachers and Presidents; Priority Academic Program Development of Jiangsu Higher Education Institutions</t>
  </si>
  <si>
    <t>Financial supports provided by a project supported by Open-end Funds of Jiangsu Key Laboratory of Marine Biotechnology, Huaihai Institute of Technology (Grant no. 2014HS009), a project funded by Jiangsu Overseas Visiting Scholar Program for University Prominent Young and Middle-aged Teachers and Presidents (Grant no. 2017), and a project funded by the Priority Academic Program Development of Jiangsu Higher Education Institutions (Grant no. 5511201801X) are appreciated.</t>
  </si>
  <si>
    <t>1438-7697</t>
  </si>
  <si>
    <t>1438-9312</t>
  </si>
  <si>
    <t>EUR J LIPID SCI TECH</t>
  </si>
  <si>
    <t>Eur. J. Lipid Sci. Technol.</t>
  </si>
  <si>
    <t>10.1002/ejlt.201800144</t>
  </si>
  <si>
    <t>Food Science &amp; Technology; Nutrition &amp; Dietetics</t>
  </si>
  <si>
    <t>GO9EN</t>
  </si>
  <si>
    <t>WOS:000440408300010</t>
  </si>
  <si>
    <t>Ramos, P; Rivas, N; Pollmann, S; Casati, P; Molina-Montenegro, MA</t>
  </si>
  <si>
    <t>Ramos, Patricio; Rivas, Natali; Pollmann, Stephan; Casati, Paula; Molina-Montenegro, Marco A.</t>
  </si>
  <si>
    <t>Hormonal and physiological changes driven by fungal endophytes increase Antarctic plant performance under UV-B radiation</t>
  </si>
  <si>
    <t>FUNGAL ECOLOGY</t>
  </si>
  <si>
    <t>Antarctica; Climate change; Colobanthus quitensis; Ecophysiological performance; Fungal endophytes</t>
  </si>
  <si>
    <t>SALICYLIC-ACID; PIRIFORMOSPORA-INDICA; INDUCED MORPHOGENESIS; ARABIDOPSIS-THALIANA; STRESS TOLERANCE; ABSCISIC-ACID; GLOBAL CHANGE; RESPONSES; AUXIN; JASMONATE</t>
  </si>
  <si>
    <t>Antarctic environments are amongst the most stressful habitats for life on Earth, with high intensities of solar UV-B radiation reaching the land surface. In this study, we evaluated how the photochemical efficiency, cell damage and reproductive biomass of Antarctic pearlwort (Colobanthus quitensis) were affected by different intensities of UV-B radiation in the absence and presence of fungal endophytes. In addition, we evaluated the hormonal content of plants at different UV-B radiation intensities and how hormonal content was affected by endophytes. Overall, plants exposed to UV-B radiation showed higher numbers of flowers, higher total biomass and lower lipid peroxidation in the presence of endophytes compared with plants without endophytes. Photochemical efficiency was unaffected. Fungal endophytes affected the content of salicylic acid, jasmonate, indole-3-acetate and abscisic acid in shoot tissue of plants exposed to UV-B radiation. These results suggest that endophytes could modulate the hormonal content of C quitensis to improve its ecophysiological performance under high UV-B radiation. (C) 2018 Elsevier Ltd and British Mycological Society. All rights reserved.</t>
  </si>
  <si>
    <t>[Ramos, Patricio; Rivas, Natali; Molina-Montenegro, Marco A.] Univ Talca, Inst Ciencias Biol, Avda Lircay S-N, Talca, Chile; [Ramos, Patricio] Univ Talca, Nucleo Cient Multidisciplinario DI, Avda Lircay S-N, Talca, Chile; [Pollmann, Stephan] UPM, Inst Nacl Invest &amp; Tecnol Agr &amp; Alimentaria INIA, Ctr Biotecnol &amp; Genom Plantas, Pozuelo De Alarcon, Spain; [Casati, Paula] Univ Nacl Rosario, Ctr Estudios Fotosintet &amp; Bioquim, S2002LRK, Rosario, Sante Fe, Argentina; [Molina-Montenegro, Marco A.] Univ Talca, Ctr Estudios Ecol Mol &amp; Func, Talca, Chile; [Molina-Montenegro, Marco A.] Univ Catolica Norte, CEAZA, Coquimbo, Chile</t>
  </si>
  <si>
    <t>Universidad de Talca; Universidad de Talca; Universidad Politecnica de Madrid; National University of Rosario; Universidad de Talca; Universidad Catolica del Norte</t>
  </si>
  <si>
    <t>Ramos, P (corresponding author), Univ Talca, Inst Ciencias Biol, Avda Lircay S-N, Talca, Chile.</t>
  </si>
  <si>
    <t>pramos@utalca.cl</t>
  </si>
  <si>
    <t>Pollmann, Stephan/C-2776-2009; Ramos, Patricio/ABE-5961-2021; Pollmann, Stephan/ABC-8203-2020; Ramos, Patricio/B-6665-2017</t>
  </si>
  <si>
    <t>Pollmann, Stephan/0000-0002-5111-4425; Molina-Montenegro, Marco/0000-0001-6801-8942; Ramos, Patricio/0000-0001-8341-314X</t>
  </si>
  <si>
    <t>Chilean Antarctic Institute (INACH); FONDECYT [11140607, PII 20150126]; Spanish Ministry of Economy, Industry and Competitiveness (MINECO) [BFU2014-55575-R]; 'Nucleo Cientifico Multidisciplinario' from Universidad de Talca</t>
  </si>
  <si>
    <t>Chilean Antarctic Institute (INACH); FONDECYT(Comision Nacional de Investigacion Cientifica y Tecnologica (CONICYT)CONICYT FONDECYT); Spanish Ministry of Economy, Industry and Competitiveness (MINECO); 'Nucleo Cientifico Multidisciplinario' from Universidad de Talca</t>
  </si>
  <si>
    <t>We acknowledge the financial, authorizations and logistic support of the Chilean Antarctic Institute (INACH). M.A. Molina Montenegro is supported by project FONDECYT 11140607 and PII 20150126, and S. Pollmann is supported by project BFU2014-55575-R by the Spanish Ministry of Economy, Industry and Competitiveness (MINECO). P. Ramos acknowledges 'Nucleo Cientifico Multidisciplinario' from Universidad de Talca. This article contributes to the SCAR biological research programs Antarctic Thresholds - Ecosystem Resilience and Adaptation (AnT-ERA) and State of the Antarctic Ecosystem (AntEco). The authors would like to thank Kevin K. Newsham and two reviewers for their highly valuable comments that improved the final version of the manuscript.</t>
  </si>
  <si>
    <t>1754-5048</t>
  </si>
  <si>
    <t>1878-0083</t>
  </si>
  <si>
    <t>FUNGAL ECOL</t>
  </si>
  <si>
    <t>Fungal Ecol.</t>
  </si>
  <si>
    <t>10.1016/j.funeco.2018.05.006</t>
  </si>
  <si>
    <t>Ecology; Mycology</t>
  </si>
  <si>
    <t>Environmental Sciences &amp; Ecology; Mycology</t>
  </si>
  <si>
    <t>GL2AT</t>
  </si>
  <si>
    <t>WOS:000436916100009</t>
  </si>
  <si>
    <t>Lund, DC; Seeley, EI; Asimow, PD; Lewis, MJ; McCart, SE; Mudahy, AA</t>
  </si>
  <si>
    <t>Lund, David C.; Seeley, Emily I.; Asimow, Paul D.; Lewis, Madeline J.; McCart, Sarah E.; Mudahy, Annalisa A.</t>
  </si>
  <si>
    <t>Anomalous Pacific-Antarctic Ridge Volcanism Precedes Glacial Termination 2</t>
  </si>
  <si>
    <t>OCEANIC-CRUST; CARBON-DIOXIDE; MAGMA CHAMBER; RISE; GEOCHEMISTRY; VARIABILITY; SEAMOUNTS; ERUPTION; EMPLACEMENT; CALIBRATION</t>
  </si>
  <si>
    <t>We present results from a well-dated sediment core on the Pacific-Antarctic Ridge (PAR) that document a similar to 15 cm thick layer of basaltic ash shards that precedes the penultimate deglaciation (Termination 2). The glasses have MORB composition consistent with an axial source and their morphologies are typical of pyroclastic deposits created by submarine volcanism. The ash layer was deposited similar to 7 km from the PAR axis, a distance that implies buoyant plumes lofted debris high into the water column with subsequent fallout to the core location. We infer plume rise height using grain settling velocities, the water depth at the core location, and deep ocean current speeds from ARGO floats. Rise heights of 1.5 km or less require unrealistically large current speeds to transport grains to the core site. Instead, the data are consistent with a plume rise height of at least 2 km, implying that T2 was an interval of anomalous volcanism along this segment of the PAR. The timing and duration of the ash deposit is consistent with glacial-interglacial modulation of ridge magmatism. Volcaniclastic records from additional locations will be necessary to assess whether the PAR record is a rare find or it is representative of mid-ocean ridge volcanism during glacial terminations.</t>
  </si>
  <si>
    <t>[Lund, David C.; Seeley, Emily I.; McCart, Sarah E.; Mudahy, Annalisa A.] Univ Connecticut, Dept Marine Sci, Storrs, CT 06269 USA; [Asimow, Paul D.; Lewis, Madeline J.] CALTECH, Div Geol &amp; Planetary Sci, Pasadena, CA 91125 USA</t>
  </si>
  <si>
    <t>University of Connecticut; California Institute of Technology</t>
  </si>
  <si>
    <t>Lund, DC (corresponding author), Univ Connecticut, Dept Marine Sci, Storrs, CT 06269 USA.</t>
  </si>
  <si>
    <t>david.lund@uconn.edu</t>
  </si>
  <si>
    <t>Asimow, Paul D/E-7451-2010</t>
  </si>
  <si>
    <t>Asimow, Paul D/0000-0001-6025-8925</t>
  </si>
  <si>
    <t>NSF [OCE-1558641, OCE-1558679, OCE-1558372, EAR-1551433, EAR-0318518, DMR-0080065]; University of Connecticut; Directorate For Geosciences; Division Of Ocean Sciences [1558372] Funding Source: National Science Foundation</t>
  </si>
  <si>
    <t>NSF(National Science Foundation (NSF)); University of Connecticut; Directorate For Geosciences; Division Of Ocean Sciences(National Science Foundation (NSF)NSF - Directorate for Geosciences (GEO))</t>
  </si>
  <si>
    <t>DCL and EIS were supported by NSF award OCE-1558641 and the University of Connecticut. We are grateful to David Cady at UCONN for assistance with ICP-MS analyses and Lora Wingate at the University of Michigan and Jean Lynch-Stieglitz at Georgia Tech for assistance with stable isotope analyses. We are also indebted to the Oregon State University Core Repository for the curation of core OC170-26-159. The OSU Repository is supported by NSF award OCE-1558679. MJL and PDA were supported by NSF awards OCE-1558372 and EAR-1551433. Thanks to Nathan Dalleska at Caltech for assistance with LA-ICP-MS analyses and to George Rossman for use of the FTIR lab. Electron probe work was carried out in the Caltech GPS Division analytical facility, which is supported in part by NSF Grants EAR-0318518 and DMR-0080065. Data presented in the manuscript will be available on the NOAA NGDC Paleoclimate Database and through IEDA PetDB.</t>
  </si>
  <si>
    <t>10.1029/2017GC007341</t>
  </si>
  <si>
    <t>HC9JQ</t>
  </si>
  <si>
    <t>WOS:000452122500012</t>
  </si>
  <si>
    <t>Marshall, KE; Sinclair, BJ</t>
  </si>
  <si>
    <t>Marshall, Katie E.; Sinclair, Brent J.</t>
  </si>
  <si>
    <t>Repeated freezing induces a trade-off between cryoprotection and egg production in the goldenrod gall fly, Eurosta solidaginis</t>
  </si>
  <si>
    <t>JOURNAL OF EXPERIMENTAL BIOLOGY</t>
  </si>
  <si>
    <t>Thermal variability; Physiological thresholds; Freeze tolerance; Repeated stress; Tephritidae</t>
  </si>
  <si>
    <t>THERMAL PERFORMANCE CURVES; REPEATED COLD-EXPOSURE; FAT-BODY CELLS; LIFE-HISTORY; OXYGEN-CONSUMPTION; BIOLOGICAL IMPACTS; SEASONAL-CHANGES; ANTARCTIC MIDGE; TEMPERATURE; TOLERANCE</t>
  </si>
  <si>
    <t>Internal ice formation leads to wholesale changes in ionic, osmotic and pH homeostasis, energy metabolism, and mechanical damage, across a small range of temperatures, and is thus an abiotic stressor that acts at a distinct, physiologically relevant, threshold. Insects that experience repeated freeze-thaw cycles over winter will cross this stressor threshold many times over their lifespan. Here, we examined the effect of repeatedly crossing the freezing threshold on short-term physiological parameters (metabolic reserves and cryoprotectant concentration) as well as long-term fitness-related performance (survival and egg production) in the freeze-tolerant goldenrod gall fly, Eurosta solidaginis. We exposed overwintering prepupae to a series of low temperatures (-10, -15 or -20 degrees C) with increasing numbers of freezing events (3, 6 or 10) with differing recovery periods between events (1, 5 or 10 days). Repeated freezing increased sorbitol concentration by about 50% relative to a single freezing episode, and prompted prepupae to modify long-chain triacylglycerols to acetylated triacylglycerols. Long-term, repeated freezing did not significantly reduce survival but did reduce egg production by 9.8% relative to a single freezing event. Exposure temperature did not affect any of these measures, suggesting that threshold crossing events may be more important to fitness than the intensity of stress in overwintering E. solidaginis.</t>
  </si>
  <si>
    <t>[Marshall, Katie E.; Sinclair, Brent J.] Univ Western Ontario, Dept Biol, London, ON N6A 5B7, Canada; [Marshall, Katie E.] Univ British Columbia, Dept Zool, Vancouver, BC V6T 1Z4, Canada</t>
  </si>
  <si>
    <t>Western University (University of Western Ontario); University of British Columbia</t>
  </si>
  <si>
    <t>Marshall, KE (corresponding author), Univ Western Ontario, Dept Biol, London, ON N6A 5B7, Canada.;Marshall, KE (corresponding author), Univ British Columbia, Dept Zool, Vancouver, BC V6T 1Z4, Canada.</t>
  </si>
  <si>
    <t>kmarshall@zoology.ubc.ca</t>
  </si>
  <si>
    <t>Marshall, Katie/AFK-5175-2022; Sinclair, Brent J/C-6133-2012</t>
  </si>
  <si>
    <t>Marshall, Katie/0000-0002-6991-4957; Sinclair, Brent/0000-0002-8191-9910</t>
  </si>
  <si>
    <t>Natural Science and Engineering Research Council of Canada; Canadian Foundation for Innovation</t>
  </si>
  <si>
    <t>Natural Science and Engineering Research Council of Canada(Natural Sciences and Engineering Research Council of Canada (NSERC)); Canadian Foundation for Innovation(Canada Foundation for Innovation)</t>
  </si>
  <si>
    <t>This research was supported by the Natural Science and Engineering Research Council of Canada via a Discovery grant to B.J.S. and a postgraduate scholarship to K.E.M., and by a grant from the Canadian Foundation for Innovation to B.J.S.</t>
  </si>
  <si>
    <t>COMPANY BIOLOGISTS LTD</t>
  </si>
  <si>
    <t>BIDDER BUILDING, STATION RD, HISTON, CAMBRIDGE CB24 9LF, ENGLAND</t>
  </si>
  <si>
    <t>0022-0949</t>
  </si>
  <si>
    <t>1477-9145</t>
  </si>
  <si>
    <t>J EXP BIOL</t>
  </si>
  <si>
    <t>J. Exp. Biol.</t>
  </si>
  <si>
    <t>jeb177956</t>
  </si>
  <si>
    <t>10.1242/jeb.177956</t>
  </si>
  <si>
    <t>GQ7DJ</t>
  </si>
  <si>
    <t>WOS:000441894200006</t>
  </si>
  <si>
    <t>O'Brien, KM; Rix, AS; Egginton, S; Farrell, AP; Crockett, EL; Schlauch, K; Woolsey, R; Hoffman, M; Merriman, S</t>
  </si>
  <si>
    <t>O'Brien, Kristin M.; Rix, Anna S.; Egginton, Stuart; Farrell, Anthony P.; Crockett, Elizabeth L.; Schlauch, Karen; Woolsey, Rebekah; Hoffman, Megan; Merriman, Sean</t>
  </si>
  <si>
    <t>Cardiac mitochondrial metabolism may contribute to differences in thermal tolerance of red- and white-blooded Antarctic notothenioid fishes</t>
  </si>
  <si>
    <t>Mitochondria; Aerobic metabolism; Cardiac muscle; Antarctic fish</t>
  </si>
  <si>
    <t>OXIDATIVE STRESS; CLIMATE-CHANGE; MUSCLE MITOCHONDRIA; WATER TEMPERATURE; EUROPEAN PERCH; COMPLEX-I; ACCLIMATION; SENSITIVITY; EXPRESSION; MYOGLOBIN</t>
  </si>
  <si>
    <t>Studies in temperate fishes provide evidence that cardiac mitochondrial function and the capacity to fuel cardiac work contribute to thermal tolerance. Here, we tested the hypothesis that decreased cardiac aerobic metabolic capacity contributes to the lower thermal tolerance of the haemoglobinless Antarctic icefish, Chaenocephalus aceratus, compared with that of the red-blooded Antarctic species, Notothenia coriiceps. Maximal activities of citrate synthase (CS) and lactate dehydrogenase (LDH), respiration rates of isolated mitochondria, adenylate levels and changes in mitochondrial protein expression were quantified from hearts of animals held at ambient temperature or exposed to their critical thermal maximum (CTmax). Compared with C. aceratus, activity of CS, ATP concentration and energy charge were higher in hearts of N. coriiceps at ambient temperature and CTmax While state 3 mitochondrial respiration rates were not impaired by exposure to CTmax in either species, state 4 rates, indicative of proton leakage, increased following exposure to CTmax in C. aceratus but not N. coriiceps The interactive effect of temperature and species resulted in an increase in antioxidants and aerobic metabolic enzymes in N. coriiceps but not in C. aceratus Together, our results support the hypothesis that the lower aerobic metabolic capacity of C. aceratus hearts contributes to its low thermal tolerance.</t>
  </si>
  <si>
    <t>[O'Brien, Kristin M.; Rix, Anna S.; Hoffman, Megan; Merriman, Sean] Univ Alaska Fairbanks, Inst Arctic Biol, Fairbanks, AK 99775 USA; [Egginton, Stuart] Univ Leeds, Sch Biomed Sci, Leeds LS2 9JT, W Yorkshire, England; [Farrell, Anthony P.] Univ British Columbia, Dept Zool, Vancouver, BC V6T 1Z4, Canada; [Crockett, Elizabeth L.] Ohio Univ, Dept Biol Sci, Athens, OH 45701 USA; [Schlauch, Karen] Univ Nevada, Dept Biochem &amp; Mol Biol, Reno, NV 89557 USA; [Woolsey, Rebekah] Univ Nevada, Nevada Prote Ctr, Reno, NV 89557 USA</t>
  </si>
  <si>
    <t>University of Alaska System; University of Alaska Fairbanks; University of Leeds; University of British Columbia; University System of Ohio; Ohio University; Nevada System of Higher Education (NSHE); University of Nevada Reno; Nevada System of Higher Education (NSHE); University of Nevada Reno</t>
  </si>
  <si>
    <t>O'Brien, KM (corresponding author), Univ Alaska Fairbanks, Inst Arctic Biol, Fairbanks, AK 99775 USA.</t>
  </si>
  <si>
    <t>kmobrien@alaska.edu</t>
  </si>
  <si>
    <t>Rix, Anna/0000-0002-0046-1275; O'Brien, Kristin/0000-0002-3311-0690; Egginton, Stuart/0000-0002-3084-9692</t>
  </si>
  <si>
    <t>National Science Foundation [ANT 1341663, ANT 1341602]; Institutional Development Award (IDeA) from the National Institute of General Medical Sciences of the National Institutes of Health [P20GM103395]; Nevada INBRE grant from the National Institute of General Medical Sciences [GM103440]; Natural Sciences and Engineering Research Council of Canada</t>
  </si>
  <si>
    <t>National Science Foundation(National Science Foundation (NSF)); Institutional Development Award (IDeA) from the National Institute of General Medical Sciences of the National Institutes of Health; Nevada INBRE grant from the National Institute of General Medical Sciences; Natural Sciences and Engineering Research Council of Canada(Natural Sciences and Engineering Research Council of Canada (NSERC)CGIAR)</t>
  </si>
  <si>
    <t>Funding for this research was provided by grants from the National Science Foundation (ANT 1341663 to K.M.O. and ANT 1341602 to E.L.C.). A.S.R. was supported in part by an Institutional Development Award (IDeA) from the National Institute of General Medical Sciences of the National Institutes of Health under grant P20GM103395. The content is solely the responsibility of the authors and does not necessarily reflect the official views of the NIH. The proteomics studies were supported in part by the Nevada INBRE grant from the National Institute of General Medical Sciences (GM103440) to the Mick Hitchcock Nevada Proteomics Center. A.P.F. holds a Canada Research Chair and is funded by the Natural Sciences and Engineering Research Council of Canada. Deposited in PMC for release after 12 months.</t>
  </si>
  <si>
    <t>jeb177816</t>
  </si>
  <si>
    <t>10.1242/jeb.177816</t>
  </si>
  <si>
    <t>WOS:000441894200005</t>
  </si>
  <si>
    <t>King, P; Vardy, A; Forrest, AL</t>
  </si>
  <si>
    <t>King, Peter; Vardy, Andrew; Forrest, Alexander L.</t>
  </si>
  <si>
    <t>Teach-and-repeat path following for an autonomous underwater vehicle</t>
  </si>
  <si>
    <t>JOURNAL OF FIELD ROBOTICS</t>
  </si>
  <si>
    <t>extreme environments; marine robotics; planning; underwater robotics</t>
  </si>
  <si>
    <t>This paper presents a teach-and-repeat path-following method for an autonomous underwater vehicle (AUV) navigating long distances in environments where external navigation aides are denied. This method utilizes sonar images to construct a series of reference views along a path, stored as a topological map. The AUV can then renavigate along this path, either to return to the start location or to repeat the route. Utilizing unique assumptions about the sonar image-generation process, this system exhibits robust image-matching capabilities, providing observations to a discrete Bayesian filter that maintains an estimate of progress along the path. Image-matching also provides an estimate of offset from the path, allowing the AUV to correct its heading and effectively close the gap. Over a series of field trials, this system demonstrated online control of an AUV in the ocean environment of Holyrood Arm, Newfoundland and Labrador, Canada. The system was implemented on an International Submarine Engineering Ltd. Explorer AUV and performed multiple path completions over both a 1 and 5 km track. These trials illustrated an AUV operating in a fully autonomous mode, in which navigation was driven solely by sensor feedback and adaptive control. Path-following performance was as desired, with the AUV maintaining close offset to the path.</t>
  </si>
  <si>
    <t>[King, Peter; Forrest, Alexander L.] Univ Tasmania, Australian Maritime Coll, Hobart, Tas 7001, Australia; [Vardy, Andrew] Mem Univ Newfoundland, Dept Elect &amp; Comp Engn, Dept Comp Sci, St John, NF A1C 5S7, Canada; [Forrest, Alexander L.] Univ Calif Davis, Dept Civil &amp; Environm Engn, Davis, CA 95616 USA</t>
  </si>
  <si>
    <t>University of Tasmania; Australian Maritime College; Memorial University Newfoundland; University of California System; University of California Davis</t>
  </si>
  <si>
    <t>King, P (corresponding author), Univ Tasmania, Australian Maritime Coll, Hobart, Tas 7001, Australia.</t>
  </si>
  <si>
    <t>pdking@utas.edu.au</t>
  </si>
  <si>
    <t>Forrest, Alexander L/C-3765-2014; Vardy, Andrew/AAT-8989-2020</t>
  </si>
  <si>
    <t>Vardy, Andrew/0000-0001-7278-5378; King, Peter/0000-0001-9436-0936</t>
  </si>
  <si>
    <t>Atlantic Canada Opportunities Agency [Atlantic Innovation Fund]; Australian Research Council [Special Research Initiative - Antarctic Gateway]</t>
  </si>
  <si>
    <t>Atlantic Canada Opportunities Agency; Australian Research Council(Australian Research Council)</t>
  </si>
  <si>
    <t>Atlantic Canada Opportunities Agency, Grant/Award Number: Atlantic Innovation Fund; Australian Research Council, Grant/Award Number: Special Research Initiative - Antarctic Gateway</t>
  </si>
  <si>
    <t>1556-4959</t>
  </si>
  <si>
    <t>1556-4967</t>
  </si>
  <si>
    <t>J FIELD ROBOT</t>
  </si>
  <si>
    <t>J. Field Robot.</t>
  </si>
  <si>
    <t>10.1002/rob.21776</t>
  </si>
  <si>
    <t>Robotics</t>
  </si>
  <si>
    <t>GM1NX</t>
  </si>
  <si>
    <t>WOS:000437836900007</t>
  </si>
  <si>
    <t>Bermúdez, R; Losada, AP; de Azevedo, AM; Guerra-Varela, J; Pérez-Fernández, D; Sánchez, L; Padrós, F; Nowak, B; Quiroga, MI</t>
  </si>
  <si>
    <t>Bermudez, Roberto; Paula Losada, Ana; Manuela de Azevedo, Ana; Guerra-Varela, Jorge; Perez-Fernandez, David; Sanchez, Laura; Padros, Francesc; Nowak, Barbara; Isabel Quiroga, Maria</t>
  </si>
  <si>
    <t>First description of a natural infection with spleen and kidney necrosis virus in zebrafish</t>
  </si>
  <si>
    <t>megalocytivirus; natural infection; pathology; zebrafish</t>
  </si>
  <si>
    <t>MEGALOCYTIVIRUS FAMILY IRIDOVIRIDAE; ORNAMENTAL FISH; DANIO-RERIO; EXPERIMENTAL TRANSMISSION; MYCOBACTERIUM SPP.; ENLARGED CELLS; MODEL; DISEASE; GOURAMI; GROUPER</t>
  </si>
  <si>
    <t>Zebrafish has become a popular research model in the last years, and several diseases affecting zebrafish research facilities have been reported. However, only one case of naturally occurring viral infections was described for this species. In 2015, infectious spleen and kidney necrosis virus (ISKNV) was detected in zebrafish from a research facility in Spain. Affected fish showed lethargy, loss of appetite, abnormal swimming, distention of the coelomic cavity and, in the most severe cases, respiratory distress, pale gills and petechial haemorrhages at the base of fins. Cytomegaly was the most relevant histopathological finding in organs and tissues, sometimes associated to degenerative and necrotic changes. ISKNV belongs to the relatively newly defined genus Megalocytivirus, family Iridoviridae, comprising large, icosahedral cytoplasmic DNA viruses. This is the first case of naturally occurring Megalocytivirus infection in zebrafish research facilities, associated with morbidity. The virus has been identified based on both pathologic and genetic evidence, to better understand the pathogenesis of the infection in zebrafish and the phylogenetic relationship with other iridoviruses. Given the ability of megalocytiviruses to cross-species boundaries, it seems necessary to implement stringent biosecurity practices as these infections may invalidate experimental data and have major impact on laboratory and cultured fish.</t>
  </si>
  <si>
    <t>[Bermudez, Roberto; Paula Losada, Ana; Manuela de Azevedo, Ana; Isabel Quiroga, Maria] Univ Santiago de Compostela, Dept Anat Anim Prod &amp; Vet Clin Sci, Fac Vet, Lugo, Spain; [Guerra-Varela, Jorge; Perez-Fernandez, David; Sanchez, Laura] Univ Santiago de Compostela, Dept Zool Genet &amp; Phys Anthropol, Fac Vet, Lugo, Spain; [Padros, Francesc] Autonomous Univ Barcelona, Dept Anim Biol Vegetal Biol &amp; Ecol, Barcelona, Spain; [Nowak, Barbara] Univ Tasmania, Inst Marine &amp; Antarctic Studies, Hobart, Tas, Australia</t>
  </si>
  <si>
    <t>Universidade de Santiago de Compostela; Universidade de Santiago de Compostela; Autonomous University of Barcelona; University of Tasmania</t>
  </si>
  <si>
    <t>Bermúdez, R (corresponding author), Univ Santiago de Compostela, Dept Anat Anim Prod &amp; Vet Clin Sci, Fac Vet, Lugo, Spain.</t>
  </si>
  <si>
    <t>roberto.bermudez@usc.es</t>
  </si>
  <si>
    <t>de Azevedo, Ana Manuela/ABH-5619-2020; Sánchez, Laura/L-2411-2014; Pérez-Fernández, David/D-3762-2017; Quiroga, María Isabel/L-1376-2014; Losada, Ana/L-6289-2014; Gómez, ACUIGEN/ABD-5337-2020; Bover, Francesc Padros/L-2074-2014; Nowak, Barbara/J-7261-2014</t>
  </si>
  <si>
    <t>de Azevedo, Ana Manuela/0000-0002-2451-5039; Sánchez, Laura/0000-0001-7927-5303; Losada, Ana/0000-0002-7459-0352; Bover, Francesc Padros/0000-0002-8610-5692; Guerra-Varela, Jorge/0000-0002-8365-7125; Bermudez Pose, Roberto/0000-0003-4969-4122; Nowak, Barbara/0000-0002-0347-643X; Quiroga, Maria Isabel/0000-0001-6832-7665</t>
  </si>
  <si>
    <t>Xunta de Galicia (Galicia, Spain) under the Grupos con Potencial de Crecimiento and de Referencia Competitiva Programme [GPC2015/34, GRC2014/010]</t>
  </si>
  <si>
    <t>Xunta de Galicia (Galicia, Spain) under the Grupos con Potencial de Crecimiento and de Referencia Competitiva Programme</t>
  </si>
  <si>
    <t>Authors would like to thank Dr. Yasuhiko Kawato from the National Research Institute of Aquaculture, Fisheries Research Agency, Yokohama, Japan, for kindly provide the M10 antibody against red sea bream iridovirus. R.B.P., A.P.L., A.M.A., M.I.Q., J.G.-V. and L.S. acknowledge the financial support received from the Xunta de Galicia (Galicia, Spain) under the Grupos con Potencial de Crecimiento and de Referencia Competitiva Programme: GPC2015/34 (R.B.P., A.P.L., A.M.A. and M.I.Q.) and Project GRC2014/010 (J.G.-V. and L.S.).</t>
  </si>
  <si>
    <t>10.1111/jfd.12822</t>
  </si>
  <si>
    <t>GN1DL</t>
  </si>
  <si>
    <t>WOS:000438725100011</t>
  </si>
  <si>
    <t>Han, LH; Mao, XZ; Wang, K; Li, YY; Zhao, MH; Wang, JF; Xue, CH</t>
  </si>
  <si>
    <t>Han, Lihua; Mao, Xiangzhao; Wang, Kai; Li, Yuanyuan; Zhao, Meihui; Wang, Jingfeng; Xue, Changhu</t>
  </si>
  <si>
    <t>Phosphorylated peptides from Antarctic krill (Euphausia superba) ameliorated osteoporosis by activation of osteogenesis-related MAPKs and PI3K/AKT/GSK-3β pathways in dexamethasone-treated mice</t>
  </si>
  <si>
    <t>JOURNAL OF FUNCTIONAL FOODS</t>
  </si>
  <si>
    <t>Antarctic krill; Phosphorylated peptides; Bone formation; Dexamethasone; MAPKs; PI3K/AKF/GSK-3 beta</t>
  </si>
  <si>
    <t>GLUCOCORTICOID-INDUCED OSTEOPOROSIS; MESENCHYMAL STEM-CELLS; BONE-MINERAL DENSITY; OSTEOBLAST DIFFERENTIATION; OVARIECTOMIZED RATS; CARASSIUS-AURATUS; SIGNALING PATHWAY; ALVEOLAR BONE; ANIMAL-MODELS; SEA-CUCUMBER</t>
  </si>
  <si>
    <t>In this study, the effects of phosphorylated peptides from Antarctic krill (PP-AKP) on osteoporosis induced by dexamethasone were investigated in vivo. Results showed that PP-AKP significantly improved bone turnover status, reduced bone loss and degeneration of microarchitecture, in addition to accelerated bone formation. Further mechanism investigation revealed that PP-AKP suppressed the mRNA expression of MKP-1 and CB1, which activated the downstream osteogenesis-related MAPKs and PI3K/AKT/GSK-3 beta signaling pathways through elevation of the expression of the key factors p38, ERK, PI3K, AKT and beta-catenin, in addition to osteogenic nuclear transcription factors Runx2 and OSX. Additionally, reduction in number of adipocytes and an increase in trabeculae in the bone marrow cavity, in addition to a decrease in abdominal adipose further verified that PP-AKP augmented bone formation with a comparable reduction in the accumulation of fat. In conclusion, PP-AKP ameliorated osteoporosis via promoting MAPKs and PI3K/AKT/GSK-3 beta pathways related to bone formation in dexamethasone-treated mice.</t>
  </si>
  <si>
    <t>[Han, Lihua; Mao, Xiangzhao; Wang, Kai; Li, Yuanyuan; Zhao, Meihui; Wang, Jingfeng; Xue, Changhu] Ocean Univ China, Coll Food Sci &amp; Engn, 5 Yushan Rd, Qingdao 266003, Shandong, Peoples R China</t>
  </si>
  <si>
    <t>Ocean University of China</t>
  </si>
  <si>
    <t>Wang, JF; Xue, CH (corresponding author), Ocean Univ China, Coll Food Sci &amp; Engn, 5 Yushan Rd, Qingdao 266003, Shandong, Peoples R China.</t>
  </si>
  <si>
    <t>xzhmao@ouc.edu.cn; jfwang@ouc.edu.cn; xuech@ouc.edu.cn</t>
  </si>
  <si>
    <t>wang, jing/GRS-7509-2022; wang, jing/HJA-5384-2022; Wang, Kai/HTS-5222-2023; wang, jiahui/IXD-1197-2023; wang, dan/JEF-0836-2023; wang, jing/GVT-8700-2022</t>
  </si>
  <si>
    <t>Wang, Kai/0000-0001-5447-8710;</t>
  </si>
  <si>
    <t>National Primary Research &amp; Developement Plan [2017YFF0207805]; Shandong Primary Research &amp; Development Plan [2016YYSP017]; China Agriculture Research System [48]</t>
  </si>
  <si>
    <t>National Primary Research &amp; Developement Plan; Shandong Primary Research &amp; Development Plan; China Agriculture Research System</t>
  </si>
  <si>
    <t>This study was supported by China Agriculture Research System-48, National Primary Research &amp; Developement Plan (No. 2017YFF0207805), and Shandong Primary Research &amp; Development Plan (No. 2016YYSP017).</t>
  </si>
  <si>
    <t>1756-4646</t>
  </si>
  <si>
    <t>J FUNCT FOODS</t>
  </si>
  <si>
    <t>J. Funct. Food.</t>
  </si>
  <si>
    <t>10.1016/j.jff.2018.06.004</t>
  </si>
  <si>
    <t>GN4RH</t>
  </si>
  <si>
    <t>WOS:000439019200048</t>
  </si>
  <si>
    <t>Hirano, D; Fukamachi, Y; Ohshima, KI; Watanabe, E; Mahoney, AR; Eicken, H; Itoh, M; Simizu, D; Iwamoto, K; Jones, J; Takatsuka, T; Kikuchi, T; Tamura, T</t>
  </si>
  <si>
    <t>Hirano, Daisuke; Fukamachi, Yasushi; Ohshima, Kay, I; Watanabe, Eiji; Mahoney, Andrew R.; Eicken, Hajo; Itoh, Motoyo; Simizu, Daisuke; Iwamoto, Katsushi; Jones, Joshua; Takatsuka, Toru; Kikuchi, Takashi; Tamura, Takeshi</t>
  </si>
  <si>
    <t>Winter Water Formation in Coastal Polynyas of the Eastern Chukchi Shelf: Pacific and Atlantic Influences</t>
  </si>
  <si>
    <t>Alaskan Coastal Winter Water; hybrid coastal polynya; sea-ice production; upwelling; ocean heat flux; Chukchi Sea</t>
  </si>
  <si>
    <t>THIN ICE THICKNESS; ARCTIC-OCEAN; INTERANNUAL VARIABILITY; SEA-ICE; BARROW CANYON; WIND-DRIVEN; TRANSPORT; HALOCLINE; LAYER; CIRCULATION</t>
  </si>
  <si>
    <t>Water properties and formation processes of Alaskan Coastal Winter Water (ACWW) over the eastern Chukchi shelf along the Alaska coast, the so-called Barrow Canyon pathway, are examined using data from moorings, atmospheric reanalysis, satellite-derived sea-ice production (SIP), and a numerical tracer experiment. Along this pathway, Pacific Winter Water (PWW) can be modified to produce ACWW through SIP accompanied by production of cold, saline polynya water in the coastal polynyas, upwelling of warm Atlantic Water (AW), and mixing processes on the shelf. Three different types of ACWW are formed: (i) a mixture of AW and PWW, (ii) a mixture of AW and polynya water, and (iii) hypersaline polynya water. The northeasterly winds, correlated with the north-south atmospheric pressure gradient between Beaufort High and Aleutian Low, are common triggers of polynya SIP episodes and AW upwelling in the Barrow Coastal Polynya (BCP). Due to the dual impact of northeasterly winds, PWW modification processes in the BCP are more complicated than what occurs elsewhere in the Chukchi Polynya. The impact of AW upwelling on the ACWW formation is most prominent in the BCP, usually centered along the coast. All types of ACWW are thought to be basically transported westward or northwestward with the Chukchi slope current and/or Beaufort Gyre and finally contribute to maintenance of the lower halocline layer especially over the Chukchi Borderland, Northwind Ridge, and southern Canada Basin. Even in the Pacific sector of the Arctic Ocean, ACWW properties are strongly influenced by both Atlantic-origin and Pacific-origin waters.</t>
  </si>
  <si>
    <t>[Hirano, Daisuke; Fukamachi, Yasushi; Ohshima, Kay, I; Simizu, Daisuke; Takatsuka, Toru] Hokkaido Univ, Inst Low Temp Sci, Sapporo, Hokkaido, Japan; [Hirano, Daisuke; Fukamachi, Yasushi; Ohshima, Kay, I; Mahoney, Andrew R.] Hokkaido Univ, Arctic Res Ctr, Sapporo, Hokkaido, Japan; [Fukamachi, Yasushi; Mahoney, Andrew R.; Eicken, Hajo] Hokkaido Univ, Global Stn Arctic Res, Sapporo, Hokkaido, Japan; [Watanabe, Eiji; Itoh, Motoyo; Kikuchi, Takashi] Japan Agcy Marine Earth Sci &amp; Technol, Yokosuka, Kanagawa, Japan; [Mahoney, Andrew R.; Jones, Joshua] Univ Alaska Fairbanks, Geophys Inst, Fairbanks, AK 99775 USA; [Eicken, Hajo] Univ Alaska Fairbanks, Int Arctic Res Ctr, Fairbanks, AK USA; [Simizu, Daisuke; Iwamoto, Katsushi; Tamura, Takeshi] Natl Inst Polar Res, Tachikawa, Tokyo, Japan; [Iwamoto, Katsushi] City Mombetsu, Mombetsu, Japan; [Iwamoto, Katsushi] Hokkaido Univ, Grad Sch Fisheries Sci, Hakodate, Hokkaido, Japan; [Tamura, Takeshi] Grad Univ Adv Studies, Sch Multidisciplinary Sci, Dept Polar Sci, Tachikawa, Tokyo, Japan; [Tamura, Takeshi] Univ Tasmania, Antarctic Climate &amp; Ecosyst Cooperat Res Ctr, Hobart, Tas, Australia</t>
  </si>
  <si>
    <t>Hokkaido University; Hokkaido University; Hokkaido University; Japan Agency for Marine-Earth Science &amp; Technology (JAMSTEC); University of Alaska System; University of Alaska Fairbanks; University of Alaska System; University of Alaska Fairbanks; Research Organization of Information &amp; Systems (ROIS); National Institute of Polar Research (NIPR) - Japan; Hokkaido University; Graduate University for Advanced Studies - Japan; University of Tasmania; Antarctic Climate &amp; Ecosystems Cooperative Research Centre (ACE CRC)</t>
  </si>
  <si>
    <t>Hirano, D (corresponding author), Hokkaido Univ, Inst Low Temp Sci, Sapporo, Hokkaido, Japan.;Hirano, D (corresponding author), Hokkaido Univ, Arctic Res Ctr, Sapporo, Hokkaido, Japan.</t>
  </si>
  <si>
    <t>hirano@lowtem.hokudai.ac.jp</t>
  </si>
  <si>
    <t>Ohshima, Kay I/D-6909-2012; Fukamachi, Yasushi/D-1895-2012; WATANABE, EIJI/C-2797-2009; Hirano, Daisuke/P-3963-2019</t>
  </si>
  <si>
    <t>Fukamachi, Yasushi/0000-0001-5798-9380; SIMIZU, Daisuke/0000-0003-4214-6756</t>
  </si>
  <si>
    <t>Green Network of Excellence (GRENE) Arctic Climate Change Research Project; Arctic Challenge for Sustainability (ArCS) project of the Ministry of Education, Culture, Sports, Science and Technology; Joint Research Program of the Institute of Low Temperature Science, Hokkaido University; Global Station for Arctic Research; project of Global Institution for Collaborative Research and Education at Hokkaido University; Joint Research Program of the Japan Arctic Research Network Center; National Science Foundation Seasonal Ice Zone Observing Network [OPP-0856867]; U.S. Department of Homeland Security Center for Island, Maritime and Extreme Environment Security (CIMES); research fund for Global Change Observation Mission 1st-Water of the Japan Aerospace Exploration Agency (JAXA); [20221001]; [23654163]; [26800248]; [15H03721]; Office of Polar Programs (OPP); Directorate For Geosciences [1604085] Funding Source: National Science Foundation</t>
  </si>
  <si>
    <t>Green Network of Excellence (GRENE) Arctic Climate Change Research Project; Arctic Challenge for Sustainability (ArCS) project of the Ministry of Education, Culture, Sports, Science and Technology; Joint Research Program of the Institute of Low Temperature Science, Hokkaido University; Global Station for Arctic Research; project of Global Institution for Collaborative Research and Education at Hokkaido University; Joint Research Program of the Japan Arctic Research Network Center; National Science Foundation Seasonal Ice Zone Observing Network; U.S. Department of Homeland Security Center for Island, Maritime and Extreme Environment Security (CIMES); research fund for Global Change Observation Mission 1st-Water of the Japan Aerospace Exploration Agency (JAXA); ; ; ; ; Office of Polar Programs (OPP); Directorate For Geosciences(National Science Foundation (NSF)NSF - Directorate for Geosciences (GEO))</t>
  </si>
  <si>
    <t>We thank UIC Science and CH2MHill Polar Services for planning and field support in mooring operations off Utqiagvik and the North Slope Borough Department of Wildlife Management for use of their boat and assistance from J. Craig George. We also thank Chris Petrich and Haruhiko Kashiwase for field assistance. The SSM/I-SSMIS data were provided by the National Snow and Ice Data Center (NSIDC), University of Colorado. The ERA-Interim data were obtained from the ECMWF Research Data Server (http://data.ecmwf.int/data/). The temperature-conductivity and temperature-pressure data and Acoustic Doppler Current Profiler (ADCP) data at the BCP mooring off Barrow are available at https://arcticdata.io/catalog/#view/doi:10.18739/A2PQ0M and https://arcticdata.io/catalog/#view/doi:10.18739/A2MT1D, respectively. The BCC mooring data in Barrow Canyon are available at http://www.jamstec.go.jp/arctic/data_archive_work/mooring/mooring_dataregist.html. The A4W mooring data in Bering Strait are available at https://data.nodc.noaa.gov/cgi-bin/iso?id=gov.noaa.nodc:0138583 for 2010-2011 and https://data.nodc.noaa.gov/cgi-bin/iso?id=gov.noaa.nodc:0138173 for 2012-2013. The CBL 2002 and Mirai2013 hydrographic (CTD) data are available at https://data.nodc.noaa.gov/cgi-bin/iso?id=gov.noaa.nodc:0138173 and http://www.godac.jamstec.go.jp/darwin/e, respectively. The model experiment was carried out using the Earth Simulator of Japan Agency for Marine-Earth Science and Technology (JAMSTEC). We are also grateful to Yasutaka Yamauchi for his processing of the ADCP data from the BCP moorings and Kohei Mizobata for his useful comments. In Japan, support was provided by Grants-in-Aids for Scientific Research (20221001, 23654163, 26800248, and 15H03721), the Green Network of Excellence (GRENE) Arctic Climate Change Research Project, and Arctic Challenge for Sustainability (ArCS) project of the Ministry of Education, Culture, Sports, Science and Technology, a research fund for Global Change Observation Mission 1st-Water of the Japan Aerospace Exploration Agency (JAXA), the Joint Research Program of the Institute of Low Temperature Science, Hokkaido University, Global Station for Arctic Research, a project of Global Institution for Collaborative Research and Education at Hokkaido University, and the Joint Research Program of the Japan Arctic Research Network Center. In the United States, support was provided by the National Science Foundation Seasonal Ice Zone Observing Network award OPP-0856867 and the U.S. Department of Homeland Security Center for Island, Maritime and Extreme Environment Security (CIMES). Valuable comments and suggestions from two anonymous reviewers are greatly appreciated.</t>
  </si>
  <si>
    <t>10.1029/2017JC013307</t>
  </si>
  <si>
    <t>GU3OM</t>
  </si>
  <si>
    <t>Bronze, Green Published, Green Accepted</t>
  </si>
  <si>
    <t>WOS:000445188900038</t>
  </si>
  <si>
    <t>Minchew, BM; Meyer, CR; Robel, AA; Gudmundsson, GH; Simons, M</t>
  </si>
  <si>
    <t>Minchew, Brent M.; Meyer, Colin R.; Robel, Alexander A.; Gudmundsson, G. Hilmar; Simons, Mark</t>
  </si>
  <si>
    <t>Processes controlling the downstream evolution of ice rheology in glacier shear margins: case study on Rutford Ice Stream, West Antarctica</t>
  </si>
  <si>
    <t>Anisotropic ice flow; Antarctic glaciology; glacial rheology; glacier flow; ice rheology</t>
  </si>
  <si>
    <t>FRACTURE-MECHANICS APPROACH; CRYSTAL SIZE; FLOW; SHEET; DEFORMATION; DYNAMICS; SURFACE; MODEL; MIGRATION; CREVASSES</t>
  </si>
  <si>
    <t>Ice rheology governs how glaciers flow and respond to environmental change. The rheology of glacier ice evolves in response to a variety of mechanisms, including damage, heating, melting and the development of crystalline fabric. The relative contributions of these rheological mechanisms are not well understood. Using remotely sensed data and physical models, we decouple the influence of each of the aforementioned mechanisms along the margins of Rutford Ice Stream, a laterally confined outlet glacier in West Antarctica. We show that fabric is an important control on ice rheology in the shear margins, with an inferred softening effect consistent with a single-maximum fabric. Fabric evolves to steady state near the onset of streaming flow, and ice progressively softens downstream almost exclusively due to shear heating. The rate of heating is sensitive to local shear strain rates, which respond to local changes in bed topography as ice is squeezed through the basal trough. The impact of shear heating on the downstream evolution of ice rheology in a laterally confined glacier suggests that the thermoviscous feedback - wherein faster ice flow leads to higher rates of shear heating, further softening the ice - is a fundamental control on glacier dynamics.</t>
  </si>
  <si>
    <t>[Minchew, Brent M.; Gudmundsson, G. Hilmar] British Antarctic Survey, Cambridge, England; [Meyer, Colin R.] Univ Oregon, Dept Earth Sci, Eugene, OR 97403 USA; [Robel, Alexander A.; Simons, Mark] CALTECH, Seismol Lab, Pasadena, CA 91125 USA; [Robel, Alexander A.] Univ Chicago, Dept Geophys Sci, 5734 S Ellis Ave, Chicago, IL 60637 USA; [Minchew, Brent M.] MIT, Dept Earth Atmospher &amp; Planetary Sci, Cambridge, MA 02139 USA; [Robel, Alexander A.] Northumbria Univ, Geog &amp; Environm Sci, Newcastle Upon Tyne, Tyne &amp; Wear, England</t>
  </si>
  <si>
    <t>UK Research &amp; Innovation (UKRI); Natural Environment Research Council (NERC); NERC British Antarctic Survey; University of Oregon; California Institute of Technology; University of Chicago; Massachusetts Institute of Technology (MIT); Northumbria University</t>
  </si>
  <si>
    <t>Minchew, BM (corresponding author), British Antarctic Survey, Cambridge, England.;Minchew, BM (corresponding author), MIT, Dept Earth Atmospher &amp; Planetary Sci, Cambridge, MA 02139 USA.</t>
  </si>
  <si>
    <t>minchew@mit.edu</t>
  </si>
  <si>
    <t>Robel, Alexander/ISA-7962-2023; Meyer, Colin R./AAC-9138-2019; Simons, Mark/N-4397-2015; Gudmundsson, Gudmundur Hilmar/AAU-5987-2020</t>
  </si>
  <si>
    <t>Robel, Alexander/0000-0003-4520-0105; Meyer, Colin R./0000-0002-1209-1881; Gudmundsson, Gudmundur Hilmar/0000-0003-4236-5369</t>
  </si>
  <si>
    <t>NSF Earth Sciences Postdoctoral Fellowship [EAR-1452587]; NSF Graduate Research Fellowship [DGE-1144152]; David Crighton Fellowship; NOAA Climate &amp; Global Change Postdoctoral Fellowship; Caltech Stanback Postdoctoral Fellowship; NERC [bas0100034] Funding Source: UKRI</t>
  </si>
  <si>
    <t>NSF Earth Sciences Postdoctoral Fellowship; NSF Graduate Research Fellowship(National Science Foundation (NSF)); David Crighton Fellowship; NOAA Climate &amp; Global Change Postdoctoral Fellowship; Caltech Stanback Postdoctoral Fellowship; NERC(UK Research &amp; Innovation (UKRI)Natural Environment Research Council (NERC))</t>
  </si>
  <si>
    <t>We thank Carlos Martin, Robert Arthern, Jenny Suckale, Cooper Elsworth and James Rice for insightful conversations. We also thank two anonymous reviewers for helpful comments. B.M.M. was funded by an NSF Earth Sciences Postdoctoral Fellowship award EAR-1452587. C.R.M. was supported by an NSF Graduate Research Fellowship, award DGE-1144152 and a David Crighton Fellowship. A.A.R. was funded through a NOAA Climate &amp; Global Change Postdoctoral Fellowship and the Caltech Stanback Postdoctoral Fellowship.</t>
  </si>
  <si>
    <t>10.1017/jog.2018.47</t>
  </si>
  <si>
    <t>GQ8VA</t>
  </si>
  <si>
    <t>Green Accepted, gold, Green Published</t>
  </si>
  <si>
    <t>WOS:000442036700006</t>
  </si>
  <si>
    <t>Young, TJ; Schroeder, DM; Christoffersen, P; Lok, LB; Nicholls, KW; Brennan, PV; Doyle, SH; Hubbard, B; Hubbard, A</t>
  </si>
  <si>
    <t>Young, Tun Jan; Schroeder, Dustin M.; Christoffersen, Poul; Lok, Lai Bun; Nicholls, Keith W.; Brennan, Paul V.; Doyle, Samuel H.; Hubbard, Bryn; Hubbard, Alun</t>
  </si>
  <si>
    <t>Resolving the internal and basal geometry of ice masses using imaging phase-sensitive radar</t>
  </si>
  <si>
    <t>Arctic glaciology; glaciological instruments and methods; ground-penetrating radar; radio-echo sounding</t>
  </si>
  <si>
    <t>PHYSICAL CONDITIONS; STORE GLACIER; GREENLAND; CREVASSES; DYNAMICS; CORE; MELT; BED</t>
  </si>
  <si>
    <t>The phase-sensitive radio-echo sounder (pRES) is a powerful new instrument that can measure the depth of internal layers and the glacier bed to millimetre accuracy. We use a stationary 16-antenna pRES array on Store Glacier in West Greenland to measure the three-dimensional orientation of dipping internal reflectors, extending the capabilities of pRES beyond conventional depth sounding. This novel technique portrays the effectiveness of pRES in deriving the orientation of dipping internal layers that may complement profiles obtained through other geophysical surveying methods. Deriving ice vertical strain rates from changes in layer depth as measured by a sequence of pRES observations assumes that the internal reflections come from vertically beneath the antenna. By revealing the orientation of internal reflectors and the potential deviation from nadir of their associated reflections, the use of an antenna array can correct this assumption. While the array configuration was able to resolve the geometry of englacial layers, the same configuration could not be used to accurately image the glacier bed. Here, we use simulations of the performance of different array geometries to identify configurations that can be tailored to study different types of basal geometry for future deployments.</t>
  </si>
  <si>
    <t>[Young, Tun Jan; Christoffersen, Poul] Univ Cambridge, Scott Polar Res Inst, Lensfield Rd, Cambridge, England; [Young, Tun Jan; Nicholls, Keith W.] British Antarctic Survey, Natl Environm Res Council, High Cross, Cambridge, England; [Schroeder, Dustin M.] Stanford Univ, Dept Geophys, Stanford, CA 94305 USA; [Lok, Lai Bun; Brennan, Paul V.] UCL, Dept Elect &amp; Elect Engn, Torrington Pl, London, England; [Doyle, Samuel H.; Hubbard, Bryn] Aberystwyth Univ, Ctr Glaciol, Dept Geog &amp; Earth Sci, Aberystwyth, Dyfed, Wales; [Hubbard, Alun] Arctic Univ Norway, Dept Geol, Ctr Arctic Gas Hydrate, Tromso, Norway</t>
  </si>
  <si>
    <t>University of Cambridge; UK Research &amp; Innovation (UKRI); Natural Environment Research Council (NERC); NERC British Antarctic Survey; Stanford University; University of London; University College London; Aberystwyth University; UiT The Arctic University of Tromso</t>
  </si>
  <si>
    <t>Young, TJ (corresponding author), Univ Cambridge, Scott Polar Res Inst, Lensfield Rd, Cambridge, England.;Young, TJ (corresponding author), British Antarctic Survey, Natl Environm Res Council, High Cross, Cambridge, England.</t>
  </si>
  <si>
    <t>tjy22@cam.ac.uk</t>
  </si>
  <si>
    <t>Christoffersen, Poul/W-3708-2019; Christoffersen, Poul/C-7328-2013</t>
  </si>
  <si>
    <t>Christoffersen, Poul/0000-0003-2643-8724; Doyle, Samuel/0000-0002-0853-431X; Schroeder, Dustin/0000-0003-1916-3929; Hubbard, Bryn/0000-0002-3565-3875; Lok, Lai Bun/0000-0002-0033-9173; Young, Tun Jan/0000-0001-5865-3459</t>
  </si>
  <si>
    <t>UK Natural Environmental Research Council [NE/K005871/1, NE/K006126]; NASA Cryospheric Science grant [NNX16AJ95G]; University of Cambridge Fieldwork Fund; Chung Wei Yi Co. Ltd.; NERC [NE/K006126/1, NE/K005871/1, NE/J013544/1, bas0100033] Funding Source: UKRI</t>
  </si>
  <si>
    <t>UK Natural Environmental Research Council(UK Research &amp; Innovation (UKRI)Natural Environment Research Council (NERC)); NASA Cryospheric Science grant; University of Cambridge Fieldwork Fund; Chung Wei Yi Co. Ltd.; NERC(UK Research &amp; Innovation (UKRI)Natural Environment Research Council (NERC))</t>
  </si>
  <si>
    <t>This research was funded by the UK Natural Environmental Research Council grants NE/K005871/1 (to PC) and NE/K006126 (to BH and AH), a NASA Cryospheric Science grant NNX16AJ95G (to DMS) and grants from the University of Cambridge Fieldwork Fund and Chung Wei Yi Co. Ltd. (to TJY). We thank Marion Bougamont and Joe Todd for assistance in choosing the field site and ancillary data generated by numerical models; Leo Nathan and Coen Hofstede for assistance in the field; the crew of SV Gambo for logistical support; and Ann Andreasen and the Uummannaq Polar Institute who generously helped and provided local support. PC was the lead PI of the project. Authors are listed according to contribution. The codes for processing the field-collected datasets and the simulation, along with an example dataset, will be submitted to the Remote Sensing Code Library (RSCL; http://rscl-grss.org/about.php) shortly after this manuscript is published. Until that time, the codes and datasets are available by request from the corresponding author.</t>
  </si>
  <si>
    <t>10.1017/jog.2018.54</t>
  </si>
  <si>
    <t>WOS:000442036700011</t>
  </si>
  <si>
    <t>Leroy, EC; Thomisch, K; Royer, JY; Boebel, O; Van Opzeeland, I</t>
  </si>
  <si>
    <t>Leroy, Emmanuelle C.; Thomisch, Karolin; Royer, Jean-Yves; Boebel, Olaf; Van Opzeeland, Ilse</t>
  </si>
  <si>
    <t>On the reliability of acoustic annotations and automatic detections of Antarctic blue whale calls under different acoustic conditions</t>
  </si>
  <si>
    <t>INDIAN-OCEAN; SPECTROGRAM CORRELATION; BALAENOPTERA-MUSCULUS; SEA; PERFORMANCES; FREQUENCY; ECHOES; SOUNDS</t>
  </si>
  <si>
    <t>Evaluation of the performance of computer-based algorithms to automatically detect mammalian vocalizations often relies on comparisons between detector outputs and a reference data set, generally obtained by manual annotation of acoustic recordings. To explore the reproducibility of these annotations, inter-and intra-analyst variability in manually annotated Antarctic blue whale (ABW) Z-calls are investigated by two analysts in acoustic data from two ocean basins representing different scenarios in terms of call abundance and background noise. Manual annotations exhibit strong inter-and intra-analyst variability, with less than 50% agreement between analysts. This variability is mainly caused by the difficulty of reliably and reproducibly distinguishing single calls in an ABW chorus made of overlaying distant calls. Furthermore, the performance of two automated detectors, based on spectrogram correlation or subspace-detection strategy, is evaluated by comparing detector output to a conservative manually annotated reference data set, which comprises only analysts' matching events. This study highlights the need for a standardized approach for human annotations and automatic detections, including a quantitative description of their performance, to improve the comparability of acoustic data, which is particularly relevant in the context of collaborative approaches in collecting and analyzing large passive acoustic data sets. (C) 2018 Acoustical Society of America.</t>
  </si>
  <si>
    <t>[Leroy, Emmanuelle C.; Royer, Jean-Yves] CNRS, F-29280 Plouzane, France; [Leroy, Emmanuelle C.; Royer, Jean-Yves] Univ Brest, Inst Univ Europeen Mer, Lab Geosci Ocean, F-29280 Plouzane, France; [Thomisch, Karolin; Boebel, Olaf; Van Opzeeland, Ilse] Alfred Wegener Inst, Helmholtz Zentrum Polar &amp; Meeresforsch, Ocean Acoust Lab, D-27570 Bremerhaven, Germany; [Van Opzeeland, Ilse] Carl von Ossietzky Univ Oldenburg, Helmholtz Inst Funct Marine Biodivers, D-26129 Oldenburg, Germany</t>
  </si>
  <si>
    <t>Centre National de la Recherche Scientifique (CNRS); Universite de Bretagne Occidentale; Universite de Bretagne Occidentale; Institut Universitaire Europeen de la Mer (IUEM); Helmholtz Association; Alfred Wegener Institute, Helmholtz Centre for Polar &amp; Marine Research; Carl von Ossietzky Universitat Oldenburg</t>
  </si>
  <si>
    <t>Leroy, EC (corresponding author), CNRS, F-29280 Plouzane, France.;Leroy, EC (corresponding author), Univ Brest, Inst Univ Europeen Mer, Lab Geosci Ocean, F-29280 Plouzane, France.</t>
  </si>
  <si>
    <t>emmanuelle.leroy@univ-brest.fr</t>
  </si>
  <si>
    <t>Leroy, Emmanuelle/Q-9995-2019; Royer, Jean-Yves/B-4312-2010</t>
  </si>
  <si>
    <t>Leroy, Emmanuelle/0000-0002-6469-1758; Royer, Jean-Yves/0000-0002-7653-7715; Thomisch, Karolin/0000-0002-7144-8369</t>
  </si>
  <si>
    <t>French Polar Institute (IPEV); INSU-CNRS; NOAA/PMEL; University of Brest; Regional Council of Brittany (Conseil Regional de Bretagne); [AWI-PS89_01]</t>
  </si>
  <si>
    <t>French Polar Institute (IPEV); INSU-CNRS(Centre National de la Recherche Scientifique (CNRS)); NOAA/PMEL(National Oceanic Atmospheric Admin (NOAA) - USA); University of Brest; Regional Council of Brittany (Conseil Regional de Bretagne)(Region Bretagne);</t>
  </si>
  <si>
    <t>We sincerely thank Lisa Ganz and Julia Muller for their manual analyses of the data sets. We thank the officers and crew of RV Marion Dufresne for the successful deployments and recoveries of the hydrophones of the DEFLOHYDRO experiments. French cruises were funded by the French Polar Institute (IPEV; cruises MD157, VT95-MD165, VT96-OP2008), with additional support from INSU-CNRS and NOAA/PMEL. Our thanks furthermore extend to the officers and crews of the RV Polarstern during expeditions ANT-IXX/2 and PS89 for their competent support throughout these cruises and to Stefanie Spiesecke and the Physical Oceanography (OZE) mooring team for their work during these expeditions. Thanks to colleagues of the Ocean Acoustics Lab for their support during data analyses. We also thank the members of the SORP Acoustic Trends Working Group for constructive discussions of the results. E.C.L. was supported by a Ph.D. fellowship from the University of Brest and from the Regional Council of Brittany (Conseil Regional de Bretagne). This work was undertaken whilst E.C.L. was visiting AWI, from November 2016 to January 2017, with support from the University of Brest Doctoral School EDSM. Work aboard Polarstern during PS89 was funded through Grant No. AWI-PS89_01.</t>
  </si>
  <si>
    <t>10.1121/1.5049803</t>
  </si>
  <si>
    <t>GS4MV</t>
  </si>
  <si>
    <t>WOS:000443620700031</t>
  </si>
  <si>
    <t>Zhu, YF; Liu, J; Huang, T; Wang, LF; Trull, TW; Dai, MH</t>
  </si>
  <si>
    <t>Zhu, Yifan; Liu, Jing; Huang, Tao; Wang, Lifang; Trull, Thomas W.; Dai, Minhan</t>
  </si>
  <si>
    <t>On the fluorometric measurement of ammonium in oligotrophic seawater: Assessment of reagent blanks and interferences</t>
  </si>
  <si>
    <t>FLOW-INJECTION ANALYSIS; TRACE AMMONIUM; NITRITE; SYSTEM; WATER; FLUORESCENCE; NITRATE; FRESH; OCEAN; CELL</t>
  </si>
  <si>
    <t>Dynamically distributed at trace levels in the open ocean, ammonium is one of the most important and reactive nitrogen compounds in the marine environment. Obtaining reliable measurements of ammonium concentrations is thus a prerequisite to fully understand its role in marine biogeochemical processes, but remains challenging. Among others, quantification and identification of different sources of blanks is an outstanding issue, due partly to the fact that ammonium-free water is very difficult to prepare and/or preserve. Building on a recently developed method using solid phase extraction combined with fluorescence detection (SPE-Flu), we examined the kinetics of the ortho-phthaldialdehyde-sulfite-ammonium reaction and introduce a new approach to quantifying reagent blanks via a reagents addition method. The reagent blank of the method, equivalent to 6.7 +/- 1.5 nmol L-1 of ammonium under our experimental settings, accounted for up to 27% of the ammonium background in seawater samples collected from the oligotrophic ocean. We also showed that the SPE-Flu method is highly specific, with negligible interference from three types of amines and 15 types of amino acids at nanomolar concentrations, which are typical of open ocean regimes. The determination of the reagent blank allowed for optimized data reduction, which was applied to a study in the oligotrophic South China Sea. Water column profiles showed a very well-defined structure and smooth distribution of ammonium concentrations, consistent with the distribution of other parameters. We thus contend that our proposed approach provides a way to further optimize the quantification of ammonium concentrations in natural seawater via the SPE-Flu method.</t>
  </si>
  <si>
    <t>[Zhu, Yifan; Liu, Jing; Huang, Tao; Wang, Lifang; Dai, Minhan] Xiamen Univ, State Key Lab Marine Environm Sci, Xiamen, Fujian, Peoples R China; [Zhu, Yifan; Liu, Jing; Huang, Tao; Wang, Lifang; Dai, Minhan] Xiamen Univ, Coll Ocean &amp; Earth Sci, Xiamen, Fujian, Peoples R China; [Zhu, Yifan] Old Dominion Univ, Dept Ocean Earth &amp; Atmospher Sci, Norfolk, VA USA; [Trull, Thomas W.] Commonwealth Sci &amp; Ind Res Org Oceans &amp; Atmospher, Hobart, Tas, Australia; [Trull, Thomas W.] Antarctic Climate &amp; Ecosyst Cooperat Res Ctr, Hobart, Tas, Australia</t>
  </si>
  <si>
    <t>Xiamen University; Xiamen University; Old Dominion University; Commonwealth Scientific &amp; Industrial Research Organisation (CSIRO); Antarctic Climate &amp; Ecosystems Cooperative Research Centre (ACE CRC)</t>
  </si>
  <si>
    <t>Dai, MH (corresponding author), Xiamen Univ, State Key Lab Marine Environm Sci, Xiamen, Fujian, Peoples R China.;Dai, MH (corresponding author), Xiamen Univ, Coll Ocean &amp; Earth Sci, Xiamen, Fujian, Peoples R China.</t>
  </si>
  <si>
    <t>mdai@xmu.edu.cn</t>
  </si>
  <si>
    <t>DAI, M/GPS-8291-2022; zhu, yifan/JMR-2845-2023; Dai, Minhan/G-3343-2010</t>
  </si>
  <si>
    <t>ZHU, YIFAN/0000-0002-8035-7338; Dai, Minhan/0000-0003-0550-0701</t>
  </si>
  <si>
    <t>Ministry of Science and Technology of China [2015CB954000]; National Natural Science Foundation of China [41730533, 91328202]</t>
  </si>
  <si>
    <t>Ministry of Science and Technology of China(Ministry of Science and Technology, China); National Natural Science Foundation of China(National Natural Science Foundation of China (NSFC))</t>
  </si>
  <si>
    <t>We sincerely thank the captain and crew of the R/V Dong Fang Hong II and chief scientists X. H. Guo, W. F. Chen, and K. B. Zhou for their great support. We are grateful for the comments and suggestions from Dongxing Yuan and Yong Zhu. The manuscript benefited from discussion and comments from Cindy Lee during her time as a MEL Visiting Scholar. John Hodgkiss is thanked for assistance with English. This study was financially supported by the National Key Scientific Research Project sponsored by the Ministry of Science and Technology of China through grant 2015CB954000 and the National Natural Science Foundation of China through grant 41730533 and 91328202.</t>
  </si>
  <si>
    <t>10.1002/lom3.10263</t>
  </si>
  <si>
    <t>GR3MW</t>
  </si>
  <si>
    <t>WOS:000442497000004</t>
  </si>
  <si>
    <t>Truzzi, C; Illuminati, S; Antonucci, M; Scarponi, G; Annibaldi, A</t>
  </si>
  <si>
    <t>Truzzi, C.; Illuminati, S.; Antonucci, M.; Scarponi, G.; Annibaldi, A.</t>
  </si>
  <si>
    <t>Heat shock influences the fatty acid composition of the muscle of the Antarctic fish Trematomus bernacchii</t>
  </si>
  <si>
    <t>Heat shock; Fatty acid composition; Trematomus bernacchii; Muscle; Gas chromatography-mass spectrometry; Antarctica; Principal component analysis</t>
  </si>
  <si>
    <t>MASS SPECTROMETRY OPTIMIZATION; DIPHENYL ETHERS PBDES; TERRA-NOVA BAY; ELEVATED-TEMPERATURE; SEQUENTIAL EXTRACTION; CHIONODRACO-HAMATUS; LIPID-PEROXIDATION; OXIDATIVE STRESS; MEMBRANE-LIPIDS; RAINBOW-TROUT</t>
  </si>
  <si>
    <t>In the Ross Sea region (average temperature of - 1.87 degrees C), shelf water warming up to +0.8-+1.4 degrees C is predicted by 2200, so there is an urgent need to understand how organisms can respond to rising temperatures. In this study, we analyzed the effect of a heat shock on the fatty acid (FM) composition of muscle of the Antarctic teleost Trematomus bernacchii, caught in Terra Nova Bay (Ross Sea), and held in fish tanks at 0, +1 or +2 degrees C, for 1, 5 and 10 days. In general, heat shock produced, beyond a reduction in total lipid content correlated to the temperature, an increase in the percentage of saturated FM, and a decrease in mono-unsaturated FAs; however, the level of poly-unsaturated FM did not seem to directly correlate with temperature. Principal component analysis indicated that both temperature and exposure time affect the composition of FM in the muscle probably through an alteration of the metabolic pathways of FM. In this study, we demonstrated that T. bernacchii was capable to rapidly acclimatize to a heat shock. This study contributes to increasing knowledge on the effect of temperature on the lipid composition of T. bernacchii and is complementary to previous studies on the gene expression and biochemistry of this species face multiple stressors.</t>
  </si>
  <si>
    <t>[Truzzi, C.; Illuminati, S.; Antonucci, M.; Scarponi, G.; Annibaldi, A.] Univ Politecn Marche, Dept Life &amp; Environm Sci, Via Brecce Bianche, I-60131 Ancona, Italy</t>
  </si>
  <si>
    <t>Marche Polytechnic University</t>
  </si>
  <si>
    <t>Annibaldi, A (corresponding author), Univ Politecn Marche, Dept Life &amp; Environm Sci, Via Brecce Bianche, I-60131 Ancona, Italy.</t>
  </si>
  <si>
    <t>a.annibaldi@univpm.it</t>
  </si>
  <si>
    <t>Scarponi, Giuseppe/AAQ-6394-2021; Illuminati, Silvia/GXZ-5038-2022; Illuminati, Silvia/T-7873-2019</t>
  </si>
  <si>
    <t>Scarponi, Giuseppe/0000-0003-2932-0596; Illuminati, Silvia/0000-0001-6465-5477; Antonucci, Matteo/0000-0003-1466-9162</t>
  </si>
  <si>
    <t>Programma Nazionale di Ricerche in Antartide under the project on Chemical Contamination [2013/AZ2.01]</t>
  </si>
  <si>
    <t>Programma Nazionale di Ricerche in Antartide under the project on Chemical Contamination</t>
  </si>
  <si>
    <t>Financial support from the Italian Programma Nazionale di Ricerche in Antartide under the project on Chemical Contamination (project 2013/AZ2.01), Assessment and evolution of the chemical contamination by organic and inorganic constituents in Antarctic coastal areas is gratefully acknowledged. Many thanks are due to the technical personnel of ENEA (Ente Nazionale Energia e Ambiente) at Terra Nova Bay and to the scientists of the Antarctic expedition for the sampling activities on site.</t>
  </si>
  <si>
    <t>10.1016/j.marenvres.2018.03.017</t>
  </si>
  <si>
    <t>GL1ZA</t>
  </si>
  <si>
    <t>WOS:000436911600013</t>
  </si>
  <si>
    <t>Piasecka, ED; Stokes, CR; Winsborrow, MCM; Andreassen, K</t>
  </si>
  <si>
    <t>Piasecka, Emilia D.; Stokes, Chris R.; Winsborrow, Monica C. M.; Andreassen, Karin</t>
  </si>
  <si>
    <t>Relationship between mega-scale glacial lineations and iceberg ploughmarks on the Bjornoyrenna Palaeo-Ice Stream bed, Barents Sea</t>
  </si>
  <si>
    <t>MARINE GEOLOGY</t>
  </si>
  <si>
    <t>Glacial geomorphology; Mega-scale glacial lineations; Groove-ploughing; Bjonoyrenna Palaeo-Ice Stream; Barents Sea Ice Sheet</t>
  </si>
  <si>
    <t>ANTARCTIC SHELF BEDFORMS; SUBGLACIAL BEDFORMS; SUBMARINE LANDFORMS; SPECIAL ATTENTION; DRUMLIN FORMATION; RETREAT DYNAMICS; MELTWATER ORIGIN; WEST ANTARCTICA; FLOW STRIPES; SEISMIC DATA</t>
  </si>
  <si>
    <t>Mega-scale glacial lineations (SGLs) are ridge-groove corrugations aligned in the direction of the former ice flow, tens of kilometers long and up to a few hundred meters wide. They are the most striking subglacial features on the beds of former ice streams and play an important role in modulating ice flow through their influence on bed roughness and subglacial hydrology. Despite the importance of MSGLs, their formation remains enigmatic. Most studies have tended to focus on assemblages of MSGLs and their relationship to other landforms up-ice (e.g. drumlins or bedrock features in ice stream onset zones) but fewer studies have examined their characteristics and transition to other landforms towards ice stream grounding lines. In this paper we investigate the relationship between an assemblage of MSGLs and ploughmarks on the bed of the former Bjornoyrenna Ice Stream in the SW Barents Sea, which occurs in the central part of the ice stream bed. A sample of MSGLs is used to test their potential origin, based on their metrics (width, length) and diagnostic characteristics predicted by formation theories. Results show a down-flow depth decrease of the MSGL grooves, and a shallowing tendency once they transition into ploughmarks. Their width shows an increasing tendency, which we link mostly to the strong divergence of the trough (and ice flow) downstream. The prominent continuity from linear to curvilinear features demonstrates that the grooves associated with MSGLs transition into iceberg ploughmarks. This observation is consistent with the hypothesis that the MSGLs have formed through a mechanism of groove-ploughing, at least in part. The continuity from MSGLs to iceberg ploughmarks resulted from detachment of large icebergs from the grounded ice wall or grounded ice shelf and their ploughing away from the ice margin.</t>
  </si>
  <si>
    <t>[Piasecka, Emilia D.; Winsborrow, Monica C. M.; Andreassen, Karin] UiT Arctic Univ Norway, Ctr Arctic Gas Hydrates Environm &amp; Climate CAGE, Dept Geosci, Tromso, Norway; [Stokes, Chris R.] Univ Durham, Dept Geog, Durham, England</t>
  </si>
  <si>
    <t>UiT The Arctic University of Tromso; Durham University</t>
  </si>
  <si>
    <t>Winsborrow, MCM (corresponding author), UiT Arctic Univ Norway, Ctr Arctic Gas Hydrates Environm &amp; Climate CAGE, Dept Geosci, Tromso, Norway.</t>
  </si>
  <si>
    <t>monica.winsborrow@uit.no</t>
  </si>
  <si>
    <t>Stokes, Chris R/A-1957-2011</t>
  </si>
  <si>
    <t>Winsborrow, Monica/0000-0001-5950-1254</t>
  </si>
  <si>
    <t>European Community's 7th Framework Programme FP7 [317217]; Research Council of Norway [223259]</t>
  </si>
  <si>
    <t>European Community's 7th Framework Programme FP7; Research Council of Norway(Research Council of Norway)</t>
  </si>
  <si>
    <t>This work is a contribution to Glaciated North Atlantic Margins (GLANAM) Initial Training Network funded by the European Community's 7th Framework Programme FP7 2007/2013, Marie-Curie Actions, under Grant Agreement No. 317217. It is also a part of CAGE - the Centre for Arctic Gas Hydrate, Environment and Climate, supported by the Research Council of Norway through its Centres of Excellence funding scheme grant No. 223259. The 3D seismic dataset was kindly provided by Statoil ASA and TGS Norway.</t>
  </si>
  <si>
    <t>0025-3227</t>
  </si>
  <si>
    <t>1872-6151</t>
  </si>
  <si>
    <t>MAR GEOL</t>
  </si>
  <si>
    <t>Mar. Geol.</t>
  </si>
  <si>
    <t>AUG 1</t>
  </si>
  <si>
    <t>10.1016/j.margeo.2018.02.008</t>
  </si>
  <si>
    <t>Geosciences, Multidisciplinary; Oceanography</t>
  </si>
  <si>
    <t>Geology; Oceanography</t>
  </si>
  <si>
    <t>GO6CH</t>
  </si>
  <si>
    <t>Green Accepted, Green Submitted</t>
  </si>
  <si>
    <t>WOS:000440121200012</t>
  </si>
  <si>
    <t>Fransner, O; Noormets, R; Flink, AE; Hogan, KA; Dowdeswell, JA</t>
  </si>
  <si>
    <t>Fransner, O.; Noormets, R.; Flink, A. E.; Hogan, K. A.; Dowdeswell, J. A.</t>
  </si>
  <si>
    <t>Sedimentary processes on the continental slope off Kvitoya and Albertini troughs north of Nordaustlandet, Svalbard - The importance of structural-geological setting in trough-mouth fan development</t>
  </si>
  <si>
    <t>Nordaustlandet continental slope; Sedimentary processes; Trough-mouth fan development</t>
  </si>
  <si>
    <t>WESTERN BARENTS SEA; ICE-SHEET; SUBMARINE LANDFORMS; RISE WEST; MARGIN; FLOW; DYNAMICS; RECONSTRUCTION; STRATIGRAPHY; SPITSBERGEN</t>
  </si>
  <si>
    <t>New marine-geophysical data were analyzed to investigate the sedimentary processes operating on the continental slope north of Nordaustlandet, Svalbard. Kvitoya Trough terminates in a trough-mouth fan (TMF) on the slope, whereas Albertini Trough incises the shelf edge and a TMF is notably absent. Instead, the continental slope beyond Albertini Trough is dominated by thick, acoustically stratified units likely formed by down-slope and along-slope sedimentological processes combined. The morphological and sedimentological differences between Albertini and Kvitoya troughs may partly be due to the larger dimensions of Kvitoya Trough and its associated glacial catchment area relative to Albertini, suggesting that the transport of a larger volume of glacigenic sediments potentially was a contributing factor in building Kvitoya TMF. By contrast, the downfaulted bedrock below outer Albertini Trough provided larger accommodation space for glacigenic sediments which accumulated in an outer-shelf basin, highlighting the importance of the structural-geological setting in TMF development. Debris-flow deposits and/or channel-levee deposits on the lower continental slope and rise off Kvitoya Trough indicate bypassing of glacigenic sediments from the shelf to the deep ocean, a process that is likely a result of locally steep slope gradients (&lt; 9 degrees). The volume of the Kvitoya TMF is smaller than TMFs along the western Svalbard margin, which may be linked to the more erosion-resistant bedrock of the northern margin and/or the comparatively small drainage basin of Kvitoya Trough compared to drainage basins of ice streams that drained westwards from Barents Sea. In addition, the Kvitoya TMF is incised by gullies indicating that they formed after Last Glacial Maximum (LGM) while larger tributary canyons flanking the Kvitoya TMF likely have developed during a longer time span. High seafloor backscatter values in the tributary canyons and gullies are interpreted as coarse-grained deposits that lead down-slope to debris-flow deposits, suggesting an origin for the tributary canyons and gullies through incision by gravity flows of sediment-laden meltwater during and/or after deglaciation.</t>
  </si>
  <si>
    <t>[Fransner, O.; Noormets, R.; Flink, A. E.] Univ Ctr Svalbard, Dept Arctic Geol, N-9171 Longyearbyen, Norway; [Hogan, K. A.] British Antarctic Survey, Nat Environm Res Council, Cambridge CB3 0ET, England; [Dowdeswell, J. A.] Univ Cambridge, Scott Polar Res Inst, Cambridge CB2 1ER, England</t>
  </si>
  <si>
    <t>University Centre Svalbard (UNIS); UK Research &amp; Innovation (UKRI); Natural Environment Research Council (NERC); NERC British Antarctic Survey; University of Cambridge</t>
  </si>
  <si>
    <t>Fransner, O (corresponding author), Univ Ctr Svalbard, Dept Arctic Geol, N-9171 Longyearbyen, Norway.</t>
  </si>
  <si>
    <t>oscarjacob.fransner@unis.no</t>
  </si>
  <si>
    <t>Dowdeswell, Julian/0000-0003-1369-9482; Noormets, Riko/0000-0002-2832-386X</t>
  </si>
  <si>
    <t>People Programme (Marie Curie Actions) of the European Union's Seventh Framework Programme FP7 under REA [317217]; UK Natural Environment Research Council [NER/T/S/2003/00318]; NERC [bas0100030] Funding Source: UKRI</t>
  </si>
  <si>
    <t>People Programme (Marie Curie Actions) of the European Union's Seventh Framework Programme FP7 under REA(European Union (EU)); UK Natural Environment Research Council(UK Research &amp; Innovation (UKRI)Natural Environment Research Council (NERC)); NERC(UK Research &amp; Innovation (UKRI)Natural Environment Research Council (NERC))</t>
  </si>
  <si>
    <t>This research has received funding from the People Programme (Marie Curie Actions) of the European Union's Seventh Framework Programme FP7/2007-2013/ under REA grant agreement no 317217. The research forms part of the GLANAM (GLAciated North Atlantic Margins) Initial Training Network. The crew on R/V Helmer Hansen is acknowledged for the data acquisition assistance. Multibeam-bathymetric data acquired during cruise JR142 of the RAS James Clark Ross was funded through UK Natural Environment Research Council grant NER/T/S/2003/00318 to JAD. Thanks to Martin Wikmar and Robin Dymlind at Clinton Marine Survey, Gothenburg, who let me use their facilities during the completion of this work.</t>
  </si>
  <si>
    <t>10.1016/j.margeo.2017.10.008</t>
  </si>
  <si>
    <t>WOS:000440121200015</t>
  </si>
  <si>
    <t>Kienker, SE; Coleman, RA; Morris, RL; Steinberg, P; Bollard, B; Jarvis, R; Alexander, KA; Strain, EMA</t>
  </si>
  <si>
    <t>Kienker, S. E.; Coleman, R. A.; Morris, R. L.; Steinberg, P.; Bollard, B.; Jarvis, R.; Alexander, K. A.; Strain, E. M. A.</t>
  </si>
  <si>
    <t>Bringing harbours alive: Assessing the importance of eco-engineered coastal infrastructure for different stakeholders and cities</t>
  </si>
  <si>
    <t>MARINE POLICY</t>
  </si>
  <si>
    <t>WILLINGNESS-TO-PAY; ANTHROPOGENIC IMPACTS; PUBLIC-PARTICIPATION; ARMORED SHORELINES; SOCIAL LICENSE; MARINE; URBAN; BIODIVERSITY; OPPORTUNITIES; PRIORITIES</t>
  </si>
  <si>
    <t>Urbanisation and population growth continue to impact already pressured harbour environments, resulting in a proliferation of artificial structures in the marine environment. In response, there is a growing interest in ecological engineering these structures for the benefit of both nature and humankind. Since the decision to build or adapt coastal infrastructure is a socio-economic one, the views and perceptions of different users are likely to influence support for ecological engineering projects. A survey was developed and run in four harbours (Sydney, Hobart, Auckland and Tauranga) to quantify the perceptions of different stakeholder groups towards ecological engineering of artificial structures. This study tested whether respondents with a greater connection, concern for environment, with a higher socio-economic status or who lived in a more modified harbour environment are more likely to be supportive of ecological engineering than other respondents. The study also assessed whether respondents with prior knowledge about the dominant artificial structure in their harbour (seawalls) agreed with the positive effects, disagreed with negative effects, and were more willing to contribute to costs of ecological engineering than those without prior knowledge. Results showed that most people are supportive of ecological engineering (92.55%). However, stakeholders whose work is directly linked to the harbour are more supportive of ecological engineering in Sydney and Auckland, than in Tauranga or Hobart. Environmental concern, education, income and level of harbour modification all have a positive influence on support for ecological engineering. Prior knowledge also influenced willingness to pay for ecological engineering. These results are promising for councils and managers seeking to implement ecological engineering initiatives, and looking to understand stakeholder groups' attitudes and perceptions towards ecological engineering initiatives. Greater consideration of both ecology and public users' values are required for more holistic management strategies of artificial structures in urban marine harbours.</t>
  </si>
  <si>
    <t>[Kienker, S. E.; Coleman, R. A.] Univ Sydney, Sch Life &amp; Environm Sci, Ctr Res Ecol Impacts Coastal Cities, Sydney, NSW 2006, Australia; [Kienker, S. E.; Coleman, R. A.; Steinberg, P.; Strain, E. M. A.] Sydney Inst Marine Sci, 19 Chowder Bay Rd, Mosman, NSW 2088, Australia; [Morris, R. L.] Univ New South Wales, Sch Biol Earth &amp; Environm Sci, Evolut &amp; Ecol Res Ctr, Sydney, NSW 2052, Australia; [Morris, R. L.; Strain, E. M. A.] Univ Melbourne, Natl Ctr Coasts &amp; Climate, Melbourne, Vic 3010, Australia; [Bollard, B.; Jarvis, R.] Auckland Univ Technol, Inst Appl Ecol, Auckland 1010, New Zealand; [Alexander, K. A.] Ctr Marine Socioecol, Private Bag 129, Hobart, Tas 7001, Australia; [Alexander, K. A.] Univ Tasmania, Inst Marine &amp; Antarctic Studies, Private Bag 129, Hobart, Tas 7001, Australia</t>
  </si>
  <si>
    <t>University of Sydney; Sydney Institute of Marine Science; University of New South Wales Sydney; University of Melbourne; Melbourne Genomics Health Alliance; Auckland University of Technology; University of Tasmania</t>
  </si>
  <si>
    <t>Kienker, SE (corresponding author), Univ Sydney, Sch Life &amp; Environm Sci, Ctr Res Ecol Impacts Coastal Cities, Sydney, NSW 2006, Australia.</t>
  </si>
  <si>
    <t>skie0674@uni.sydney.edu.au</t>
  </si>
  <si>
    <t>Morris, Rebecca/AAB-3364-2020; Strain, Elisabeth/U-3520-2017; Alexander, Karen/O-7042-2017</t>
  </si>
  <si>
    <t>Jarvis, Rebecca/0000-0002-6297-4906; Steinberg, Peter/0000-0002-1781-0726; Strain, Elisabeth/0000-0003-2165-9544; Alexander, Karen/0000-0001-8801-413X; Morris, Rebecca/0000-0003-0455-0811; Bollard, Barbara/0000-0003-2103-8561</t>
  </si>
  <si>
    <t>Centre for Research on Ecological Impacts of Coastal Cities at the University of Sydney; Ian Potter Foundation; Harding Miller Foundation; New South Wales Office of Environment and Heritage</t>
  </si>
  <si>
    <t>Centre for Research on Ecological Impacts of Coastal Cities at the University of Sydney(University of Sydney); Ian Potter Foundation; Harding Miller Foundation; New South Wales Office of Environment and Heritage</t>
  </si>
  <si>
    <t>Financial support came from the Centre for Research on Ecological Impacts of Coastal Cities at the University of Sydney, The Ian Potter Foundation, Harding Miller Foundation, and New South Wales Office of Environment and Heritage. Special thanks to Alicia Donnellan Barraclough, Dominic McAfee and Stephanie Bagala for their help with the fieldwork. This is Sydney Institute of Marine Science publication number 224 and is part of the World Harbour Project.</t>
  </si>
  <si>
    <t>0308-597X</t>
  </si>
  <si>
    <t>1872-9460</t>
  </si>
  <si>
    <t>MAR POLICY</t>
  </si>
  <si>
    <t>Mar. Pol.</t>
  </si>
  <si>
    <t>10.1016/j.marpol.2018.04.028</t>
  </si>
  <si>
    <t>Environmental Studies; International Relations</t>
  </si>
  <si>
    <t>Environmental Sciences &amp; Ecology; International Relations</t>
  </si>
  <si>
    <t>GN0LJ</t>
  </si>
  <si>
    <t>WOS:000438659600027</t>
  </si>
  <si>
    <t>[Anonymous]</t>
  </si>
  <si>
    <t>Decades of satellite monitoring reveal Antarctic ice loss</t>
  </si>
  <si>
    <t>MARINE POLLUTION BULLETIN</t>
  </si>
  <si>
    <t>0025-326X</t>
  </si>
  <si>
    <t>1879-3363</t>
  </si>
  <si>
    <t>MAR POLLUT BULL</t>
  </si>
  <si>
    <t>Mar. Pollut. Bull.</t>
  </si>
  <si>
    <t>GQ6RU</t>
  </si>
  <si>
    <t>WOS:000441853600113</t>
  </si>
  <si>
    <t>Muñoz, G; Vildoso, F; George-Nascimento, M</t>
  </si>
  <si>
    <t>Munoz, Gabriela; Vildoso, Francisco; George-Nascimento, Mario</t>
  </si>
  <si>
    <t>Parasite community of a temporal notothen fish from intertidal rocky pools in south-central Chile: Is it similar to other fish from the same habitat?</t>
  </si>
  <si>
    <t>REVISTA DE BIOLOGIA MARINA Y OCEANOGRAFIA</t>
  </si>
  <si>
    <t>Parasite communities; parasitic similarity; Notothenia; intertidal pools; Chilean coast</t>
  </si>
  <si>
    <t>BIBLIOGRAPHIC REVISION; PISCES BLENNIIDAE; AQUATIC SYSTEMS; PATTERNS; COAST; INFRACOMMUNITIES; COEXISTENCE; ASSEMBLAGE; CORIICEPS; RESIDENT</t>
  </si>
  <si>
    <t>Notothen fishes (Nototheniidae) have been recorded on the coasts of South America, from 35 degrees S to southern. Little is known about the biology of intertidal notothen fishes or their relationships with other species, including parasites. Here, we analyzed the parasitic fauna of a species of Notothenia collected from the rocky intertidal of Lebu, south-central Chile (36 degrees S) and compared the parasite community of this host with other 9 fish species commonly found in intertidal rocky pools. Among the tested species, Notothenia sp. had the highest parasite richness (21 parasitic taxa vs. 1 to 9 parasitic taxa). The composition of parasite species was different among fishes, with similarity indices between 0 and 33%. The parasite composition of Notothenia sp. was most similar to Calliclinus geniguttatus (27%). The most abundant and prevalent parasites found in Notothenia sp. were the copepod Caligus cf. cheilodactyli, Tetraphyllidea larvae, anisakid nematodes, and several acanthocephalan species, which are typical of other fish from the subtidal and bento-demersal zones. Therefore, we conclude that the juveniles of Notothenia sp. were a few months old and had their parasites when reaching the intertidal zone, acquired some generalist parasites during their stay in this habitat, such as Holobomolochus chilensis and Lecithaster macrocotyle. Most notothen fishes are from Antarctic and Sub-Antarctic waters, therefore, it is possible that this fish came from another habitat but also from the austral region of South America. Notothenia sp. could not be specifically identified because of different results between morphological and genetic analyses.</t>
  </si>
  <si>
    <t>[Munoz, Gabriela; Vildoso, Francisco] Univ Valparaiso, Fac Ciencias Mar &amp; Recursos Nat, Ave Borgono 16344, Vina Del Mar, Chile; [George-Nascimento, Mario] Univ Catolica Santisima Concepcion, Fac Ciencias, Dept Ecol, Alonso de Ribera 2850, Concepcion, Chile</t>
  </si>
  <si>
    <t>Universidad de Valparaiso; Universidad Catolica de la Santisima Concepcion</t>
  </si>
  <si>
    <t>Muñoz, G (corresponding author), Univ Valparaiso, Fac Ciencias Mar &amp; Recursos Nat, Ave Borgono 16344, Vina Del Mar, Chile.</t>
  </si>
  <si>
    <t>gabriela.munoz@mv.cl</t>
  </si>
  <si>
    <t>FONDECYT [1130304]; INACH [RT 32-16]</t>
  </si>
  <si>
    <t>FONDECYT(Comision Nacional de Investigacion Cientifica y Tecnologica (CONICYT)CONICYT FONDECYT); INACH</t>
  </si>
  <si>
    <t>This study was supported by the FONDECYT Regular Grant 1130304, and partially supported by the INACH Grant RT 32-16. We thank Dr. Guido Plaza, Escuela de Ciencias del Mar, Pontificia Universidad Catolica de Valparaiso, Chile, for his help in determining fish ages. We also thank Pablo Conejeros and Melissa Rebolledo (Universidad de Valparaiso) for their assistance in molecular analysis.</t>
  </si>
  <si>
    <t>UNIV VALPARAISO, Faculty Marine Sciences and Natural Resources</t>
  </si>
  <si>
    <t>CASILLA 5080 - RENACA, VINA DEL MAR, 00000, CHILE</t>
  </si>
  <si>
    <t>0717-3326</t>
  </si>
  <si>
    <t>0718-1957</t>
  </si>
  <si>
    <t>REV BIOL MAR OCEANOG</t>
  </si>
  <si>
    <t>Rev. Biol. Mar. Oceanogr.</t>
  </si>
  <si>
    <t>10.22370/rbmo.2018.53.2.1294</t>
  </si>
  <si>
    <t>HB8LJ</t>
  </si>
  <si>
    <t>WOS:000451340500006</t>
  </si>
  <si>
    <t>Schiller, L; Bailey, M; Jacquet, J; Sala, E</t>
  </si>
  <si>
    <t>Schiller, Laurenne; Bailey, Megan; Jacquet, Jennifer; Sala, Enric</t>
  </si>
  <si>
    <t>High seas fisheries play a negligible role in addressing global food security</t>
  </si>
  <si>
    <t>TRADE; FISH; POPULATION; TOOTHFISH; DRIVERS; TRENDS; OCEAN; TUNA</t>
  </si>
  <si>
    <t>Recent international negotiations have highlighted the need to protect marine diversity on the high seas the ocean area beyond national jurisdiction. However, restricting fishing access on the high seas raises many concerns, including how such restrictions would affect food security. We analyze high seas catches and trade data to determine the contribution of the high seas catch to global seafood production, the main species caught on the high seas, and the primary markets where these species are sold. By volume, the total catch from the high seas accounts for 4.2% of annual marine capture fisheries production and 2.4% of total seafood production, including freshwater fisheries and aquaculture. Thirty-nine fish and invertebrate species account for 99.5% of the high seas targeted catch, but only one species, Antarctic toothfish, is caught exclusively on the high seas. The remaining catch, which is caught both on the high seas and in national jurisdictions, is made up primarily of tunas, billfishes, small pelagic fishes, pelagic squids, toothfish, and krill. Most high seas species are destined for upscale food and supplement markets in developed, food-secure countries, such as Japan, the European Union, and the United States, suggesting that, in aggregate, high seas fisheries play a negligible role in ensuring global food security.</t>
  </si>
  <si>
    <t>[Schiller, Laurenne; Bailey, Megan] Dalhousie Univ, Marine Affairs Program, Halifax, NS B3H 4R2, Canada; [Schiller, Laurenne] Ocean Wise, Vancouver, BC V6G 3E2, Canada; [Jacquet, Jennifer] NYU, Dept Environm Studies, 550 1St Ave, New York, NY 10003 USA; [Sala, Enric] Natl Geog Soc, Washington, DC 20036 USA</t>
  </si>
  <si>
    <t>Dalhousie University; New York University; National Geographic Society</t>
  </si>
  <si>
    <t>Schiller, L (corresponding author), Dalhousie Univ, Marine Affairs Program, Halifax, NS B3H 4R2, Canada.;Schiller, L (corresponding author), Ocean Wise, Vancouver, BC V6G 3E2, Canada.</t>
  </si>
  <si>
    <t>laurenne.schiller@dal.ca</t>
  </si>
  <si>
    <t>Schiller, Laurenne/0000-0003-0329-9792; Bailey, Megan/0000-0002-8645-3638</t>
  </si>
  <si>
    <t>National Geographic Pristine Seas; Pew Marine Conservation Fellowship</t>
  </si>
  <si>
    <t>National Geographic Pristine Seas(National Geographic Society); Pew Marine Conservation Fellowship</t>
  </si>
  <si>
    <t>This work was funded by National Geographic Pristine Seas. J.J. is also supported by a Pew Marine Conservation Fellowship.</t>
  </si>
  <si>
    <t>eaat8351</t>
  </si>
  <si>
    <t>10.1126/sciadv.aat8351</t>
  </si>
  <si>
    <t>GS3JT</t>
  </si>
  <si>
    <t>WOS:000443498100076</t>
  </si>
  <si>
    <t>Hao, WF; Li, F; Xiao, C; Yan, JG; Ye, M</t>
  </si>
  <si>
    <t>Hao, Weifeng; Li, Fei; Xiao, Chi; Yan, Jianguo; Ye, Mao</t>
  </si>
  <si>
    <t>Understanding the Moon's internal structure through moonquake observations and remote sensing technologies</t>
  </si>
  <si>
    <t>SCIENCE CHINA-EARTH SCIENCES</t>
  </si>
  <si>
    <t>Moon; Mascon; Moonquake; Remote sensing; Lunar internal structure</t>
  </si>
  <si>
    <t>DEEP LUNAR INTERIOR; SEISMIC TOMOGRAPHY; GRAVITY-FIELD; CORE SIZE; MODEL; INVERSION; GRAIL; CONSTRAINTS; THICKNESS; MANTLE</t>
  </si>
  <si>
    <t>Explorations for the interior structure of the Moon mainly involve three technologies: the early gravitational observations via circumlunar satellites, the moonquake observations during the Apollo period, and the recent high-resolution remote sensing observations. Based on these technologies, we divided the development of the moon's interior structure into three stages. The first stage is the discovery of high-density anomalous masses (mascons) on the lunar surface with the low-order gravitational field models, which were obtained by observing perturbations of the early lunar orbital satellites. The second stage is the preliminary understanding of the layer structure with the help of moonquake observations during the Apollo period. The third stage is the deep understanding of the structure of the lunar crust, mantle, and core, with the use of high-resolution remote sensing data and the reassessment of moonquake data from the Apollo's mission. This paper gave detailed introduction and comments on different observation technologies, gathered data, and data processing techniques used at the three stages. In addition, this paper analyzed the current issues in the researches on the Moon's internal structure and discussed the prospects for future explorations.</t>
  </si>
  <si>
    <t>[Hao, Weifeng; Li, Fei; Xiao, Chi] Wuhan Univ, Chinese Antarctic Ctr Surveying &amp; Mapping, Wuhan 430079, Hubei, Peoples R China; [Li, Fei; Yan, Jianguo; Ye, Mao] Wuhan Univ, State Key Lab Informat Engn Surveying Mapping &amp; R, Wuhan 430079, Hubei, Peoples R China</t>
  </si>
  <si>
    <t>Wuhan University; Wuhan University</t>
  </si>
  <si>
    <t>Li, F (corresponding author), Wuhan Univ, Chinese Antarctic Ctr Surveying &amp; Mapping, Wuhan 430079, Hubei, Peoples R China.;Li, F (corresponding author), Wuhan Univ, State Key Lab Informat Engn Surveying Mapping &amp; R, Wuhan 430079, Hubei, Peoples R China.</t>
  </si>
  <si>
    <t>fli@whu.edu.cn; jgyan@whu.edu.cn</t>
  </si>
  <si>
    <t>Xiao, Chi/AFD-1063-2022</t>
  </si>
  <si>
    <t>National Natural Science Foundation of China [41604004, 41374024]; Hubei Province Natural Science Foundation Innovation Group Project [2015CFA011]</t>
  </si>
  <si>
    <t>National Natural Science Foundation of China(National Natural Science Foundation of China (NSFC)); Hubei Province Natural Science Foundation Innovation Group Project</t>
  </si>
  <si>
    <t>We are grateful to the anonymous reviewers for their constructive feedback, which improved the quality of this paper. This work was supported in part by the National Natural Science Foundation of China (Grant Nos. 41604004, 41374024) and the Hubei Province Natural Science Foundation Innovation Group Project (Grant No. 2015CFA011).</t>
  </si>
  <si>
    <t>1674-7313</t>
  </si>
  <si>
    <t>1869-1897</t>
  </si>
  <si>
    <t>SCI CHINA EARTH SCI</t>
  </si>
  <si>
    <t>Sci. China-Earth Sci.</t>
  </si>
  <si>
    <t>10.1007/s11430-017-9197-4</t>
  </si>
  <si>
    <t>GO6GZ</t>
  </si>
  <si>
    <t>WOS:000440139000001</t>
  </si>
  <si>
    <t>de Waal, RJO; Bekker, A; Heyns, PS</t>
  </si>
  <si>
    <t>de Waal, R. J. O.; Bekker, A.; Heyns, P. S.</t>
  </si>
  <si>
    <t>Data for indirect load case estimation of ice-induced moments from shaft line torque measurements</t>
  </si>
  <si>
    <t>REGULARIZATION</t>
  </si>
  <si>
    <t>During ice navigation, blade measurements of ice-induced moments on ship propellers, are challenged by the harsh operating environment. To overcome this problem, shaft line measurements are performed inboard, and the required propeller loads are subsequently estimated using a dynamic model and the solution of an inverse problem. The inverse problem is mathematically ill-posed and requires the determination of the ice-induced moment on the propeller blades from shaft line measurements. Full-scale torsional response data is presented as calculated from indirect strain measurements on the shaft line of a polar supply and research vessel. The vessel operated on a 68-day voyage between Cape Town and Antarctica and spent almost 11 days in sea ice with observed concentrations above 90% and a maximum thickness of 3 m. Data for five ice induced load cases are presented, including the shaft torque from indirect measurements and the estimated ice-induced moment, which is obtained by solving an ill-posed inverse problem. The ice-induced moments on the propeller are obtained by approximating the drive-train as a viscously damped, elastic lumped mass model. The ice-induced moment is then determined through existing approaches to solving the ill-conditioned inverse problem. The lumped mass model is presented along with algorithms to solve the inverse problem, including truncated singular value decomposition, truncated generalized singular value decomposition and Tikhonov's method. The resulting time series data for the inversely calculated ice-induced moments is published to provide industry with load cases for ice-going propulsion design. (C) 2018 The Authors. Published by Elsevier Inc.</t>
  </si>
  <si>
    <t>[de Waal, R. J. O.; Bekker, A.] Stellenbosch Univ, Dept Mech &amp; Mechatron Engn, Sound &amp; Vibrat Res Grp, Stellenbosch, South Africa; [Heyns, P. S.] Univ Pretoria, Ctr Asset Integr Management, Pretoria, South Africa</t>
  </si>
  <si>
    <t>Stellenbosch University; University of Pretoria</t>
  </si>
  <si>
    <t>Bekker, A (corresponding author), Stellenbosch Univ, Dept Mech &amp; Mechatron Engn, Sound &amp; Vibrat Res Grp, Stellenbosch, South Africa.</t>
  </si>
  <si>
    <t>annieb@sun.ac.za</t>
  </si>
  <si>
    <t>National Research Foundation (NRF) through the South African National Antarctic Program [SNA14072479895, 93070]</t>
  </si>
  <si>
    <t>National Research Foundation (NRF) through the South African National Antarctic Program</t>
  </si>
  <si>
    <t>This research was enabled through the financial assistance of the National Research Foundation (NRF) through the South African National Antarctic Program (SNA14072479895, grant no. 93070). The collaboration of the vessel owner, the Department of Environmental Affairs of South Africa, is gratefully acknowledged.</t>
  </si>
  <si>
    <t>10.1016/j.dib.2018.05.115</t>
  </si>
  <si>
    <t>HA0AV</t>
  </si>
  <si>
    <t>WOS:000449869100154</t>
  </si>
  <si>
    <t>Crawford, O; Al-Attar, D; Tromp, J; Mitrovica, JX; Austermann, J; Lau, HCP</t>
  </si>
  <si>
    <t>Crawford, Ophelia; Al-Attar, David; Tromp, Jeroen; Mitrovica, Jerry X.; Austermann, Jacqueline; Lau, Harriet C. P.</t>
  </si>
  <si>
    <t>Quantifying the sensitivity of post-glacial sea level change to laterally varying viscosity</t>
  </si>
  <si>
    <t>Sea level change; Transient deformation; Inverse theory; Numerical modelling; Dynamics of lithosphere and mantle</t>
  </si>
  <si>
    <t>GLACIAL ISOSTATIC-ADJUSTMENT; ADJOINT METHODS; EARTH MODEL; SEISMIC TOMOGRAPHY; MANTLE VISCOSITY; RESOLVING POWER; GENERAL-THEORY; SURFACE; DEFORMATION; KERNELS</t>
  </si>
  <si>
    <t>We present a method for calculating the derivatives of measurements of glacial isostatic adjustment (GIA) with respect to the viscosity structure of the Earth and the ice-sheet history. These derivatives, or kernels, quantify the linearized sensitivity of measurements to the underlying model parameters. The adjoint method is used to enable efficient calculation of theoretically exact sensitivity kernels within laterally heterogeneous earth models that can have a range of linear or nonlinear viscoelastic rheologies. We first present a new approach to calculate GIA in the time domain, which, in contrast to the more usual formulation in the Laplace domain, is well suited to continuously varying earth models and to the use of the adjoint method. Benchmarking results show excellent agreement between our formulation and previous methods. We illustrate the potential applications of the kernels calculated in this way through a range of numerical calculations relative to a spherically symmetric background model. The complex spatial patterns of the sensitivities are not intuitive, and this is the first time that such effects are quantified in an efficient and accurate manner.</t>
  </si>
  <si>
    <t>[Crawford, Ophelia; Al-Attar, David; Austermann, Jacqueline] Univ Cambridge, Dept Earth Sci, Bullard Labs, Madingley Rd, Cambridge CB3 0EZ, England; [Tromp, Jeroen] Princeton Univ, Dept Geosci, Princeton, NJ 08544 USA; [Tromp, Jeroen] Princeton Univ, Program Appl &amp; Computat Math, Princeton, NJ 08544 USA; [Mitrovica, Jerry X.; Lau, Harriet C. P.] Harvard Univ, Dept Earth &amp; Planetary Sci, 20 Oxford St, Cambridge, MA 02138 USA; [Austermann, Jacqueline] Columbia Univ, Lamont Doherty Geol Observ, Palisades, NY 10964 USA</t>
  </si>
  <si>
    <t>University of Cambridge; Princeton University; Princeton University; Harvard University; Columbia University</t>
  </si>
  <si>
    <t>Crawford, O (corresponding author), Univ Cambridge, Dept Earth Sci, Bullard Labs, Madingley Rd, Cambridge CB3 0EZ, England.</t>
  </si>
  <si>
    <t>oc251@cam.ac.uk</t>
  </si>
  <si>
    <t>; Tromp, Jeroen/B-6185-2015</t>
  </si>
  <si>
    <t>Lau, Harriet/0000-0003-0311-695X; Tromp, Jeroen/0000-0002-2742-8299; Austermann, Jacqueline/0000-0003-3754-5082</t>
  </si>
  <si>
    <t>NERC studentship; CASE award from the British Antarctic Survey; Royal Society</t>
  </si>
  <si>
    <t>NERC studentship(UK Research &amp; Innovation (UKRI)Natural Environment Research Council (NERC)); CASE award from the British Antarctic Survey; Royal Society(Royal Society)</t>
  </si>
  <si>
    <t>OC is supported by an NERC studentship and a CASE award from the British Antarctic Survey. JA acknowledges funding from the Royal Society. We thank John Woodhouse for providing a new routine for efficient computation of generalized Legendre functions. We are grateful to Anthony Purcell, an anonymous reviewer and editor Duncan Agnew for their helpful comments and suggestions.</t>
  </si>
  <si>
    <t>10.1093/gji/ggy184</t>
  </si>
  <si>
    <t>GY0UT</t>
  </si>
  <si>
    <t>WOS:000448238600036</t>
  </si>
  <si>
    <t>Panassa, E; Völker, C; Wolf-Gladrow, D; Hauck, J</t>
  </si>
  <si>
    <t>Panassa, E.; Voelker, C.; Wolf-Gladrow, D.; Hauck, J.</t>
  </si>
  <si>
    <t>Drivers of Interannual Variability of Summer Mixed Layer Depth in the Southern Ocean Between 2002 and 2011</t>
  </si>
  <si>
    <t>OVERTURNING CIRCULATION; ANTHROPOGENIC CARBON; ANNULAR MODE; TRENDS; INTENSIFICATION; PACIFIC; CLOSURE; OZONE</t>
  </si>
  <si>
    <t>Climate change projections indicate that there will be warming and an intensification of westerly winds in the Southern Ocean (SO) in the future. These two forcings potentially have opposing effects on the depth of the surface mixed layer. Here we investigate how interannual to decadal variability of atmospheric surface air temperature (SAT) and zonal wind speed (uwind) impact mixed layer depth (MLD) in the SO (south of 30 degrees S) during summer, the season of main biological activity. We use gridded MLD data from observations and atmospheric reanalysis data of uwind and SAT in the SO to assess summer MLD variability and its potential drivers. With a model-based sensitivity experiment, we quantify the relative contributions of uwind versus SAT forcing on the summer MLD in the decade 2002-2011. Wind-induced changes dominate over temperature-induced changes of the MLD between 2002 and 2011. We find a positive trend of summer MLD in the Antarctic Zone of the Atlantic and Indian Ocean sectors. Our model-based sensitivity study suggests that the summer MLD shows a zonally asymmetric response to recent atmospheric forcing. In the Pacific and Australian sectors, cooling and intensification of uwind jointly result in a deepening of the mixed layer. In the Atlantic and Indian sectors, the MLD responds differently north and south of the Antarctic Polar Front (APF). A deepening south of the APF is caused by the increase in uwind, whereas the decrease in uwind and warming act in concert to result in a shoaling of the MLD north of the APF.</t>
  </si>
  <si>
    <t>[Panassa, E.; Voelker, C.; Wolf-Gladrow, D.; Hauck, J.] AWI, Helmholtz Zentrum Polar &amp; Meeresforsch, Bremerhaven, Germany</t>
  </si>
  <si>
    <t>Panassa, E (corresponding author), AWI, Helmholtz Zentrum Polar &amp; Meeresforsch, Bremerhaven, Germany.</t>
  </si>
  <si>
    <t>essowe.panassa@awi.de</t>
  </si>
  <si>
    <t>Voelker, Christoph/I-7891-2012; Hauck, Judith/AAC-3967-2019</t>
  </si>
  <si>
    <t>Voelker, Christoph/0000-0003-3032-114X; Hauck, Judith/0000-0003-4723-9652</t>
  </si>
  <si>
    <t>Helmholtz PostDoc Programme [PD-102]</t>
  </si>
  <si>
    <t>Helmholtz PostDoc Programme</t>
  </si>
  <si>
    <t>We thank the reviewers for their constructive comments that significantly helped to improve this work. We acknowledge open access to the ERA-Interim and CORA4.0 data sets. The ERA-Interim reanalysis data are available on http://www.ecmwf.int/en/research/climate-reanalysis/era-interim, and the CORA4.0 data set is made freely available by the Coriolis project and programmes that contribute to it . E. P. and J. H. were funded by the Helmholtz PostDoc Programme PD-102 (Initiative and Networking Fund of the Helmholtz Association).</t>
  </si>
  <si>
    <t>10.1029/2018JC013901</t>
  </si>
  <si>
    <t>Green Submitted, hybrid, Green Published</t>
  </si>
  <si>
    <t>WOS:000445188900002</t>
  </si>
  <si>
    <t>Paniagua, GF; Saraceno, M; Piola, AR; Guerrero, R; Provost, C; Ferrari, R; Lago, LS; Artana, CI</t>
  </si>
  <si>
    <t>Paniagua, Guillermina F.; Saraceno, Martin; Piola, Alberto R.; Guerrero, Raul; Provost, Christine; Ferrari, Ramiro; Lago, Loreley S.; Artana, Camila, I</t>
  </si>
  <si>
    <t>Malvinas Current at 40°S-41°S: First Assessment of Temperature and Salinity Temporal Variability</t>
  </si>
  <si>
    <t>Malvinas Current; Temperature; Salinity; Moorings; Time series</t>
  </si>
  <si>
    <t>SOUTH-ATLANTIC; VOLUME TRANSPORT; 41-DEGREES-S; FRONTS</t>
  </si>
  <si>
    <t>The temporal variability of 11 months of in situ velocity, temperature, and salinity data collected at five moorings deployed at 40 degrees S-41 degrees S across the shelf-break in the Southwestern Atlantic is analyzed. Two distinct regimes characterized by strong and weak along-slope velocities are present. During the strong regime the Malvinas Current flows northward through the moorings while during the nearly 5 months long weak regime reversals of the along-slope velocities are frequently observed. Comparison with the previous in situ time series obtained in the same region shows that such an extended period of weak flow has not been previously observed. During the weak regime, Sub-Antarctic Mode Water is observed over the 1,800 m isobath at an average depth of 500 m. Water masses occupying the upper 1,600 m during the strong regime deepen and shift eastward during the weak period. Satellite geostrophic velocities and sea surface temperature clearly show that the weak regime is due to a deflection to the east of the Malvinas Current, upstream of the mooring position. Analysis of the vertical structure of the currents indicate that during the weak regime the flow weakens mostly at the surface and presents a very small vertical shear. In contrast, during the strong regime currents are surface-intensified. The change in the structure of the currents at the mooring location impacts the relationship between in situ and altimetry-derived currents: during the weak regime altimetry adequately represents (rmsd 12 cm/s) in situ currents in the whole water column, while during strong regime rmsd are larger than 15 cm/s below 600 m depth.</t>
  </si>
  <si>
    <t>[Paniagua, Guillermina F.; Saraceno, Martin; Ferrari, Ramiro] UBA, CONICET, CIMA, Buenos Aires, DF, Argentina; [Paniagua, Guillermina F.; Saraceno, Martin; Piola, Alberto R.; Lago, Loreley S.] Univ Buenos Aires, Dept Ciencias Atmesfera &amp; Oceanos FCEN, Buenos Aires, DF, Argentina; [Paniagua, Guillermina F.; Saraceno, Martin; Piola, Alberto R.; Ferrari, Ramiro; Lago, Loreley S.] UBA, UMI IFAECI, CNRS, CONICET, Buenos Aires, DF, Argentina; [Piola, Alberto R.] Naval Serv Hidrog SHN, Dept Oceanog, Buenos Aires, DF, Argentina; [Guerrero, Raul; Lago, Loreley S.] Inst Nacl Invest &amp; Desarrollo Pesquero, Mar Del Plata, Buenos Aires, Argentina; [Provost, Christine; Artana, Camila, I] LOCEAN, UMR 7159, Paris, France</t>
  </si>
  <si>
    <t>University of Buenos Aires; Consejo Nacional de Investigaciones Cientificas y Tecnicas (CONICET); University of Buenos Aires; University of Buenos Aires; Consejo Nacional de Investigaciones Cientificas y Tecnicas (CONICET); National Fisheries Research &amp; Development Institute (INIDEP); Centre National de la Recherche Scientifique (CNRS); CNRS - National Institute for Earth Sciences &amp; Astronomy (INSU); Sorbonne Universite; Museum National d'Histoire Naturelle (MNHN)</t>
  </si>
  <si>
    <t>Paniagua, GF (corresponding author), UBA, CONICET, CIMA, Buenos Aires, DF, Argentina.;Paniagua, GF (corresponding author), Univ Buenos Aires, Dept Ciencias Atmesfera &amp; Oceanos FCEN, Buenos Aires, DF, Argentina.;Paniagua, GF (corresponding author), UBA, UMI IFAECI, CNRS, CONICET, Buenos Aires, DF, Argentina.</t>
  </si>
  <si>
    <t>guillermina.paniagua@cima.fcen.uba.ar</t>
  </si>
  <si>
    <t>Piola, Alberto R/O-2280-2013; Saraceno, Martin/AAS-1231-2020; Piola, Alberto/HZI-5475-2023</t>
  </si>
  <si>
    <t>Saraceno, Martin/0000-0002-5657-4420; Provost, Christine/0000-0003-4693-3685; Paniagua, Guillermina Fernanda/0000-0002-7460-3897</t>
  </si>
  <si>
    <t>SHN; Mincyt; INIDEP; CONICET; UBA; Prefectura Naval Argentina; CNRS; Sorbonne Universite LOCEAN; LOPS; DT-INSU; Inter-American Institute for Global Change Research through NSF [CRN3070, GEO-1128040]; MINCYT-ECOS-Sud [A14U0]; Spanish government [CTM2011-28867]; CONICET, Argentina</t>
  </si>
  <si>
    <t>SHN; Mincyt; INIDEP; CONICET(Consejo Nacional de Investigaciones Cientificas y Tecnicas (CONICET)); UBA(University of Buenos Aires); Prefectura Naval Argentina; CNRS(Centre National de la Recherche Scientifique (CNRS)); Sorbonne Universite LOCEAN; LOPS; DT-INSU; Inter-American Institute for Global Change Research through NSF; MINCYT-ECOS-Sud; Spanish government(Spanish Government); CONICET, Argentina(Consejo Nacional de Investigaciones Cientificas y Tecnicas (CONICET))</t>
  </si>
  <si>
    <t>A large number of people helped collecting the in situ data that are the core of the results presented here. We particularly thank the support of the following institutions: SHN, Mincyt, INIDEP, CONICET, UBA, Prefectura Naval Argentina, Puerto Deseado crew, CNRS, Sorbonne Universite LOCEAN, LOPS, and DT-INSU. This study is a contribution to EUMETSAT/CNES DSP/OT/07-2118 and DSP/OT/07-4571, CONICET-FYPF PIO 133-20130100242. Additional support was provided by grant CRN3070 from the Inter-American Institute for Global Change Research through NSF grant GEO-1128040. We acknowledge support from the MINCYT-ECOS-Sud A14U0 project in facilitating scientific exchanges between Argentina and France. Data from R/V Hesperides were collected in the framework of cruise TIC-MOC, as part of the project CTM2011-28867 funded by the Spanish government. G.F.P. and L.S.L. benefited from scholarships from CONICET, Argentina. The satellite data are available at Copernicus Marine Environment monitoring service (CMEMS) (http://marine.copernicus.eu/) and the in situ data are available at SEANOE (www.seanoe.org cf.references below Provost et al., 2017a, 2017b; Saraceno et al., 2017) and at the NOAA's National Centers for Environmental Information World Ocean Database 2013 (http://www.nodc.noaa.gov cf. references below Boyer et al., 2013).</t>
  </si>
  <si>
    <t>10.1029/2017JC013666</t>
  </si>
  <si>
    <t>WOS:000445188900016</t>
  </si>
  <si>
    <t>Yu, Y; Chao, BF; García-García, D; Luo, Z</t>
  </si>
  <si>
    <t>Yu, Y.; Chao, B. F.; Garcia-Garcia, D.; Luo, Z.</t>
  </si>
  <si>
    <t>Variations of the Argentine Gyre Observed in the GRACE Time-Variable Gravity and Ocean Altimetry Measurements</t>
  </si>
  <si>
    <t>Argentine Gyre; time-variable gravity; altimetry; GRACE; eddies</t>
  </si>
  <si>
    <t>LARGE-SCALE OSCILLATIONS; SATELLITE ALTIMETRY; EARTHS ROTATION; VARIABILITY; BASIN; CIRCULATION; FIELD; ATLANTIC; SIGNAL; WAVES</t>
  </si>
  <si>
    <t>We investigate the nonseasonal and high-frequency variations of the Argentine Gyre in the south Atlantic Ocean by analyzing the time-variable gravity (TVG) measurements from the Gravity Recovery and Climate Experiment (GRACE) satellite mission in conjunction with the satellite ocean altimetry and two ocean general circulation model outputs (GLORYS2V4 and ECCO V4R3). We solve the empirical orthogonal functions (EOF) and complex EOF and find good agreement between TVG and altimetry observations, confirming the barotropic structure of the Argentine Gyre. In particular, the leading EOF modes of the overall up-and-down undulation in TVG and altimetry variations are found to be in pace temporally with the Antarctic Oscillation Index with correlation as high as 0.69 at zero time shift. Furthermore, the leading complex EOF mode signifies a counterclockwise dipole pattern of 25-day periodicity within the overall gyre with multiscale amplitude modulation. The fact that GRACE does observe these signals, while the de-aliasing background ocean model fails to, ascertains that GRACE data have adequate sensitivity to allow the detection of TVG signals at spatial and temporal resolutions higher than practiced hitherto. The 25-day oscillation is well recovered in the GLORYS2V4 ocean general circulation model, but not in ECCO V4R3. Our study demonstrates that satellite-observed TVG fields can be useful in studying oceanographic gyres, particularly the polar gyres, that are not well observed by altimetry and in situ data. Plain Language Summary The Argentine Gyre is a persistent, energetic mesoscale circulation in the south Atlantic Ocean. We study its nonseasonal variability by analyzing data from the satellite mission GRACE that measures the time-variable gravity, in conjunction with the ocean altimetry and two ocean general circulation model outputs. We find good matching of the overall strength of the gyre with the Antarctic Oscillation in the Southern Hemisphere. We also confirm the existence of a high-frequency rotary oscillation within the gyre at 25-day periodicity. We demonstrate that GRACE is sensitive enough to detect oceanographic signals at spatial and temporal resolutions higher than practiced hitherto.</t>
  </si>
  <si>
    <t>[Yu, Y.] Wuhan Univ, Sch Geodesy &amp; Geomat, Wuhan, Hubei, Peoples R China; [Yu, Y.; Chao, B. F.] Acad Sinica, Inst Earth Sci, Taipei, Taiwan; [Garcia-Garcia, D.] Univ Alicante, Appl Math Dept, Alicante, Spain; [Luo, Z.] Huazhong Univ Sci &amp; Technol, MOE, Sch Phys, Key Lab Fundamental Phys Quant Measurement, Wuhan, Hubei, Peoples R China</t>
  </si>
  <si>
    <t>Wuhan University; Academia Sinica - Taiwan; Universitat d'Alacant; Huazhong University of Science &amp; Technology</t>
  </si>
  <si>
    <t>Chao, BF (corresponding author), Acad Sinica, Inst Earth Sci, Taipei, Taiwan.</t>
  </si>
  <si>
    <t>bfchao@earth.sinica.edu.tw</t>
  </si>
  <si>
    <t>Garcia, David/L-7535-2014; Chao, Benjamin Fong/N-6156-2013</t>
  </si>
  <si>
    <t>Garcia, David/0000-0002-7273-9037; Luo, Zhicai/0000-0002-5824-0280</t>
  </si>
  <si>
    <t>Taiwan Ministry of Science and Technology [105-2811-M-001-031, 106-2116-M-001-013]; National Nature Science Foundation of China [41474019, 41504014, 41704012]</t>
  </si>
  <si>
    <t>Taiwan Ministry of Science and Technology; National Nature Science Foundation of China(National Natural Science Foundation of China (NSFC))</t>
  </si>
  <si>
    <t>This work was completed during the first author's visit in the Institute of Earth Sciences of Academia Sinica in Taiwan. We thank the three anonymous reviewers for providing very constructive suggestions in improving the manuscript. We acknowledge the following institutions that provide the online data sets used in this study: GRACE data from GRGS: http://grgs.obsmip.fr/grace/variable-models-gracelageos/grace-solutions-release-03, ISTG-Grace 2016 daily solutions: https://www.tugraz.at/institute/ifg/downloads/gravity-field-models/itsg-grace2016/, ocean altimetry data from CMEMS: http://marine.copernicus.eu/servicesportfolio/access-to-products/? option=com_csw&amp;view=details&amp;product_id=SEALEVEL_GLO_PHY_L4_REP_OBSERVATIONS_008_047, the AAO Index from Climate Prediction Center of USA National Oceanic and Atmospheric Administration: ftp://ftp.cpc.ncep.noaa.gov/cwlinks/norm.daily.aao.index.b790101.current.ascii, GLORYS2V4 reanalysis model from CMEMS: http://marine.copernicus.eu/services-portfolio/access-to-products/? option=com_csw&amp;view=details&amp;product_id=GLOBAL_REANALYSIS_PHY_001_025, and ECCO V4R3 model from JPL: https://ecco.jpl.nasa.gov/products/latest/. All data used in this work are available in the open domain. This work is supported by Taiwan Ministry of Science and Technology grants 105-2811-M-001-031 and 106-2116-M-001-013 and by National Nature Science Foundation of China grants 41474019, 41504014, and 41704012.</t>
  </si>
  <si>
    <t>10.1029/2018JC014189</t>
  </si>
  <si>
    <t>WOS:000445188900019</t>
  </si>
  <si>
    <t>Schallenberg, C; Bestley, S; Klocker, A; Trull, TW; Davies, DM; Gault-Ringold, M; Eriksen, R; Roden, NP; Sander, SG; Sumner, M; Townsend, AT; van der Merwe, P; Westwood, K; Wuttig, K; Bowie, A</t>
  </si>
  <si>
    <t>Schallenberg, Christina; Bestley, Sophie; Klocker, Andreas; Trull, Thomas W.; Davies, Diana M.; Gault-Ringold, Melanie; Eriksen, Ruth; Roden, Nicholas P.; Sander, Sylvia G.; Sumner, Michael; Townsend, Ashley T.; van der Merwe, Pier; Westwood, Karen; Wuttig, Kathrin; Bowie, Andrew</t>
  </si>
  <si>
    <t>Sustained Upwelling of Subsurface Iron Supplies Seasonally Persistent Phytoplankton Blooms Around the Southern Kerguelen Plateau, Southern Ocean</t>
  </si>
  <si>
    <t>dissolved iron; Kerguelen plateau; Banzare bank; phytoplankton; high-nutrient low-chlorophyll (HNLC); GEOTRACES</t>
  </si>
  <si>
    <t>DISSOLVED IRON; ICE-EDGE; ROSS SEA; FERTILIZATION; DOWNSTREAM; WATERS; CARBON; PERSPECTIVES; VARIABILITY; TRANSPORT</t>
  </si>
  <si>
    <t>Although the supply of iron generally limits phytoplankton productivity in the Southern Ocean, substantial seasonal blooms are observed over and downstream of the Kerguelen plateau in the Indian sector of the Southern Ocean. Surprisingly, of the oceanic blooms, those associated with the deeper southern plateau last much longer (similar to 3months) than the northern bloom (similar to 1-month downstream of northern plateau). In this study, iron supply mechanisms around the southern plateau were investigated, obtaining profiles of dissolved iron (&lt;0.2m, dFe) to 2,000-m deep at 25 stations during austral summer 2016. The dFe concentrations in surface waters (100-m depth) ranged from below the detection limit (DL, median of 0.026nmol/kg) to 0.34nmol/kg near the Antarctic shelf, with almost half the data points below detection. These low andwith few exceptionslargely spatially invariant concentrations, presumably driven by seasonal drawdown of this essential micronutrient by phytoplankton, could not explain observed patterns in chlorophyll a. In contrast, dFe concentrations (0.05-1.27nmol/kg) in subsurface waters (100-800m) showed strong spatial variations that can explain bloom patterns around the southern Kerguelen plateau when considered in the context of frontal locations and associated frontal processes, including upwelling, that may increase the upward supply of dFe in the region. This sustained vertical dFe supply distinguishes the southern blooms from the bloom downstream of the northern Kerguelen plateau and explains their persistence through the season. Plain Language Summary Over much of the Southern Ocean, phytoplankton productivity is hampered by a lack of dissolved iron, an essential micronutrient for phytoplankton. However, there are areas where phytoplankton thrive, and these are often associated with topographic features. For example, a large phytoplankton bloom develops each year downstream of the northern Kerguelen plateau. This bloom peaks around December and subsequently declines. It receives its iron supply mainly from the sediments on the shallow plateau, carried downstream in surface waters with the currents. There are also blooms near the much deeper (&gt;1,000m) southern Kerguelen plateau, but the supply of iron to these blooms was poorly understood until now. These blooms persist through the growing season and thus outlast the bloom downstream of the northern Kerguelen plateau. Our study results indicate that the southern blooms receive their iron from the subsurface, and that the source of the iron likely includes Antarctic shelf sediments and remineralization of sinking material. Localized upwelling associated with the wind and current patterns in the region brings this subsurface iron to the surface, where it fuels phytoplankton growth. The key to the longevity of the blooms thus appears to be the combination of a subsurface iron source and persistent upwelling.</t>
  </si>
  <si>
    <t>[Schallenberg, Christina; Trull, Thomas W.; Davies, Diana M.; Gault-Ringold, Melanie; Roden, Nicholas P.; van der Merwe, Pier; Westwood, Karen; Wuttig, Kathrin; Bowie, Andrew] Univ Tasmania, Antarctic Climate &amp; Ecosyst Cooperat Res Ctr, Hobart, Tas, Australia; [Bestley, Sophie; Klocker, Andreas; Bowie, Andrew] Univ Tasmania, Inst Marine &amp; Antarctic Studies, Hobart, Tas, Australia; [Bestley, Sophie; Trull, Thomas W.; Davies, Diana M.; Eriksen, Ruth] CSIRO Oceans &amp; Atmosphere, Hobart, Tas, Australia; [Klocker, Andreas] Univ Tasmania, Australian Res Council Ctr Excellence Climate Sys, Hobart, Tas, Australia; [Sander, Sylvia G.] Univ Otago, NIWA Univ Otago Res Ctr Oceanog, Dunedin, New Zealand; [Sander, Sylvia G.] IAEA NAEL, Marine Environm Studies Lab, Monaco, Monaco; [Sumner, Michael; Westwood, Karen] Dept Environm &amp; Energy, Australian Antarctic Div, Kingston, Tas, Australia; [Townsend, Ashley T.] Univ Tasmania, Cent Sci Lab, Hobart, Tas, Australia</t>
  </si>
  <si>
    <t>University of Tasmania; Antarctic Climate &amp; Ecosystems Cooperative Research Centre (ACE CRC); University of Tasmania; Commonwealth Scientific &amp; Industrial Research Organisation (CSIRO); University of Tasmania; University of Otago; Australian Antarctic Division; University of Tasmania</t>
  </si>
  <si>
    <t>Schallenberg, C (corresponding author), Univ Tasmania, Antarctic Climate &amp; Ecosyst Cooperat Res Ctr, Hobart, Tas, Australia.</t>
  </si>
  <si>
    <t>christina.schallenberg@utas.edu.au</t>
  </si>
  <si>
    <t>Gault-Ringold, Melanie/H-4089-2011; Bestley, Sophie/AAN-2483-2021; Roden, Nicholas/M-3801-2016; Townsend, Ashley/J-7445-2014; Sumner, Michael D/J-3478-2013; Schallenberg, Christina/N-4187-2017; Sander, Sylvia/AAC-3559-2022; Roden, Nick/T-1206-2019; Wuttig, Kathrin/O-2888-2019; Bowie, Andrew/C-8677-2013; Klocker, Andreas/E-4632-2011; Eriksen, Ruth/J-7760-2014; van der Merwe, Pier/C-9210-2015</t>
  </si>
  <si>
    <t>Bestley, Sophie/0000-0001-9342-669X; Roden, Nicholas/0000-0001-5623-0284; Townsend, Ashley/0000-0002-2972-2678; Schallenberg, Christina/0000-0002-3073-7500; Sander, Sylvia/0000-0001-9581-9737; Wuttig, Kathrin/0000-0003-4010-5918; Bowie, Andrew/0000-0002-5144-7799; Klocker, Andreas/0000-0002-2038-7922; Westwood, Karen/0000-0003-1060-7140; Eriksen, Ruth/0000-0002-5184-2465; van der Merwe, Pier/0000-0002-7428-8030; Sumner, Michael/0000-0002-2471-7511</t>
  </si>
  <si>
    <t>ANSTO [10043]; Australian Government through Australian Antarctic Science projects (Kerguelen Axis project) [AAS-4344]; Australian Government through the Cooperative Research Centres Programme through the Antarctic Climate and Ecosystems Cooperative Research Centre (ACE CRC); Australian Government through the Antarctic Gateway Partnership special research initiative through the Australian Research Council (ARC); ARC LIEF funds [LE0989539]; Canadian National Sciences and Engineering Research Council postdoctoral fellowship (NSERC-PDF); Australian Research Council Discovery Early Career Researcher Award [DE140100076]; Australian Research Council [DP150100345, FT130100037]; Australian Antarctic Science grant at the Australian Antarctic Division [4344]; Government of the Principality of Monaco; Australian Research Council [DE140100076, FT130100037] Funding Source: Australian Research Council</t>
  </si>
  <si>
    <t>ANSTO; Australian Government through Australian Antarctic Science projects (Kerguelen Axis project); Australian Government through the Cooperative Research Centres Programme through the Antarctic Climate and Ecosystems Cooperative Research Centre (ACE CRC)(Australian GovernmentDepartment of Industry, Innovation and ScienceCooperative Research Centres (CRC) Programme); Australian Government through the Antarctic Gateway Partnership special research initiative through the Australian Research Council (ARC); ARC LIEF funds(Australian Research Council); Canadian National Sciences and Engineering Research Council postdoctoral fellowship (NSERC-PDF); Australian Research Council Discovery Early Career Researcher Award(Australian Research Council); Australian Research Council(Australian Research Council); Australian Antarctic Science grant at the Australian Antarctic Division; Government of the Principality of Monaco; Australian Research Council(Australian Research Council)</t>
  </si>
  <si>
    <t>The authors would like to thank two anonymous reviewers for their thoughtful, diligent, and constructive comments on this manuscript. We thank the master and crew of the RV Aurora Australis and the Science Technical Support Team of the Australian Antarctic Division (AAD) for their considerable efforts to make this work happen. Furthermore, we are grateful to the chief scientist, Andrew Constable, and to the voyage leader, Lloyd Symons. We also thank Imojen Pearce (AAD) for HPLC analyses and Barbora Gallagher for running the nitrogen isotope analyses at ANSTO. Andrew Stewart of UCLA provided data from a high-resolution global ocean model that enhanced our understanding of the physical processes around the southern Kerguelen plateau. The University of Otago enabled this work by graciously lending us their trace metal container and rosette-many thanks! We would also like to express our gratitude to Kerrie Swadling for sharing the isotope data, which was supported by ANSTO grant 10043. Finally, we thank Steve Rintoul for fruitful discussions about fronts, currents, and upwelling mechanisms. This study is supported by the Australian Government through (i) Australian Antarctic Science projects (Kerguelen Axis project AAS-4344), (ii) the Cooperative Research Centres Programme through the Antarctic Climate and Ecosystems Cooperative Research Centre (ACE CRC), and (iii) the Antarctic Gateway Partnership special research initiative through the Australian Research Council (ARC). Access to ICP-MS instrumentation was supported through ARC LIEF funds (LE0989539). C. S. is supported by a Canadian National Sciences and Engineering Research Council postdoctoral fellowship (NSERC-PDF), A. K. was supported by an Australian Research Council Discovery Early Career Researcher Award (DE140100076). A. R. B. was supported by the Australian Research Council Discovery (DP150100345) and Future Fellowships (FT130100037) programs. K. W. was supported by Australian Antarctic Science grant 4344 at the Australian Antarctic Division. The IAEA is grateful to the Government of the Principality of Monaco for the support provided to its Environment Laboratories. We acknowledge the NCEP_Reanalysis 2 data provided by the NOAA/OAR/ESRL PSD, Boulder, Colorado, USA, from their website at http://www.esrl.noaa.gov/psd/. All CTD (doi:10.4225/15/5adec86550a1a), dFe (doi: 10.4225/15/5a77d6bd5975e), and isotope data presented in this manuscript are available from the Australian Antarctic Data Centre: https://data.aad.gov.au.</t>
  </si>
  <si>
    <t>10.1029/2018JC013932</t>
  </si>
  <si>
    <t>WOS:000445188900056</t>
  </si>
  <si>
    <t>Engebretson, MJ; Posch, JL; Braun, DJ; Li, W; Ma, Q; Kellerman, AC; Huang, CL; Kanekal, SG; Kletzing, CA; Wygant, JR; Spence, HE; Baker, DN; Fennell, JF; Angelopoulos, V; Singer, HJ; Lessard, MR; Horne, RB; Raita, T; Shiokawa, K; Rakhmatulin, R; Dmitriev, E; Ermakova, E</t>
  </si>
  <si>
    <t>Engebretson, M. J.; Posch, J. L.; Braun, D. J.; Li, W.; Ma, Q.; Kellerman, A. C.; Huang, C. -L.; Kanekal, S. G.; Kletzing, C. A.; Wygant, J. R.; Spence, H. E.; Baker, D. N.; Fennell, J. F.; Angelopoulos, V.; Singer, H. J.; Lessard, M. R.; Horne, R. B.; Raita, T.; Shiokawa, K.; Rakhmatulin, R.; Dmitriev, E.; Ermakova, E.</t>
  </si>
  <si>
    <t>EMIC Wave Events During the Four GEM QARBM Challenge Intervals</t>
  </si>
  <si>
    <t>VAN ALLEN PROBES; HIGHLY RELATIVISTIC ELECTRONS; PHASE-SPACE DENSITY; DUCT PROPAGATION; HYDROMAGNETIC-WAVES; GEOMAGNETIC STORMS; GRADUAL DIFFUSION; UPPER IONOSPHERE; CHORUS; PRECIPITATION</t>
  </si>
  <si>
    <t>This paper presents observations of electromagnetic ion cyclotron (EMIC) waves from multiple data sources during the four Geospace Environment Modeling challenge events in 2013 selected by the Geospace Environment Modeling Quantitative Assessment of Radiation Belt Modeling focus group: 17 and 18 March (stormtime enhancement), 31 May to 2 June (stormtime dropout), 19 and 20 September (nonstorm enhancement), and 23-25 September (nonstorm dropout). Observations include EMIC wave data from the Van Allen Probes, Geostationary Operational Environmental Satellite, and Time History of Events and Macroscale Interactions during Substorms spacecraft in the near-equatorial magnetosphere and from several arrays of ground-based search coil magnetometers worldwide, as well as localized ring current proton precipitation data from low-altitude Polar Operational Environmental Satellite spacecraft. Each of these data sets provides only limited spatial coverage, but their combination shows consistent occurrence patterns and reveals some events that would not be identified as significant using near-equatorial spacecraft alone. Relativistic and ultrarelativistic electron flux observations, phase space density data, and pitch angle distributions based on data from the Relativistic Electron-Proton Telescope and Magnetic Electron Ion Spectrometer instruments on the Van Allen Probes during these events show two cases during which EMIC waves are likely to have played an important role in causing major flux dropouts of ultrarelativistic electrons, particularly near L*similar to 4.0. In three other cases, identifiable smaller and more short-lived dropouts appeared, and in five other cases, these waves evidently had little or no effect.</t>
  </si>
  <si>
    <t>[Engebretson, M. J.; Posch, J. L.; Braun, D. J.] Univ Augsburg, Dept Phys, Minneapolis, MN 55454 USA; [Li, W.; Ma, Q.] Boston Univ, Ctr Space Phys, Boston, MA 02215 USA; [Ma, Q.; Kellerman, A. C.; Angelopoulos, V.] Univ Calif Los Angeles, Dept Atmospher &amp; Ocean Sci, Los Angeles, CA USA; [Huang, C. -L.; Spence, H. E.; Lessard, M. R.] Univ New Hampshire, Inst Study Earth Oceans &amp; Space, Durham, NH 03824 USA; [Kanekal, S. G.] NASA, Goddard Space Flight Ctr, Greenbelt, MD USA; [Kletzing, C. A.] Univ Iowa, Dept Phys &amp; Astron, Iowa City, IA 52242 USA; [Wygant, J. R.] Univ Minnesota, Sch Phys &amp; Astron, Minneapolis, MN 55455 USA; [Baker, D. N.] Univ Colorado, Lab Atmospher &amp; Space Phys, Boulder, CO 80309 USA; [Fennell, J. F.] Aerosp Corp, POB 92957, Los Angeles, CA 90009 USA; [Singer, H. J.] NOAA, Space Weather Predict Ctr, Boulder, CO USA; [Horne, R. B.] British Antarctic Survey, Cambridge, England; [Raita, T.] Sodankyla Geophys Observ, Sodankyla, Finland; [Shiokawa, K.] Nagoya Univ, Inst Space Earth Environm Res, Nagoya, Aichi, Japan; [Rakhmatulin, R.] Inst Solar Terr Phys, Irkutsk, Russia; [Dmitriev, E.] Borok Geophys Observ, Borok, Russia; [Ermakova, E.] Lobachevsky State Univ, Radiophys Res Inst, Nizhnii Novgorod, Russia</t>
  </si>
  <si>
    <t>Boston University; University of California System; University of California Los Angeles; University System Of New Hampshire; University of New Hampshire; National Aeronautics &amp; Space Administration (NASA); NASA Goddard Space Flight Center; University of Iowa; University of Minnesota System; University of Minnesota Twin Cities; University of Colorado System; University of Colorado Boulder; Aerospace Corporation - USA; National Oceanic Atmospheric Admin (NOAA) - USA; UK Research &amp; Innovation (UKRI); Natural Environment Research Council (NERC); NERC British Antarctic Survey; Nagoya University; Irkutsk Science Centre of the Russian Academy of Sciences; Russian Academy of Sciences; Institute of Solar-Terrestrial Physics of the Siberian Branch of the Russian Academy of Sciences; Lobachevsky State University of Nizhni Novgorod</t>
  </si>
  <si>
    <t>Engebretson, MJ (corresponding author), Univ Augsburg, Dept Phys, Minneapolis, MN 55454 USA.</t>
  </si>
  <si>
    <t>engebret@augsburg.edu</t>
  </si>
  <si>
    <t>Kellerman, Adam/AEX-6248-2022; Li, Wen/F-3722-2011; Horne, Richard B/U-3764-2019; Spence, Harlan E/A-1942-2011</t>
  </si>
  <si>
    <t>Kellerman, Adam/0000-0002-2315-936X; Horne, Richard B/0000-0002-0412-6407; Spence, Harlan E/0000-0002-2526-2205; Angelopoulos, Vassilis/0000-0001-7024-1561; Ma, Qianli/0000-0001-5452-4756; Kletzing, Craig/0000-0002-4136-3348</t>
  </si>
  <si>
    <t>National Science Foundation [PLR-1341493, AGS-1264146, AGS-1651263]; Van Allen Probes mission; NSF grant [AGS-1723588]; AFOSR grant [FA9550-15-1-0158]; Alfred P. Sloan Research Fellowship [FG-2018-10936]; Van Allen Probes Mission via JHU/APL [967399, 921647]; NASA [NNS16AG78G]; NSF [AGS-1552321, PLR-1341677]; Natural Environment Research Council (NERC) [NE/P01738X/1, NE/R016038/1]; Canadian Space Agency; JSPS KAKENHI [15H05815, 16H06286]; Russian Foundation for Basic Research [18-05-00108]; NASA prime contract [NAS5-01072]; NERC [NE/P01738X/1, bas0100031, NE/R016038/1] Funding Source: UKRI; Directorate For Geosciences; Office of Polar Programs (OPP) [1341677] Funding Source: National Science Foundation; Directorate For Geosciences; Office of Polar Programs (OPP) [1341493] Funding Source: National Science Foundation; Div Atmospheric &amp; Geospace Sciences; Directorate For Geosciences [1723588] Funding Source: National Science Foundation</t>
  </si>
  <si>
    <t>National Science Foundation(National Science Foundation (NSF)); Van Allen Probes mission; NSF grant(National Science Foundation (NSF)); AFOSR grant(United States Department of DefenseAir Force Office of Scientific Research (AFOSR)); Alfred P. Sloan Research Fellowship(Alfred P. Sloan Foundation); Van Allen Probes Mission via JHU/APL; NASA(National Aeronautics &amp; Space Administration (NASA)); NSF(National Science Foundation (NSF)); Natural Environment Research Council (NERC)(UK Research &amp; Innovation (UKRI)Natural Environment Research Council (NERC)); Canadian Space Agency(Canadian Space Agency); JSPS KAKENHI(Ministry of Education, Culture, Sports, Science and Technology, Japan (MEXT)Japan Society for the Promotion of ScienceGrants-in-Aid for Scientific Research (KAKENHI)); Russian Foundation for Basic Research(Russian Foundation for Basic Research (RFBR)Spanish Government); NASA prime contract; NERC(UK Research &amp; Innovation (UKRI)Natural Environment Research Council (NERC)); Directorate For Geosciences; Office of Polar Programs (OPP)(National Science Foundation (NSF)NSF - Directorate for Geosciences (GEO)); Directorate For Geosciences; Office of Polar Programs (OPP)(National Science Foundation (NSF)NSF - Directorate for Geosciences (GEO)); Div Atmospheric &amp; Geospace Sciences; Directorate For Geosciences(National Science Foundation (NSF)NSF - Directorate for Geosciences (GEO))</t>
  </si>
  <si>
    <t>We thank the referees for their helpful comments and corrections. We acknowledge the GEM Quantitative Assessment of Radiation Belt Modeling focus group for motivating this study. We thank David Sibeck and Kjellmar Oksavik for helpful comments, and Viacheslav Pilipenko for his assistance in obtaining the induction coil data from Russian observatories. Work at Augsburg University was supported by National Science Foundation grants PLR-1341493, AGS-1264146, and AGS-1651263, and work performed by M. J. E. at NASA/GSFC was supported by the Van Allen Probes mission. W. L. acknowledges support from NSF grant AGS-1723588, AFOSR grant FA9550-15-1-0158, and the Alfred P. Sloan Research Fellowship FG-2018-10936. Work performed by Q. M. was supported by the Van Allen Probes Mission via JHU/APL contracts 967399 and 921647. A. C. K. acknowledges support from NASA grant NNS16AG78G and NSF grant AGS-1552321. M. R. L. acknowledges support from NSF grant PLR-1341677. Research at the British Antarctic Survey was supported by the Natural Environment Research Council (NERC) Highlight Topic Grant NE/P01738X/1 (Rad/Sat) and National Capability funding grant NE/R016038/1. The authors thank I. R. Mann, D. K. Milling, and the rest of the CARISMA team for data. CARISMA is operated by the University of Alberta, funded by the Canadian Space Agency. The operation of STEL magnetometers at Magadan and Paratunka is made in collaboration with the Institute of Cosmophysical Researches and Radio Wave Propagation (IKIR), Far-Eastern Branch of the Russian Academy of Sciences. The operation at Athabasca is made in collaboration with the Athabasca University. K. S. is supported by JSPS KAKENHI 15H05815 and 16H06286. E. E. acknowledges support from Russian Foundation for Basic Research grant 18-05-00108. Van Allen Probes research at the University of Colorado, the University of Iowa, the University of Minnesota, the University of New Hampshire, UCLA, and the Aerospace Corporation was supported by NASA prime contract NAS5-01072 to The Johns Hopkins University Applied Physics Laboratory. We gratefully acknowledge use of NASA/GSFC's Space Physics Data Facility's OMNIWeb, SSCweb, and CDAWeb data. Van Allen Probes CDF data files are available at http://www.space.umn.edu/rbspefw-data/ and http://rbsp.space.umn.edu/rbspdata/ (EFW), http://emfisis.physics.uiowa.edu/data/index (EMFISIS), and https://www.rbsp-ect.lanl.gov/science/ DataDirectories. php (REPT and MagEIS). PSD and adiabatic invariant computations were made using code developed by A. C K., the IRBEM library, and the UCLA Hoffman2 cluster. Data files can be made available by request to A. C. K. GOES magnetometer data are archived at NOAA's National Centers for Environmental Information (NCEI) http://satdat.ngdc.noaa.gov/sem/goes/data/new_full/. THEMIS magnetic field spectrograms and data are available at http://themis.ssl.berkeley.edu/overview_data.shtml. POES data can be accessed at https://cdaweb.sci.gsfc.nasa.gov. Spectrograms from search coil magnetometers at Halley Station (operated by the British Antarctic Survey) and South Pole Station (operated by the U.S. Antarctic Program) can be accessed at http://space.augsburg.edu/searchcoil/index.html. CARISMA induction coil magnetometer data and spectrograms can be accessed at http://carisma.ca/. STEL induction magnetometer spectrograms can be accessed at http://stdb2.stelab.nagoya-u.ac.jp/magne/. Finnish chain pulsation magnetometer spectrograms can be accessed at http://www.sgo.fi/Data/Pulsation/pulArchive.php.; Data from Russian stations can be provided by the respective coauthors: Borok data from Eldar Dmitriev, Nizhny Novgorod data from Elena Ermakova, and Uzur data from Ravil Rakhmatulin.</t>
  </si>
  <si>
    <t>10.1029/2018JA025505</t>
  </si>
  <si>
    <t>GV0ET</t>
  </si>
  <si>
    <t>WOS:000445731300021</t>
  </si>
  <si>
    <t>Rawat, R; Echer, E; Gonzalez, WD</t>
  </si>
  <si>
    <t>Rawat, Rashmi; Echer, E.; Gonzalez, W. D.</t>
  </si>
  <si>
    <t>How Different Are the Solar Wind-Interplanetary Conditions and the Consequent Geomagnetic Activity During the Ascending and Early Descending Phases of the Solar Cycles 23 and 24?</t>
  </si>
  <si>
    <t>solar cycle; geomagnetic storms; interplanetary coronal mass ejections</t>
  </si>
  <si>
    <t>DST LESS-THAN-OR-EQUAL-TO-50 NT; SEMIANNUAL VARIATION; EMPIRICAL RELATIONSHIP; MAGNETIC STORMS; RISING PHASE; LESS-THAN; PARAMETERS; GEOEFFECTIVENESS; MINIMUM; ORIGIN</t>
  </si>
  <si>
    <t>The current work investigates the possible solar wind-interplanetary (SW-IP) drivers of geomagnetic storms during the longest period (ascending to early descending phases) of the ongoing solar cycle (24). We present a comparative analysis between the two consecutive solar cycles (SCs) 23 and 24. Both the cycles exhibited dual peak feature as observed in the smoothed sunspot numbers SSNsmoothed. For both the cycles, second peak in the SSNsmoothed is higher than the first one as exhibited in the revised SSNsmoothed version. During the entire interval between the ascending to early descending phases (December 2008 to December 2016) of SC-24, the southward directed Bz and the dawn-dusk electric field (Ey) were consistently weaker as compared to that during similar interval of SC-23 (May 1996 to July 2004). The geomagnetic field response represented by Dst index concurrently exhibited similar variation patterns during both the periods. A striking reduction in the intense storm occurrence rate by similar to 75% was observed during the considered period of the current solar cycle in comparison to the previous cycle. However, moderate storm occurrence was reduced only by 32% in SC-24 as compared to SC-23, which could be attributed to the dominance of corotating interaction regions during SC-24. No significant difference is found between the intense storm rates around the vernal and autumnal equinoxes in cycle 24, whereas distinct autumnal equinoctial dominance is evident for cycle 23. Further, within each cycle, there is no significant difference in the moderate storm rates around vernal and autumnal equinoxes.</t>
  </si>
  <si>
    <t>[Rawat, Rashmi; Echer, E.; Gonzalez, W. D.] Natl Inst Space Res INPE, Sao Paulo, Brazil; [Rawat, Rashmi] Natl Ctr Antarctic &amp; Ocean Res, Vasco Da Gama, India</t>
  </si>
  <si>
    <t>Instituto Nacional de Pesquisas Espaciais (INPE); Ministry of Earth Sciences (MoES) - India; National Centre for Polar and Ocean Research (NCPOR)</t>
  </si>
  <si>
    <t>Rawat, R (corresponding author), Natl Inst Space Res INPE, Sao Paulo, Brazil.;Rawat, R (corresponding author), Natl Ctr Antarctic &amp; Ocean Res, Vasco Da Gama, India.</t>
  </si>
  <si>
    <t>rashmirs10@gmail.com</t>
  </si>
  <si>
    <t>RAWAT, RASHMI/C-8358-2012; Echer, Ezequiel/AFP-7220-2022</t>
  </si>
  <si>
    <t>Echer, Ezequiel/0000-0002-8351-6779; RAWAT, RASHMI/0000-0002-5917-8693</t>
  </si>
  <si>
    <t>Fundacao de Amparo a Pesquisa do Estado de Sao Paulo (FAPESP) [2012/12049-1]; Council of Scientific and Industrial Research (CSIR) under the Senior Research Associate (Scientist's Pool) scheme at NCAOR, Goa [13(8871-A)/2016-Pool, 38/2018]; Conselho Nacional de Desenvolvimento Cientifico e Tecnologico (CNPQ) [CNPq/PQ 302583/2015-7]; Fundacao de Amparo a Pesquisa do Estado de Sao Paulo (FAPESP) [12/12049-1] Funding Source: FAPESP</t>
  </si>
  <si>
    <t>Fundacao de Amparo a Pesquisa do Estado de Sao Paulo (FAPESP)(Fundacao de Amparo a Pesquisa do Estado de Sao Paulo (FAPESP)); Council of Scientific and Industrial Research (CSIR) under the Senior Research Associate (Scientist's Pool) scheme at NCAOR, Goa; Conselho Nacional de Desenvolvimento Cientifico e Tecnologico (CNPQ)(Conselho Nacional de Desenvolvimento Cientifico e Tecnologico (CNPQ)); Fundacao de Amparo a Pesquisa do Estado de Sao Paulo (FAPESP)(Fundacao de Amparo a Pesquisa do Estado de Sao Paulo (FAPESP))</t>
  </si>
  <si>
    <t>The authors wish to thank the anonymous referees for their invaluable and constructive comments. R. R. would like to thank Fundacao de Amparo a Pesquisa do Estado de Sao Paulo (FAPESP) for financial support at INPE, Brazil, through postdoctoral research fellowship (2012/12049-1). Part of this revision work was supported by Council of Scientific and Industrial Research (CSIR) under the Senior Research Associate (Scientist's Pool) scheme (13(8871-A)/2016-Pool) at NCAOR contribution 38/2018, Goa. R. R. would like to thank Director, NCAOR, Goa, India for support. E. E. extends thanks to the Conselho Nacional de Desenvolvimento Cientifico e Tecnologico (CNPQ) for the support under project CNPq/PQ 302583/2015-7. The OMNI data were obtained from the GSFC/SPDF OMNIWeb interface at http://omniweb.gsfc.nasa.gov. Authors are thankful to the OMNI data team. We thank the WDC for Geomagnetism, Kyoto, for providing the geomagnetic activity indices. We extend thanks to the sunspot data source: WDC-SILSO, Royal Observatory of Belgium, Brussels.</t>
  </si>
  <si>
    <t>10.1029/2018JA025683</t>
  </si>
  <si>
    <t>WOS:000445731300034</t>
  </si>
  <si>
    <t>Investigating High-Latitude Energy Deposition Events Occurring During the 17 January 2005 Geomagnetic Storm</t>
  </si>
  <si>
    <t>cusp; polar cap enhancements; flow channels; dayside reconnection; lobe reconnection; low-latitude boundary layer; high-latitude boundary layer</t>
  </si>
  <si>
    <t>INTERPLANETARY MAGNETIC-FIELD; STEADY-STATE RESPONSE; POLAR-CAP CONVECTION; IMF B-Y; SOLAR-WIND; ALIGNED CURRENTS; IONOSPHERE-THERMOSPHERE; CONDUCTIVITY GRADIENTS; DENSITY ANOMALIES; CHAMP OBSERVATION</t>
  </si>
  <si>
    <t>This study investigates the coupled ionosphere-thermosphere system during the 17 January 2005 geomagnetic storm. Multiinstrument satellite data are utilized to track polar convection and flow channels (FCs) in the topside ionosphere to compute Poynting flux values approximating electromagnetic energy and to detect localized neutral density increases and also to signal FC signatures in the thermosphere. Our main aim is to identify energy input regions during various events when localized neutral density increases developed. Such events are illustrated in five scenarios covering both hemispheres. These scenarios demonstrate the development of a cusp enhancement above/within FC-1 associated with newly open field lines and polar cap enhancements above/within FC-2, FC-3, and FC-4 commonly associated with old open field lines. Localized Poynting flux intensifications within these FCs demonstrate energy deposition continuing along old open field lines in the polar cap. The close correlation of these Poynting flux intensifications with their respective cusp and polar cap enhancements, via their underlying FCs through which the electromagnetic energy was deposited, provide observational evidence that these enhancements were generated by their associated energy inputs. These observational results lead to the conclusions that a main region of high-latitude energy deposition was (i) the polar cap (&gt; 78 degrees magnetic latitude) producing polar cap enhancements (scenarios 1-3), (ii) the prenoon auroral zone producing a cusp enhancement (scenario 4), and (iii) both the polar cap producing a polar cap enhancement and the auroral zone (scenario 5).</t>
  </si>
  <si>
    <t>This material is based on research sponsored by the Air Force Office of Scientific Research, under agreement FA2386-17-1-4109. The U.S. Government is authorized to reproduce and distribute reprints for governmental purposes notwithstanding any copyright notation thereon. We acknowledge Eelco Doornbos and the DEOS (Delft Institute for Earth Observation and Space Systems) Thermospheric web server (http://thermosphere.tudelft.nl/acceldrag/index.php) for the CHAMP accelerometer data, the GFZ German Research Centre (http://isdc-old.gfz-potsdam.de/index.php?module=pagesetter&amp;func=viewpub&amp;tid=1&amp;pid=34) for Geosciences for the CHAMP PLP data, and the OMNI database (https://cdaweb.gsfc.nasa.gov/cgi-bin/eval1.cgi) for the solar and magnetic data. We are grateful to the Center for Space Sciences at the University of Texas at Dallas (http://cindispace.utdallas.edu/DMSP/dmsp_data_at_utdallas.html) along with the CEDAR Archival Madrigal Database (http://cedar.openmadrigal.org/) and the U.S. Air Force for providing the DMSP thermal plasma data. We also thank the World Data Center for Geomagnetism at Kyoto (http://wdc.kugi.kyoto-u.ac.jp/wdc/Sec3.html) for providing the geomagnetic indices and both The Technical University of Denmark and the Arctic and Antarctic Research Institute for the PCN index (http://pcindex.org/). Special thanks are extended to The Johns Hopkins University Applied Physics Laboratory for the spectrogram images and OVATION data (http://sd-www.jhuapl.edu/Aurora/ovation/ovation_display.html).</t>
  </si>
  <si>
    <t>10.1029/2018JA025465</t>
  </si>
  <si>
    <t>WOS:000445731300045</t>
  </si>
  <si>
    <t>Black, C; Collen, B; Lunn, D; Filby, D; Winnard, S; Hart, T</t>
  </si>
  <si>
    <t>Black, Caitlin; Collen, Ben; Lunn, Daniel; Filby, Dick; Winnard, Stephanie; Hart, Tom</t>
  </si>
  <si>
    <t>Time-lapse cameras reveal latitude and season influence breeding phenology durations in penguins</t>
  </si>
  <si>
    <t>annual cycle; Antarctica; chinstrap; gentoo; incubation; polar; Pygoscelis; seabird</t>
  </si>
  <si>
    <t>INCUBATION PERIODS; CLIMATE; ADELIE; DECISION; GENTOO; RATES; LIGHT</t>
  </si>
  <si>
    <t>Variation in the phenology of avian taxa has long been studied to understand how a species reacts to environmental changes over both space and time. Penguins (Sphenicidae) serve as an important example of how biotic and abiotic factors influence certain stages of seabird phenology because of their large ranges and the extreme, dynamic conditions present in their Southern Ocean habitats. Here, we examined the phenology of gentoo (Pygoscelis papua) and chinstrap penguins (Pygoscelis antarctica) at 17 sites across the Scotia arc, including the first documented monitoring of phenology on the South Sandwich Islands, to determine which breeding phases are intrinsic, or rather vary across a species range and between years. We used a novel method to measure seabird breeding phenology and egg and chick survival: time-lapse cameras. Contrary to the long-standing theory that these phases are consistent between colonies, we found that latitude and season had a predominant influence on the length of the nest establishment, incubation, and guard durations. We observe a trend toward longer incubation times occurring farther south, where ambient temperatures are colder, which may indicate that exposure to cold slows embryo growth. Across species, in colonies located farther south, parents abandoned nests later when eggs were lost or chicks died and the latest record of eggs or chicks in the nest occurred earlier during the breeding period. The variation in both space and time observed in penguin phenology provides evidence that the duration of phases within the annual cycle of birds is not fundamental, or genetic, as previously understood. Additionally, the recorded phenology dates should inform field researchers on the best timing to count colonies at the peak of breeding, which is poorly understood.</t>
  </si>
  <si>
    <t>[Black, Caitlin; Hart, Tom] Univ Oxford, Dept Zool, Oxford, England; [Black, Caitlin] Univ Cambridge, Dept Zool, Cambridge, England; [Collen, Ben] UCL, Ctr Biodivers &amp; Environm Res, London, England; [Lunn, Daniel] Univ Oxford, Dept Stat, Oxford, England; [Filby, Dick] Rare Bird Alert, Norwich, Norfolk, England; [Winnard, Stephanie] British Antarctic Survey, Cambridge, England; [Winnard, Stephanie] Royal Soc Protect Birds, Sandy, Beds, England</t>
  </si>
  <si>
    <t>University of Oxford; University of Cambridge; University of London; University College London; University of Oxford; UK Research &amp; Innovation (UKRI); Natural Environment Research Council (NERC); NERC British Antarctic Survey; Royal Society for Protection of Birds</t>
  </si>
  <si>
    <t>Black, C (corresponding author), Univ Oxford, Dept Zool, Oxford, England.</t>
  </si>
  <si>
    <t>cb963@cam.ac.uk</t>
  </si>
  <si>
    <t>Collen, Ben/D-5055-2011</t>
  </si>
  <si>
    <t>Black, Caitlin/0000-0001-9591-3571</t>
  </si>
  <si>
    <t>Darwin Initiative Challenge Fund; Darwin Plus Grant [DPLUS002]; Quark Expeditions; NERC [bas0100035] Funding Source: UKRI</t>
  </si>
  <si>
    <t>Darwin Initiative Challenge Fund; Darwin Plus Grant; Quark Expeditions; NERC(UK Research &amp; Innovation (UKRI)Natural Environment Research Council (NERC))</t>
  </si>
  <si>
    <t>Darwin Initiative Challenge Fund; Darwin Plus Grant, Grant/Award Number: DPLUS002; Quark Expeditions</t>
  </si>
  <si>
    <t>10.1002/ece3.4160</t>
  </si>
  <si>
    <t>GU0NC</t>
  </si>
  <si>
    <t>WOS:000444946300045</t>
  </si>
  <si>
    <t>Meyer, CR; Yehya, A; Minchew, B; Rice, JR</t>
  </si>
  <si>
    <t>Meyer, Colin R.; Yehya, Alissar; Minchew, Brent; Rice, James R.</t>
  </si>
  <si>
    <t>A Model for the Downstream Evolution of Temperate Ice and Subglacial Hydrology Along Ice Stream Shear Margins</t>
  </si>
  <si>
    <t>shear margins; temperate ice; subglacial hydrology; numerical models</t>
  </si>
  <si>
    <t>WEST ANTARCTICA; THWAITES GLACIER; ROTHLISBERGER CHANNELS; POLYTHERMAL GLACIERS; BASAL MECHANICS; CONTINUUM MODEL; WATER-PIRACY; FLOW; DYNAMICS; SHEETS</t>
  </si>
  <si>
    <t>Antarctic mass balance and contribution to sea level rise are dominated by the flow of ice through narrow conduits called ice streams. These regions of relatively fast flow drain over 90% of the ice sheet and generate significant amounts of frictional heat at the ice stream margins where there is a transition to slow flow in the ridge. This heat can generate temperate ice and a sharp transition in flow speed between the stream and the ridge. Within zones of temperate ice, meltwater is produced and drains to the bed. Here we model the downstream development of a temperate zone along an ice stream shear margin and the flow of meltwater through temperate ice into a subglacial hydrologic system. The hydrology sets the basal effective pressure, defined as the difference between ice overburden and water pressure. Using the southern shear margin of Bindschadler Ice Stream as a case study, our model results indicate an abrupt transition from a distributed to channelized hydrologic system within a few ice thicknesses of the point where the temperate zone initiates. This transition leads to a strengthening of the till due to reduced pore pressure because the water pressure in the channel is lower than in the distributed system, a potential mechanism by which hydrology can prevent lateral migration of shear margins.</t>
  </si>
  <si>
    <t>[Meyer, Colin R.] Univ Oregon, Dept Earth Sci, Eugene, OR 97403 USA; [Yehya, Alissar; Rice, James R.] Harvard Univ, John A Paulson Sch Engn &amp; Appl Sci, Cambridge, MA 02138 USA; [Minchew, Brent] MIT, Dept Earth Atmospher &amp; Planetary Sci, Cambridge, MA USA; [Rice, James R.] Harvard Univ, Dept Earth &amp; Planetary Sci, 20 Oxford St, Cambridge, MA 02138 USA</t>
  </si>
  <si>
    <t>University of Oregon; Harvard University; Massachusetts Institute of Technology (MIT); Harvard University</t>
  </si>
  <si>
    <t>Meyer, CR (corresponding author), Univ Oregon, Dept Earth Sci, Eugene, OR 97403 USA.</t>
  </si>
  <si>
    <t>Meyer, Colin R./0000-0002-1209-1881; Rice, James R./0000-0001-6151-4310; Yehya, Alissar/0000-0001-9956-3636</t>
  </si>
  <si>
    <t>NSF Graduate Research Fellowship [DGE1144152]; David Crighton Fellowship; NSF Office of Polar Programs [PP1341499]; NSF Earth Sciences Postdoctoral Fellowship [EAR1452587]</t>
  </si>
  <si>
    <t>NSF Graduate Research Fellowship(National Science Foundation (NSF)); David Crighton Fellowship; NSF Office of Polar Programs(National Science Foundation (NSF)); NSF Earth Sciences Postdoctoral Fellowship</t>
  </si>
  <si>
    <t>We wish to thank Timothy Creyts, Ian Hewitt, Thibaut Perol, Alan Rempel, and Jenny Suckale for insightful discussions. We would also like to thank the Associate Editor Olga Sergienko, an anonymous reviewer, Geoff Evatt, and Jonny Kingslake for comments. The data used in this paper are either publicly available or can be generated using the code appended in the supporting information. The code can also be found on GitHub with DOI: 10.5281/zenodo.1288804. We are grateful for the support of the NSF Graduate Research Fellowship award DGE1144152 and a David Crighton Fellowship to C.R.M., the NSF Office of Polar Programs grant PP1341499 (J.R.R.), and the NSF Earth Sciences Postdoctoral Fellowship award EAR1452587 (B.M.).</t>
  </si>
  <si>
    <t>10.1029/2018JF004669</t>
  </si>
  <si>
    <t>GT3QG</t>
  </si>
  <si>
    <t>WOS:000444417600004</t>
  </si>
  <si>
    <t>Liu, L; Sletten, RS; Hallet, B; Waddington, ED</t>
  </si>
  <si>
    <t>Liu, Lu; Sletten, Ronald S.; Hallet, Bernard; Waddington, Edwin D.</t>
  </si>
  <si>
    <t>Thermal Regime and Properties of Soils and Ice-Rich Permafrost in Beacon Valley, Antarctica</t>
  </si>
  <si>
    <t>Beacon Valley; ground ice; thermal properties; heat transfer; finite difference modeling; finite volume modeling</t>
  </si>
  <si>
    <t>MCMURDO DRY VALLEYS; ACTIVE-LAYER; GALE CRATER; GROUND-ICE; NY-ALESUND; WATER; TEMPERATURE; STABILITY; DYNAMICS; MODEL</t>
  </si>
  <si>
    <t>Subsurface temperatures in polar environments control geomorphic, hydrologic, and biologic processes and ground ice stability. Most studies of the thermal regime in permafrost areas have been developed for the Arctic where interest and concern focus on permafrost thawing. In contrast, this study focuses on soils in the McMurdo Dry Valleys of Antarctica where conditions are much colder and drier, and long-term persistence of ground ice is of interest including as an analog site for Mars. The soil temperature in Beacon Valley, one of the McMurdo Dry Valleys, has been modeled using the surface temperature, measured heat capacity, and temperature-dependent thermal conductivity and compared to continuous, high-resolution measurements of temperatures for a decade down to 19.6-m depth. For the temperature range of -47.9 to 7.5 degrees C at our study site, the heat capacity of the dry soil ranges from 580 to 690 J center dot kg(-1) center dot K-1, thermal conductivity from 0.22 to 0.27 W center dot m(-1)center dot K-1, and the calculated thermal diffusivity from 0.23 to 0.25mm(2)/s. Both the finite difference method and the finite volume method are used to solve the 1-D heat diffusion equation; the finite volume method-modeled temperature most closely approximates the measured temperature at all depths with average differences ranging from 0.01 to 0.03 degrees C. The latent heat contribution of documented episodic snowmelt events and of modeled changes in ice content due to condensation or sublimation is negligible. This study can be applied readily to thermal regimes of similar systems where subsurface temperature measurements are not available such as on Mars.</t>
  </si>
  <si>
    <t>[Liu, Lu; Sletten, Ronald S.; Hallet, Bernard; Waddington, Edwin D.] Univ Washington, Dept Earth &amp; Space Sci, Seattle, WA 98195 USA</t>
  </si>
  <si>
    <t>University of Washington; University of Washington Seattle</t>
  </si>
  <si>
    <t>Liu, L (corresponding author), Univ Washington, Dept Earth &amp; Space Sci, Seattle, WA 98195 USA.</t>
  </si>
  <si>
    <t>liul99@uw.edu</t>
  </si>
  <si>
    <t>Liu, Lu/0000-0002-6101-7215; Waddington, Edwin/0000-0003-4947-3223</t>
  </si>
  <si>
    <t>National Science Foundation [0541054, 0636998, 1341680]; NASA Mars Science Laboratory; Kenneth C. Robbins Graduate Fellowship; Joseph A. Endowed Vance Fellowship; Dr. Howard A. Coombs Scholarship through the University of Washington</t>
  </si>
  <si>
    <t>National Science Foundation(National Science Foundation (NSF)); NASA Mars Science Laboratory; Kenneth C. Robbins Graduate Fellowship; Joseph A. Endowed Vance Fellowship; Dr. Howard A. Coombs Scholarship through the University of Washington</t>
  </si>
  <si>
    <t>This material is based upon work supported by the National Science Foundation under grants 0541054, 0636998, and 1341680 and NASA Mars Science Laboratory awarded via Malin Space Science Systems. Funding was also provided by Kenneth C. Robbins Graduate Fellowship, Joseph A. Endowed Vance Fellowship, and the Dr. Howard A. Coombs Scholarship through the University of Washington. Data supporting this study are available at http://gcmd.nasa.gov/r/d/[GCMD]UW_Dry_Valley_Datalogging or upon request from the corresponding author (liul99@uw.edu). The authors would like to thank Jonathan Toner for his help with the DSC measurements. We are also grateful to Antarctic Support Services, PHI, and our colleagues in Christchurch for superb logistical support in the Dry Valleys.</t>
  </si>
  <si>
    <t>10.1029/2017JF004535</t>
  </si>
  <si>
    <t>WOS:000444417600010</t>
  </si>
  <si>
    <t>Dunlop, RA</t>
  </si>
  <si>
    <t>Dunlop, Rebecca A.</t>
  </si>
  <si>
    <t>The communication space of humpback whale social sounds in wind-dominated noise</t>
  </si>
  <si>
    <t>MEGAPTERA-NOVAEANGLIAE; ACOUSTIC COMMUNICATION; VESSEL NOISE; ACTIVE SPACE; SONG; INFORMATION; REPERTOIRE; MALES; VOCALIZATIONS; EAVESDROP</t>
  </si>
  <si>
    <t>In animal social networks, a large acoustic communication space tends to involve complex networks. Signal masking may reduce this space, leading to detrimental effects on the animal's ability to obtain important social information. Humpback whales use acoustic social sounds (vocal sounds and surface-generated sounds from breaching or fin slapping) for within-and between-group communication. In this study, changes in various sound parameters (e.g., signal-above-noise and frequency content) of received humpback whale social sounds were statistically modeled against the combined effect of increasing wind-dominated noise and distance from the source (whale) to produce masking models. Behavioral data on vocalizing groups were also used to inform these models. The acoustic communication space, in this shallow water (&lt; 50 m) environment, extended to approximately 4 km from the signaler in median wind noise. However, the majority of behavioral interactions occurred within 2 km of the signaler. Surface-generated signals propagated better and likely function to maintain this space in higher wind noise. This study provides a basic wind-noise masking model for social communication signals in humpback whales which can be updated as more information on humpback auditory capabilities, and potential masking effects of anthropogenic noise sources, becomes available. (C) 2018 Acoustical Society of America.</t>
  </si>
  <si>
    <t>[Dunlop, Rebecca A.] Univ Queensland, Sch Vet Sci, Cetacean Ecol &amp; Acoust Lab, Gatton Campus, Brisbane, Qld 4343, Australia</t>
  </si>
  <si>
    <t>Dunlop, RA (corresponding author), Univ Queensland, Sch Vet Sci, Cetacean Ecol &amp; Acoust Lab, Gatton Campus, Brisbane, Qld 4343, Australia.</t>
  </si>
  <si>
    <t>r.dunlop@uq.edu.au</t>
  </si>
  <si>
    <t>U.S. Office of Naval Research; Australian Antarctic Divison</t>
  </si>
  <si>
    <t>U.S. Office of Naval Research(Office of Naval Research); Australian Antarctic Divison</t>
  </si>
  <si>
    <t>The author would like to thank everyone involved in the Humpback Acoustic Research Collaboration (HARC) (funded by the U.S. Office of Naval Research and the Australian Antarctic Divison), in particular the numerous volunteers who donated their time and energy to this project. The author also thanks David Paton for his invaluable field expertise and Eric Kniest for his continued support in the development of CYCLOPES. The author would particularly like to acknowledge Associate Professor Michael Noad for leading the HARC work (without which, this study would not have been possible) and Dr. Douglas Cato for his continued support and mentorship.</t>
  </si>
  <si>
    <t>10.1121/1.5047744</t>
  </si>
  <si>
    <t>WOS:000443620700013</t>
  </si>
  <si>
    <t>Bouffaut, L; Dréo, R; Labat, V; Boudraa, AO; Barruol, G</t>
  </si>
  <si>
    <t>Bouffaut, Lea; Dreo, Richard; Labat, Valerie; Boudraa, Abdel-O.; Barruol, Guilhem</t>
  </si>
  <si>
    <t>Passive stochastic matched filter for Antarctic blue whale call detection</t>
  </si>
  <si>
    <t>INDIAN-OCEAN; PACIFIC; SOUNDS</t>
  </si>
  <si>
    <t>As a first step to Antarctic blue whale (ABW) monitoring using passive acoustics, a method based on the stochastic matched filter (SMF) is proposed. Derived from the matched filter (MF), this filter-based denoising method enhances stochastic signals embedded in an additive colored noise by maximizing its output signal to noise ratio (SNR). These assumptions are well adapted to the passive detection of ABW calls where emitted signals are modified by the unknown impulse response of the propagation channel. A filter bank is computed and stored offline based on a priori knowledge of the signal second order statistics and simulated colored sea-noise. Then, the detection relies on online background noise and SNR estimation, realized using time-frequency analysis. The SMF output is cross-correlated with the signal's reference (SMF thorn MF). Its performances are assessed on an ccean bottom seismometer-recorded ground truth dataset of 845 ABW calls, where the location of the whale is known. This dataset provides great SNR variations in diverse soundscapes. The SMF thorn MF performances are compared to the commonly used MF and to the Z-detector (a subspace detector for ABW calls). Mostly, the benefits of the use of the SMF thorn MF are revealed on low signal to noise observations: in comparison to the MF with identical detection threshold, the false alarm rate drastically decreases while the detection rate stays high. Compared to the Z-detector, it allows the extension of the detection range of similar or equal to 30 km in presence of ship noise with equivalent false discovery rate. (C) 2018 Acoustical Society of America.</t>
  </si>
  <si>
    <t>[Bouffaut, Lea; Dreo, Richard; Labat, Valerie; Boudraa, Abdel-O.] Ecole Navale, EA3634, Inst Rech, Arts &amp; Metiers ParisTech, BCRM Brest CC600, F-29240 Brest 9, France; [Barruol, Guilhem] CNRS, Inst Phys Globe Paris, Sorbonne Paris Cite, UMR 7154, 1 Rue Jussieu, F-75238 Paris 05, France</t>
  </si>
  <si>
    <t>Arts et Metiers Institute of Technology; Centre National de la Recherche Scientifique (CNRS); CNRS - National Institute for Earth Sciences &amp; Astronomy (INSU); Universite Paris Cite</t>
  </si>
  <si>
    <t>Bouffaut, L (corresponding author), Ecole Navale, EA3634, Inst Rech, Arts &amp; Metiers ParisTech, BCRM Brest CC600, F-29240 Brest 9, France.</t>
  </si>
  <si>
    <t>lea.bouffaut@ecole-navale.fr</t>
  </si>
  <si>
    <t>BOUDRAA, Abdel-Ouahab/P-6414-2019; Barruol, guilhem/M-8677-2019; BARRUOL, Guilhem/A-7116-2008; BARRUOL, Guilhem/AAN-4611-2021</t>
  </si>
  <si>
    <t>BOUDRAA, Abdel-Ouahab/0000-0002-1864-2859; Barruol, guilhem/0000-0002-4049-2375; BARRUOL, Guilhem/0000-0002-4049-2375; Dreo, Richard/0000-0002-7951-9088</t>
  </si>
  <si>
    <t>10.1121/1.5050520</t>
  </si>
  <si>
    <t>WOS:000443620700049</t>
  </si>
  <si>
    <t>Field, BD; Browne, GH; Fielding, CR; Florindo, F; Harwood, DM; Judge, SA; Krissek, LA; Panter, KS; Passchier, S; Pekar, SF; Sandroni, S; Talarico, FM</t>
  </si>
  <si>
    <t>Field, B. D.; Browne, G. H.; Fielding, C. R.; Florindo, F.; Harwood, D. M.; Judge, S. A.; Krissek, L. A.; Panter, K. S.; Passchier, S.; Pekar, S. F.; Sandroni, S.; Talarico, F. M.</t>
  </si>
  <si>
    <t>A sedimentological record of early Miocene ice advance and retreat, AND-2A drill hole, McMurdo Sound, Antarctica</t>
  </si>
  <si>
    <t>GEOSPHERE</t>
  </si>
  <si>
    <t>VICTORIA LAND BASIN; ROSS-SEA; VOLCANIC ACTIVITY; EAST ANTARCTICA; SHEET; CORE; SEDIMENTS; FACIES; EVOLUTION; DYNAMICS</t>
  </si>
  <si>
    <t>The lowest 501 m (similar to 1139-638 m) of the AND-2A core from southern Mc-Murdo Sound is the most detailed and complete record of early Miocene sediments in Antarctica and indicates substantial variability in Antarctic ice sheet activity during early Miocene time. There are two main pulses of diamictite accumulation recorded in the core, and three significant intervals with almost no coarse clasts. Each diamictite package comprises several sequences consistent with ice advance-retreat episodes. The oldest phase of diamictite deposition, Composite Sequence 1 (CS1), has evidence for grounded ice at the drill site and has been dated around 20.2-20.1 Ma. It likely coincides with cooling associated with isotope event Mi1aa. This is overlain by a diamictite-free, sandstone-dominated interval, CS2 that includes three coarsening-upward deltaic cycles, is inferred to mark substantial warming, and has an inferred age range between 20.1 and 20.05 Ma. Above this is an interval with variable amounts of diamictite (CS3), with indicators of ice grounding, that is inferred to record ice advance relative to CS2, and is overlain by an similar to 100-m-thick mud-rich interval (CS4) with no sedimentological evidence for direct glacial influence at the drill site (ca. 19.4-18.7 Ma). A third overlying diamictite-rich interval (CS5) overlies an unconformity spanning 18.7-17.8 Ma (coinciding with isotope event Mi1b), and records a return to more ice-influenced conditions at the drill site in late early Miocene time. The overall picture for the early Miocene (spanning the period 20.2-17.35 Ma) is one of ice advance alternating with periods of ice retreat and hence significant global climate fluctuations after the permanent establishment of the Antarctic ice sheet at the Eocene/Oligocene boundary, and preceding the relative warmth of the middle Miocene climatic optimum (ca. 17.5-14.5 Ma). Sedimentary cyclicity in CS1 and CS2 is consistent with similar to 21 k.y. precession but in CS3 the frequency is closer to 100 k.y. (consistent with eccentricity), with a possible change to 20 k.y. precession in CS4. CS5 cyclicity is consistent with obliquity forcing. Provenance data are consistent with local Trans antarctic Mountains glacial activity under precessional control in CS1 and more southerly ice-cap build up under 100 k.y. eccentricity and obliquity control during CS3 and CS5, respectively.</t>
  </si>
  <si>
    <t>[Field, B. D.; Browne, G. H.] GNS Sci, POB 30368, Lower Hutt, New Zealand; [Fielding, C. R.; Harwood, D. M.] Univ Nebraska, Dept Earth &amp; Atmospher Sci, 126 Bessey Hall, Lincoln, NE 68588 USA; [Florindo, F.] Ist Nazl Geofis &amp; Vulcanol, Via Vigna Murata 605, I-00143 Rome, Italy; [Judge, S. A.] Coll Wooster, Dept Geol, 944 Coll Mall, Wooster, OH 44691 USA; [Krissek, L. A.] Ohio State Univ, Sch Earth Sci, 125 South Oval Mall, Columbus, OH 43210 USA; [Panter, K. S.] Bowling Green State Univ, Dept Geol, Bowling Green, OH 43402 USA; [Passchier, S.] Montclair State Univ, Dept Earth &amp; Environm Sci, 252 Mallory Hall,1 Normal Ave, Montclair, NJ 07043 USA; [Pekar, S. F.] Queens Coll, Sch Earth &amp; Environm Sci, 65-30 Kissena Blvd, Flushing, NY 11367 USA; [Sandroni, S.; Talarico, F. M.] Univ Siena, Museo Nazl Antartide, Via Laterina 8, Siena, Italy; [Talarico, F. M.] Univ Siena, Dipartimento Sci Fis Terra &amp; Ambiente, Via Laterina 8, Siena, Italy</t>
  </si>
  <si>
    <t>GNS Science - New Zealand; University of Nebraska System; University of Nebraska Lincoln; Istituto Nazionale Geofisica e Vulcanologia (INGV); University System of Ohio; College of Wooster; University System of Ohio; Ohio State University; University System of Ohio; Bowling Green State University; Montclair State University; City University of New York (CUNY) System; Queens College NY (CUNY); University of Siena; University of Siena</t>
  </si>
  <si>
    <t>Field, BD (corresponding author), GNS Sci, POB 30368, Lower Hutt, New Zealand.</t>
  </si>
  <si>
    <t>brad.field@gns.cri.cz</t>
  </si>
  <si>
    <t>Florindo, Fabio/F-4119-2010; Passchier, Sandra/AAQ-2243-2021; Florindo, Fabio/M-1459-2019; Panter, Kurt S/B-4486-2010; Sandroni, Sonia/C-7188-2008; Florindo, Fabio/AAU-2548-2021; Passchier, Sandra/GYU-2381-2022; Field, Brad D/F-1062-2011</t>
  </si>
  <si>
    <t>Florindo, Fabio/0000-0002-6058-9748; Passchier, Sandra/0000-0001-7204-7025; Florindo, Fabio/0000-0002-6058-9748; Sandroni, Sonia/0000-0002-7941-7145; Panter, Kurt S./0000-0002-0990-5880</t>
  </si>
  <si>
    <t>U.S. National Science Foundation; New Zealand Foundation for Research Science and Technology (via GNS Science); Royal Society of New Zealand Marsden Fund; Italian Antarctic Research Programme (PNRA); German Research Foundation (DFG); Alfred Wegener Institute for Polar and Marine Research (Helmholtz Association of German Research Centres); Antarctica New Zealand; Raytheon Polar Services</t>
  </si>
  <si>
    <t>U.S. National Science Foundation(National Science Foundation (NSF)); New Zealand Foundation for Research Science and Technology (via GNS Science)(New Zealand Foundation for Research, Science and Technology); Royal Society of New Zealand Marsden Fund(Royal Society of New ZealandMarsden Fund (NZ)); Italian Antarctic Research Programme (PNRA); German Research Foundation (DFG)(German Research Foundation (DFG)); Alfred Wegener Institute for Polar and Marine Research (Helmholtz Association of German Research Centres); Antarctica New Zealand; Raytheon Polar Services</t>
  </si>
  <si>
    <t>We thank Steve Petrushak for preparation of thin sections, and Josh Reed for assistance with -PSICAT data and Corelyzer images and the curators who handled the core. We particularly thank the drillers for great core recovery and quality of the core. We thank I.M. Browne (University of South Florida), and journal referees Eugene Domack and an anonymous reviewer for their helpful comments. The ANDRILL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Enterprises Ltd. Scientific studies are funded by the U.S. National Science Foundation, New Zealand Foundation for Research Science and Technology (via GNS Science), Royal Society of New Zealand Marsden Fund, the Italian Antarctic Research Programme (PNRA), the German Research Foundation (DFG) and the Alfred Wegener Institute for Polar and Marine Research (Helmholtz Association of German Research Centres). Antarctica New Zealand supported the drilling team at Scott Base; Raytheon Polar Services supported the science team at McMurdo Station and the Crary Science and Engineering Laboratory. The ANDRILL Science Management Office at the University of Nebraska-Lincoln, USA, provided science planning and operational support.</t>
  </si>
  <si>
    <t>1553-040X</t>
  </si>
  <si>
    <t>Geosphere</t>
  </si>
  <si>
    <t>10.1130/GES01592.1</t>
  </si>
  <si>
    <t>GO6UP</t>
  </si>
  <si>
    <t>WOS:000440187300017</t>
  </si>
  <si>
    <t>Penkrot, ML; Jaeger, JM; Cowan, EA; St-Onge, G; LeVay, L</t>
  </si>
  <si>
    <t>Penkrot, Michelle L.; Jaeger, John M.; Cowan, Ellen A.; St-Onge, Guillaume; LeVay, Leah</t>
  </si>
  <si>
    <t>Multivariate modeling of glacimarine lithostratigraphy combining scanning XRF, multisensory core properties, and CT imagery: IODP Site U1419</t>
  </si>
  <si>
    <t>ANTARCTIC ICE-SHEET; DOWNHOLE LOGS; FACIES CLASSIFICATION; DISENCHANTMENT BAY; BERING GLACIER; CAT-SCAN; SEDIMENT; SEA; DYNAMICS; FLUCTUATIONS</t>
  </si>
  <si>
    <t>Marine sediments preserve archives of glacier behavior from many proxies, with lithofacies analysis providing direct evidence of glacial extent and dynamics. Many of these lithofacies have corresponding physical and geochemical properties that may be identified through quantitative, nondestructive logging properties. This study applies supervised and unsupervised classification to downcore logging data to attempt to model temperate glacimarine facies, which are independently identified via visual lithofacies analysis based on core photographs, digital X-radiography, and computed tomography scans. We test the limits of these methods by modeling both broad glacial and interglacial and small-scale variations in Late Pleistocene (&lt;60,000 yr) glacier extent leading into the Holocene deglaciation for a temperate ice stream at Integrated Ocean Drilling Program Site U1419 in the Gulf of Alaska. Multi-meter-scale mud and diamict lithofacies interpreted as non-glacial versus glacial conditions can be modeled with both methods using downcore physical property logging data (b* color reflectance, magnetic susceptibility, and natural gamma-ray activity) augmented with scanning X-ray fluorescence (XRF) elemental abundance (Ca, Zr, Si, K, Rb, and Al). Physical properties are most useful for delineating decimeter-meter-scale variations in composition and clay content, whereas scanning XRF elements best capture differences in sand versus clay content and composition at decimeter-centimeter scales. Neither classification technique can model the observed small-scale variations in diamict facies using elemental abundance from higher-resolution scanning XRF or from physical properties. Comparison of unsupervised cluster model results with observed lithofacies allows for identification of three different glacial conditions at Site U1419ice-proximal, fluctuating, and retreating. For small-scale variations in glacial extent, cluster model results are best used as complementary data to image-based lithofacies identification rather than as a replacement.</t>
  </si>
  <si>
    <t>[Penkrot, Michelle L.; Jaeger, John M.] Univ Florida, Dept Geol Sci, Gainesville, FL 32611 USA; [Cowan, Ellen A.] Appalachian State Univ, Dept Geol &amp; Environm Sci, Boone, NC 28608 USA; [St-Onge, Guillaume] Univ Quebec Rimouski, Inst Sci Mer Rimouski ISMER, Canada Res Chair Marine Geol, Rimouski, PQ G5L 3A1, Canada; [St-Onge, Guillaume] GEOTOP, Rimouski, PQ G5L 3A1, Canada; [LeVay, Leah] Texas A&amp;M Univ, Int Ocean Discovery Program, College Stn, TX 77845 USA</t>
  </si>
  <si>
    <t>State University System of Florida; University of Florida; University of North Carolina; Appalachian State University; University of Quebec; Universite du Quebec a Rimouski; Texas A&amp;M University System; Texas A&amp;M University College Station</t>
  </si>
  <si>
    <t>Penkrot, ML (corresponding author), Univ Florida, Dept Geol Sci, Gainesville, FL 32611 USA.</t>
  </si>
  <si>
    <t>mpenkrot@ufl.edu</t>
  </si>
  <si>
    <t>St-Onge, Guillaume/E-4828-2014</t>
  </si>
  <si>
    <t>Penkrot, Michelle/0000-0001-9197-836X; Jaeger, John/0000-0003-0248-489X; St-Onge, Guillaume/0000-0001-6958-4217</t>
  </si>
  <si>
    <t>Consortium for Ocean Leadership U.S. Scientist Support Program post-cruise grant; National Science Foundation [OCE-1434402, OCE-1434945]; University of Florida graduate research fellowship; Natural Sciences and Engineering Research Council</t>
  </si>
  <si>
    <t>Consortium for Ocean Leadership U.S. Scientist Support Program post-cruise grant; National Science Foundation(National Science Foundation (NSF)); University of Florida graduate research fellowship; Natural Sciences and Engineering Research Council(Natural Sciences and Engineering Research Council of Canada (NSERC))</t>
  </si>
  <si>
    <t>Expedition 341 was carried out by the Integrated Ocean Drilling Program (IODP). We thank the IODP-USIO and the captain and crew of the D/V JOIDES Resolution. We thank David Houpt for assistance with scanning XRF measurements at the Gulf Coast Core Repository, Clark Alexander for use of X-radiography equipment, Louis-Frederic Daigle, Quentin Beauvais, and Julie Velle for assistance with CT scanning, and Sabine Hunze and two anonymous reviewers for comments and suggestions that significantly improved the manuscript. Funding for this research was provided by the Consortium for Ocean Leadership U.S. Scientist Support Program post-cruise grant to JMJ and LL and National Science Foundation grants OCE-1434402 (JMJ), OCE-1434945 (EAC), University of Florida graduate research fellowship for M.P., and by Natural Sciences and Engineering Research Council to G.S.</t>
  </si>
  <si>
    <t>10.1130/GES01635.1</t>
  </si>
  <si>
    <t>WOS:000440187300025</t>
  </si>
  <si>
    <t>Kain, JS</t>
  </si>
  <si>
    <t>Kain, Jennifer S.</t>
  </si>
  <si>
    <t>Undesirable merchant seamen in transit: Harold Shaw, the Antarctic and the asylum</t>
  </si>
  <si>
    <t>INTERNATIONAL JOURNAL OF MARITIME HISTORY</t>
  </si>
  <si>
    <t>deportation; fireman; in-transit'; malingering; New Zealand; undesirable immigrant</t>
  </si>
  <si>
    <t>This article uses the experiences of ship's fireman Harold Shaw to expose the confused early twentieth-century legal framework used to restrict the mobility of undesirable merchant seamen. Labelled invariably as a nuisance', a malingerer', mentally-deficient' and epileptic', Shaw was classed as a prohibited immigrant in New Zealand. Bureaucratic records are used to tell of his life in transit'. His wanderlust took him from Manchester, England, to Tasmania, the Antarctic, New Zealand and back again. Initially hailed as an Antarctic hero alongside his fellows on the Aurora, one-half of Ernest Shackleton's Imperial Trans-Antarctic Expedition, he was unceremoniously expelled from New Zealand. Shaw managed to enter the country again in less glamorous, but no less dramatic circumstances. Local authorities struggled to reconcile the complex legislation designed to protect the health of arriving seamen, but more so that of the public, to deal with Shaw's liminal status.</t>
  </si>
  <si>
    <t>[Kain, Jennifer S.] Newcastle Univ, Newcastle Upon Tyne, Tyne &amp; Wear, England; [Kain, Jennifer S.] Univ London, Sch Adv Studies, Inst Hist Res, London, England</t>
  </si>
  <si>
    <t>Newcastle University - UK; University of London</t>
  </si>
  <si>
    <t>Kain, JS (corresponding author), Newcastle Univ, Sch Hist Class &amp; Archaeol, Armstrong Bldg, Newcastle Upon Tyne NE1 7RU, Tyne &amp; Wear, England.</t>
  </si>
  <si>
    <t>jennifer.kain@ncl.ac.uk</t>
  </si>
  <si>
    <t>Alan Pearsall Junior Research Fellowship - Institute of Historical Research, School of Advanced Studies, University of London; Northumbria University</t>
  </si>
  <si>
    <t>This research was funded by the Alan Pearsall Junior Research Fellowship, awarded by the Institute of Historical Research, School of Advanced Studies, University of London (2016-2017). The original primary research was funded by a PhD studentship provided by Northumbria University (2011-2015).</t>
  </si>
  <si>
    <t>0843-8714</t>
  </si>
  <si>
    <t>2052-7756</t>
  </si>
  <si>
    <t>INT J MARIT HIST</t>
  </si>
  <si>
    <t>Int. J. Marit. Hist.</t>
  </si>
  <si>
    <t>10.1177/0843871418781399</t>
  </si>
  <si>
    <t>GQ7MY</t>
  </si>
  <si>
    <t>WOS:000441927200004</t>
  </si>
  <si>
    <t>Kusahara, K; Reid, P; Williams, GD; Massom, R; Hasumi, H</t>
  </si>
  <si>
    <t>Kusahara, Kazuya; Reid, Phillip; Williams, Guy D.; Massom, Robert; Hasumi, Hiroyasu</t>
  </si>
  <si>
    <t>An ocean-sea ice model study of the unprecedented Antarctic sea ice minimum in 2016</t>
  </si>
  <si>
    <t>ENVIRONMENTAL RESEARCH LETTERS</t>
  </si>
  <si>
    <t>Antarctic sea ice; ocean-sea ice modeling; the minimum sea ice extent in 2016</t>
  </si>
  <si>
    <t>CMIP5 MODELS; TRENDS; VARIABILITY; DRIVEN; EXTENT</t>
  </si>
  <si>
    <t>Overall Antarctic sea ice extent in the 2016 spring attained a record minimum for the satellite period (1979-2016), presenting an abrupt departure from the record maxima in previous years and the slight upward trend since 1979. In 2016 the atmospheric conditions over the Southern Ocean changed dramatically from the prevailing cold and westerly anomalies in summer to warm and easterly anomalies in spring. We conducted numerical experiments with an ocean-sea ice model to quantify the major factors responsible for the unanticipated change in 2016. Our model successfully reproduces the long-term increasing trend and the 2016 minimum, and the numerical experiments suggest that the 2016 minimum event is largely attributable to thermodynamic surface forcing (53%), while wind stress and the sea-ice and oceanic conditions from the previous summer (January 2016) explain the remaining 34% and 13%, respectively. This confirms that it is essential to assess the thermal conditions in both the atmosphere and ocean when estimating Antarctic sea ice fields to future climate changes.</t>
  </si>
  <si>
    <t>[Kusahara, Kazuya] Japan Agcy Marine Earth Sci &amp; Technol JAMSTEC, Yokohama, Kanagawa, Japan; [Kusahara, Kazuya; Reid, Phillip; Williams, Guy D.; Massom, Robert] Antarctic Climate &amp; Ecosyst Cooperat Res Ctr, Hobart, Tas, Australia; [Reid, Phillip] Australian Bur Meteorol, Hobart, Tas, Australia; [Williams, Guy D.] Univ Tasmania, Inst Marine &amp; Antarctic Studies, Hobart, Tas, Australia; [Massom, Robert] Australian Antarctic Div, Kingston, Tas, Australia; [Hasumi, Hiroyasu] Univ Tokyo, Atmosphere &amp; Ocean Res Inst, Kashiwa, Chiba, Japan</t>
  </si>
  <si>
    <t>Japan Agency for Marine-Earth Science &amp; Technology (JAMSTEC); Antarctic Climate &amp; Ecosystems Cooperative Research Centre (ACE CRC); Bureau of Meteorology - Australia; University of Tasmania; Australian Antarctic Division; University of Tokyo</t>
  </si>
  <si>
    <t>Kusahara, K (corresponding author), Japan Agcy Marine Earth Sci &amp; Technol JAMSTEC, Yokohama, Kanagawa, Japan.;Kusahara, K (corresponding author), Antarctic Climate &amp; Ecosyst Cooperat Res Ctr, Hobart, Tas, Australia.</t>
  </si>
  <si>
    <t>kazuya.kusahara@gmail.com</t>
  </si>
  <si>
    <t>Kusahara, Kazuya/0000-0003-4067-7959; Massom, Robert/0000-0003-1533-5084</t>
  </si>
  <si>
    <t>Australian Government's Cooperative Research Centre through the ACE CRC; ACE CRC Project [R1.3]; AAS Project [4116]; Australian Research Council's Future Fellowship program; JSPS KAKENHI Grant [26247080]; Grants-in-Aid for Scientific Research [26247080] Funding Source: KAKEN</t>
  </si>
  <si>
    <t>Australian Government's Cooperative Research Centre through the ACE CRC; ACE CRC Project; AAS Project; Australian Research Council's Future Fellowship program(Australian Research Council); JSPS KAKENHI Grant(Ministry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</si>
  <si>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research was supported by the Australian Government's Cooperative Research Centre through the ACE CRC, and contributes to ACE CRC Project R1.3 and AAS Project 4116. GW was supported by the Australian Research Council's Future Fellowship program. HH was supported by JSPS KAKENHI Grant Number 26247080. We thank two anonymous reviewers for their careful reading and helpful comments on the manuscript.</t>
  </si>
  <si>
    <t>IOP PUBLISHING LTD</t>
  </si>
  <si>
    <t>BRISTOL</t>
  </si>
  <si>
    <t>TEMPLE CIRCUS, TEMPLE WAY, BRISTOL BS1 6BE, ENGLAND</t>
  </si>
  <si>
    <t>1748-9326</t>
  </si>
  <si>
    <t>ENVIRON RES LETT</t>
  </si>
  <si>
    <t>Environ. Res. Lett.</t>
  </si>
  <si>
    <t>10.1088/1748-9326/aad624</t>
  </si>
  <si>
    <t>GQ6LA</t>
  </si>
  <si>
    <t>WOS:000441823400002</t>
  </si>
  <si>
    <t>Salter, MA; Perry, CT; Stuart-Smith, RD; Edgar, GJ; Wilson, RW; Harborne, AR</t>
  </si>
  <si>
    <t>Salter, Michael A.; Perry, Chris T.; Stuart-Smith, Rick D.; Edgar, Graham J.; Wilson, Rod W.; Harborne, Alastair R.</t>
  </si>
  <si>
    <t>Reef fish carbonate production assessments highlight regional variation in sedimentary significance</t>
  </si>
  <si>
    <t>MARINE; MUD</t>
  </si>
  <si>
    <t>Recent studies show that all marine bony fish produce mud-sized (&lt;63 mu m) carbonate at rates relevant to carbonate sediment budgets, thus adding to the debate about the often enigmatic origins of fine-grained marine carbonates. However, existing production data are geographically and taxonomically limited, and because different fish families are now known to produce different carbonate polymorphsan issue relevant to predicting their preservation potential-these limitations represent an important knowledge gap. Here we present new data from sites in the Western Pacific Ocean, based on an analysis of 45 fish species. Our data show that previously reported production outputs (in terms of rates and family-specific mineralogies) are applicable across different biogeographic regions. On this basis, we model carbonate production for nine coral reef systems around Australia, with production rates averaging 2.1-9.6 g m(-2) yr(-1), and up to 105 g m(-2) yr(-1) at discrete sites with high fish biomass. With projected production rates on lower-latitude reefs up to two-fold higher, these outputs indicate that carbonate production rates by fish can be comparable with other fine-grained carbonate-producing taxa such as codiacean algae. However, carbonates produced by Australian reef fish assemblages are dominated by a highly unstable amorphous polymorph; a marked contrast to Caribbean assemblages in which Mg calcite dominates. These findings highlight important regional differences in the sedimentary relevance and preservation potential of fish carbonates as a function of historical biogeographic processes that have shaped the world's marine fish faunas.</t>
  </si>
  <si>
    <t>[Salter, Michael A.; Perry, Chris T.] Univ Exeter, Coll Life &amp; Environm Sci, Geog, Exeter EX4 4RJ, Devon, England; [Stuart-Smith, Rick D.; Edgar, Graham J.] Univ Tasmania, Inst Marine &amp; Antarctic Studies, Private Bag 49, Hobart, Tas 7001, Australia; [Wilson, Rod W.] Univ Exeter, Coll Life &amp; Environm Sci, Biosci, Exeter EX4 4QD, Devon, England; [Harborne, Alastair R.] Florida Int Univ, Dept Biol Sci, N Miami, FL 33181 USA; [Harborne, Alastair R.] Univ Queensland, Marine Spatial Ecol Lab, Sch Biol Sci, Ctr Excellence Coral Reef Studies, Brisbane, Qld 4072, Australia; [Harborne, Alastair R.] Univ Queensland, Ctr Excellence Coral Reef Studies, Sch Biol Sci, Australian Res Council, Brisbane, Qld 4072, Australia</t>
  </si>
  <si>
    <t>University of Exeter; University of Tasmania; University of Exeter; State University System of Florida; Florida International University; University of Queensland; University of Queensland</t>
  </si>
  <si>
    <t>Salter, MA (corresponding author), Univ Exeter, Coll Life &amp; Environm Sci, Geog, Exeter EX4 4RJ, Devon, England.</t>
  </si>
  <si>
    <t>m.a.salter@exeter.ac.uk</t>
  </si>
  <si>
    <t>Stuart-Smith, Rick D/M-1829-2013; Edgar, Graham/AAY-3797-2020; Stuart-Smith, Rick/I-5214-2019; Harborne, Alastair/F-6155-2013</t>
  </si>
  <si>
    <t>Stuart-Smith, Rick D/0000-0002-8874-0083; Edgar, Graham/0000-0003-0833-9001; Stuart-Smith, Rick/0000-0002-8874-0083; Perry, Chris/0000-0001-9398-2418; Harborne, Alastair/0000-0002-6818-8615</t>
  </si>
  <si>
    <t>Natural Environment Research Council (NERC) [NE/K003143/1, NE/G010617/1]; NERC [NE/F015704/1]; Australian Research Council (ARC) fellowship [DE120102459]; Australian Research Council [DE120102459] Funding Source: Australian Research Council; NERC [NE/K003143/1, NE/G010617/1] Funding Source: UKRI</t>
  </si>
  <si>
    <t>Natural Environment Research Council (NERC)(UK Research &amp; Innovation (UKRI)Natural Environment Research Council (NERC)); NERC(UK Research &amp; Innovation (UKRI)Natural Environment Research Council (NERC)); Australian Research Council (ARC) fellowship(Australian Research Council); Australian Research Council(Australian Research Council); NERC(UK Research &amp; Innovation (UKRI)Natural Environment Research Council (NERC))</t>
  </si>
  <si>
    <t>Salter, Perry, and Wilson were funded through Natural Environment Research Council (NERC) grants NE/K003143/1 and NE/G010617/1. Harborne was funded through NERC fellowship NE/F015704/1 and Australian Research Council (ARC) fellowship DE120102459. We thank staff at Heron Island and Moreton Bay Research Stations; Antonia Cooper and Just Berkhout at the University of Tasmania; and the Reef Life Survey volunteers who contributed to data collection. This is contribution #96 from the Center for Coastal Oceans Research in the Institute for Water and Environment at Florida International University.</t>
  </si>
  <si>
    <t>10.1130/G45286.1</t>
  </si>
  <si>
    <t>GQ6EN</t>
  </si>
  <si>
    <t>WOS:000441797000009</t>
  </si>
  <si>
    <t>Burdanowitz, N; Dupont, L; Zabel, M; Schefuss, E</t>
  </si>
  <si>
    <t>Burdanowitz, Nicole; Dupont, Lydie; Zabel, Matthias; Schefuss, Enno</t>
  </si>
  <si>
    <t>Holocene hydrologic and vegetation developments in the Orange River catchment (South Africa) and their controls</t>
  </si>
  <si>
    <t>HOLOCENE</t>
  </si>
  <si>
    <t>compound-specific isotopes; Holocene; insolation gradient; palaeoclimate; South Africa; summer rainfall zone</t>
  </si>
  <si>
    <t>SEDIMENTARY N-ALKANES; DELTA-D VALUES; HYDROGEN ISOTOPIC COMPOSITIONS; WINTER RAINFALL ZONE; ANTARCTIC SEA-ICE; LAST 20,000 YEARS; LATE QUATERNARY; CLIMATE-CHANGE; SURFICIAL SEDIMENTS; FORCING MECHANISMS</t>
  </si>
  <si>
    <t>The summer rainfall zone (SRZ) in the South African interior experienced pronounced hydrological and vegetation changes during the Holocene inferred to be driven mainly by shifts in atmospheric and oceanic circulations systems. The exact mechanisms controlling these changes are still debated. To gain better insights into the Holocene environmental changes in the South African SRZ and their driving factors, we analysed compound-specific carbon and hydrogen isotopes of plant wax n-alkanes (C-13(wax) and D-wax) from a marine sediment core covering the last 9900 years. The core has been recovered offshore the mouth of the Orange River, predominantly draining the South African summer rainfall region. Our data indicate a dry early Holocene and a gradual increase of wetter conditions with a higher abundance of C-4 vegetation towards the middle Holocene. Wettest conditions occurred around 3900 cal. yr BP. The last 3900 years were characterised by a gradual aridification overlain by variable wetter conditions. During the Little Ice Age' (LIA: ca. 640-310 cal. yr BP), relatively dry conditions with elevated C-4 plant contributions occurred. This opposite behaviour, that is, more C-4 plant contribution during drier conditions compared to the remainder of the Holocene, points towards an influence of winter rainfall in the lower Orange River catchment during the late-Holocene and a decline in summer rainfall. We emphasise the importance of changes in the latitudinal insolation gradient (LIG) as a potentially important controlling mechanism for hydrologic and vegetation changes in the SRZ.</t>
  </si>
  <si>
    <t>[Burdanowitz, Nicole; Dupont, Lydie; Zabel, Matthias; Schefuss, Enno] Univ Bremen, Ctr Marine Environm Sci, MARUM, Bremen, Germany; [Burdanowitz, Nicole] Univ Hamburg, Inst Geol, Bundesstr 55, D-20146 Hamburg, Germany</t>
  </si>
  <si>
    <t>University of Bremen; University of Hamburg</t>
  </si>
  <si>
    <t>Burdanowitz, N (corresponding author), Univ Hamburg, Inst Geol, Bundesstr 55, D-20146 Hamburg, Germany.</t>
  </si>
  <si>
    <t>nicole.burdanowitz@uni-hamburg.de</t>
  </si>
  <si>
    <t>Schefuß, Enno/A-7101-2015; Zabel, Matthias/E-5044-2011</t>
  </si>
  <si>
    <t>Schefuß, Enno/0000-0002-5960-930X; Zabel, Matthias/0000-0003-4681-1821; Burdanowitz, Nicole/0000-0001-9922-1863</t>
  </si>
  <si>
    <t>Bundesministerium fur Bildung und Forschung (BMBF) within in the project 'Regional Archives for Integrated Investigation' (RAiN) [03G0840A]; GLOMAR - Bremen International Graduate School for Marine Sciences</t>
  </si>
  <si>
    <t>Bundesministerium fur Bildung und Forschung (BMBF) within in the project 'Regional Archives for Integrated Investigation' (RAiN)(Federal Ministry of Education &amp; Research (BMBF)); GLOMAR - Bremen International Graduate School for Marine Sciences</t>
  </si>
  <si>
    <t>Funding was provided by the Bundesministerium fur Bildung und Forschung (BMBF) within in the project 'Regional Archives for Integrated Investigation' (RAiN, 03G0840A), which is embedded in the international research program SPACES (Science Partnership for the Assessment of Complex Earth System Processes). N.B. was supported by GLOMAR - Bremen International Graduate School for Marine Sciences.</t>
  </si>
  <si>
    <t>0959-6836</t>
  </si>
  <si>
    <t>1477-0911</t>
  </si>
  <si>
    <t>Holocene</t>
  </si>
  <si>
    <t>10.1177/0959683618771484</t>
  </si>
  <si>
    <t>GQ4AY</t>
  </si>
  <si>
    <t>WOS:000441610900009</t>
  </si>
  <si>
    <t>Tozer, CR; Kiem, AS; Vance, TR; Roberts, JL; Curran, MAJ; Moy, AD</t>
  </si>
  <si>
    <t>Tozer, C. R.; Kiem, A. S.; Vance, T. R.; Roberts, J. L.; Curran, M. A. J.; Moy, A. D.</t>
  </si>
  <si>
    <t>Reconstructing pre-instrumental streamflow in Eastern Australia using a water balance approach (vol 558, pg 632, 2018)</t>
  </si>
  <si>
    <t>JOURNAL OF HYDROLOGY</t>
  </si>
  <si>
    <t>[Tozer, C. R.] CSIRO, Oceans &amp; Atmosphere, Hobart, Tas 7000, Australia; [Kiem, A. S.] Univ Newcastle, CWCL, Callaghan, NSW 2308, Australia; [Vance, T. R.; Roberts, J. L.; Curran, M. A. J.; Moy, A. D.] Univ Tasmania, Antarctic Climate &amp; Ecosyst Cooperat Res Ctr, Private Bag 80, Hobart, Tas 7001, Australia; [Roberts, J. L.; Curran, M. A. J.; Moy, A. D.] Australian Antarctic Div, Kingston, Tas 7050, Australia</t>
  </si>
  <si>
    <t>Commonwealth Scientific &amp; Industrial Research Organisation (CSIRO); University of Newcastle; University of Tasmania; Antarctic Climate &amp; Ecosystems Cooperative Research Centre (ACE CRC); Australian Antarctic Division</t>
  </si>
  <si>
    <t>Tozer, CR (corresponding author), CSIRO, Oceans &amp; Atmosphere, Hobart, Tas 7000, Australia.</t>
  </si>
  <si>
    <t>carly.tozer@csiro.au</t>
  </si>
  <si>
    <t>Kiem, Anthony/D-9307-2013; Roberts, Jason L/B-2235-2012; Tozer, Carly R/E-9936-2013</t>
  </si>
  <si>
    <t>Kiem, Anthony/0000-0002-3994-6958; Roberts, Jason L/0000-0002-3477-4069; Tozer, Carly R/0000-0001-8605-5907</t>
  </si>
  <si>
    <t>0022-1694</t>
  </si>
  <si>
    <t>1879-2707</t>
  </si>
  <si>
    <t>J HYDROL</t>
  </si>
  <si>
    <t>J. Hydrol.</t>
  </si>
  <si>
    <t>10.1016/j.jhydrol.2018.07.040</t>
  </si>
  <si>
    <t>Engineering, Civil; Geosciences, Multidisciplinary; Water Resources</t>
  </si>
  <si>
    <t>Engineering; Geology; Water Resources</t>
  </si>
  <si>
    <t>GQ2NW</t>
  </si>
  <si>
    <t>WOS:000441492700095</t>
  </si>
  <si>
    <t>Heiden, JP; Thoms, S; Bischof, K; Trimborn, S</t>
  </si>
  <si>
    <t>Heiden, Jasmin P.; Thoms, Silke; Bischof, Kai; Trimborn, Scarlett</t>
  </si>
  <si>
    <t>Ocean acidification stimulates particulate organic carbon accumulation in two Antarctic diatom species under moderate and high natural solar radiation</t>
  </si>
  <si>
    <t>climate change; CO; (2); light; multiple stressors; photophysiology; photosensitivity; phytoplankton; Southern Ocean</t>
  </si>
  <si>
    <t>PHYTOPLANKTON TAXA PHOTOSYNTHESIS; RESTRICTED ENERGY-TRANSFER; RADICAL-PAIR EQUILIBRIUM; PHOTOSYSTEM-II; PHAEOCYSTIS-ANTARCTICA; FRAGILARIOPSIS-CYLINDRUS; FLUORESCENCE INDUCTION; DYNAMIC LIGHT; GROWTH; CO2</t>
  </si>
  <si>
    <t>Impacts of rising atmospheric CO2 concentrations and increased daily irradiances from enhanced surface water stratification on phytoplankton physiology in the coastal Southern Ocean remain still unclear. Therefore, in the two Antarctic diatoms Fragilariopsis curta and Odontella weissflogii, the effects of moderate and high natural solar radiation combined with either ambient or future pCO(2) on cellular particulate organic carbon (POC) contents and photophysiology were investigated. Results showed that increasing CO2 concentrations had greater impacts on diatom physiology than exposure to increasing solar radiation. Irrespective of the applied solar radiation regime, cellular POC quotas increased with future pCO(2) in both diatoms. Lowered maximum quantum yields of photochemistry in PSII (F-v/F-m) indicated a higher photosensitivity under these conditions, being counteracted by increased cellular concentrations of functional photosynthetic reaction centers. Overall, our results suggest that both bloom-forming Antarctic coastal diatoms might increase carbon contents under future pCO(2) conditions despite reduced physiological fitness. This indicates a higher potential for primary productivity by the two diatom species with important implications for the CO2 sequestration potential of diatom communities in the future coastal Southern Ocean.</t>
  </si>
  <si>
    <t>[Heiden, Jasmin P.; Trimborn, Scarlett] Helmholtz Ctr Polar &amp; Marine Res, Alfred Wegener Inst, Handelshafen 12, D-27570 Bremerhaven, Germany; [Heiden, Jasmin P.; Bischof, Kai; Trimborn, Scarlett] Univ Bremen, Marine Bot, Leobener Str NW2, D-28359 Bremen, Germany; [Thoms, Silke] Helmholtz Ctr Polar &amp; Marine Res, Alfred Wegener Inst, Handelshafen 12, D-27568 Bremerhaven, Germany</t>
  </si>
  <si>
    <t>Helmholtz Association; Alfred Wegener Institute, Helmholtz Centre for Polar &amp; Marine Research; University of Bremen; Helmholtz Association; Alfred Wegener Institute, Helmholtz Centre for Polar &amp; Marine Research</t>
  </si>
  <si>
    <t>Trimborn, S (corresponding author), Helmholtz Ctr Polar &amp; Marine Res, Alfred Wegener Inst, Handelshafen 12, D-27570 Bremerhaven, Germany.;Trimborn, S (corresponding author), Univ Bremen, Marine Bot, Leobener Str NW2, D-28359 Bremen, Germany.</t>
  </si>
  <si>
    <t>scarlett.trimborn@awi.de</t>
  </si>
  <si>
    <t>Trimborn, Scarlett/AAM-1061-2021</t>
  </si>
  <si>
    <t>Trimborn, Scarlett/0000-0003-1434-9927; Heiden, Jasmin Pascale/0000-0001-6940-9347; Bischof, Kai/0000-0002-4497-1920</t>
  </si>
  <si>
    <t>Helmholtz association (HGF Young Investigators Group EcoTrace) [VH-NG-901]</t>
  </si>
  <si>
    <t>Helmholtz association (HGF Young Investigators Group EcoTrace)</t>
  </si>
  <si>
    <t>We thank Britta Meier-Schlosser and Tina Brenneis for assistance in the laboratory. We further thank the staff and scientists of the British Antarctic Survey, the Royal Netherlands Institute for Sea Research, the Netherlands Organization for Scientific Research, and all staff and scientists at Rothera station for their support to make this work possible. JPH and ST were funded by the Helmholtz association (HGF Young Investigators Group EcoTrace, VH-NG-901).</t>
  </si>
  <si>
    <t>10.1111/jpy.12753</t>
  </si>
  <si>
    <t>GQ6UC</t>
  </si>
  <si>
    <t>WOS:000441860300008</t>
  </si>
  <si>
    <t>Fowles, AE; Edgar, GJ; Hill, N; Stuart-Smith, RD; Kirkpatrick, JB</t>
  </si>
  <si>
    <t>Fowles, Amelia E.; Edgar, Graham J.; Hill, Nicole; Stuart-Smith, Rick D.; Kirkpatrick, Jamie B.</t>
  </si>
  <si>
    <t>An experimental assessment of impacts of pollution sources on sessile biota in a temperate urbanised estuary</t>
  </si>
  <si>
    <t>Biodiversity; Marina; Sewerage outfall; Fish farm; Stormwater discharge; Macroalgae</t>
  </si>
  <si>
    <t>ANTIFOULING PAINT; WATER-QUALITY; COMMUNITY STRUCTURE; WAVE EXPOSURE; ASSEMBLAGES; COPPER; RESPONSES; TASMANIA; BIODIVERSITY; DIVERSITY</t>
  </si>
  <si>
    <t>Populations of macro-algae and sessile invertebrates have precipitously declined in urbanised coastal waters in Australia since European occupation. Responses of healthy subtidal sessile assemblages to cumulative impacts and types of urban impacts were measured in one of the most polluted estuaries in Australia - the Derwent Estuary - by transplanting sessile communities established on pavers to locations adjacent to marinas, sewerage outfalls, fish farm cages, and stormwater discharges, each with associated controls. Reef communities translocated to sites adjacent to central urban pollution sources (within 51cm of Hobart) lost canopy-forming algae. Fish farms, marinas, and storm water drains were all characterised by higher filamentous algal cover than their controls. Marinas were associated with losses in canopy and foliose algae. Restoration of subtidal reef near highly urbanised areas is unlikely to be successful until current pollution levels are dramatically reduced.</t>
  </si>
  <si>
    <t>[Fowles, Amelia E.; Edgar, Graham J.; Hill, Nicole; Stuart-Smith, Rick D.] Univ Tasmania, Inst Marine &amp; Antarctic Studies, Private Bag 49, Hobart, Tas 7001, Australia; [Kirkpatrick, Jamie B.] Univ Tasmania, Discipline Geog &amp; Spatial Sci, Private Bag 78, Hobart, Tas 7001, Australia</t>
  </si>
  <si>
    <t>Kirkpatrick, JB (corresponding author), Univ Tasmania, Discipline Geog &amp; Spatial Sci, Private Bag 78, Hobart, Tas 7001, Australia.</t>
  </si>
  <si>
    <t>J.Kirkpatrick@utas.edu.au</t>
  </si>
  <si>
    <t>Stuart-Smith, Rick D/M-1829-2013; Stuart-Smith, Rick/I-5214-2019; Edgar, Graham/AAY-3797-2020</t>
  </si>
  <si>
    <t>Stuart-Smith, Rick D/0000-0002-8874-0083; Stuart-Smith, Rick/0000-0002-8874-0083; Edgar, Graham/0000-0003-0833-9001</t>
  </si>
  <si>
    <t>Marine Biodiversity Hub through the Australian Government's National Environmental Research Program</t>
  </si>
  <si>
    <t>We thank the many of University of Tasmania PhD student divers who participated in field teams, particularly Fiona Scott who provided ongoing expertise in algal identification. Research facilities were provided by the Institute for Marine and Antarctic Studies, and scholarship funding from the Marine Biodiversity Hub, a collaborative partnership supported through the Australian Government's National Environmental Research Program. We also thank the Tasmanian Department of Primary Industries and Water for issuing a Scientific Collection Permit to allow transplantations.</t>
  </si>
  <si>
    <t>10.1016/j.marpolbul.2018.05.040</t>
  </si>
  <si>
    <t>WOS:000441853600021</t>
  </si>
  <si>
    <t>Hadley, S; Wild-Allen, K; Johnson, C; Macleod, C</t>
  </si>
  <si>
    <t>Hadley, Scott; Wild-Allen, Karen; Johnson, Craig; Macleod, Catriona</t>
  </si>
  <si>
    <t>Investigation of broad scale implementation of integrated multitrophic aquaculture using a 3D model of an estuary</t>
  </si>
  <si>
    <t>Macrocystis; Giant kelp; Bioremediation; Salmon aquaculture; Biogeochemical model</t>
  </si>
  <si>
    <t>MULTI-TROPHIC AQUACULTURE; EUTROPHICATION ASSESSMENT; BIOREMEDIATION STRATEGY; ENVIRONMENTAL-IMPACT; FINFISH AQUACULTURE; WATER-QUALITY; CAGE CULTURE; COASTAL; NUTRIENTS; ECOSYSTEM</t>
  </si>
  <si>
    <t>A 3D ecosystem model was used to quantify changes in water quality brought about by salmon aquaculture in the D'Entrecasteaux Channel and Huon Estuary in southeast Tasmania. Macroalgae-based integrated multitrophic aquaculture (IMTA) was simulated and showed that IMTA is capable of reducing the increased chlorophyll concentration attributable to fish farming by up to 10-15% in large areas of the region, during the season of highest production. Kelp farms (Macrocystis pyrifera) recovered between 6 and 11% of the dissolved inorganic nitrogen (DIN) input by salmon aquaculture over a nine month period, with DIN remediation increasing linearly with farm size. Under a ten-fold increase in aquaculture to very high loads, a much lower remediation effect was found for both chlorophyll and DIN. Model results indicate that IMTA could have an important impact on reducing negative effects of finfish aquaculture on water quality providing that stocking rates are not too high.</t>
  </si>
  <si>
    <t>[Hadley, Scott; Johnson, Craig; Macleod, Catriona] Univ Tasmania, Inst Marine &amp; Antarctic Studies, Private Bag 129, Hobart, Tas 7001, Australia; [Wild-Allen, Karen] CSIRO Oceans &amp; Atmosphere, GPO Box1538, Hobart, Tas 7001, Australia</t>
  </si>
  <si>
    <t>Hadley, S (corresponding author), Univ Tasmania, Inst Marine &amp; Antarctic Studies, Private Bag 129, Hobart, Tas 7001, Australia.</t>
  </si>
  <si>
    <t>s_hadley@utas.edu.au</t>
  </si>
  <si>
    <t>Wild-Allen, Karen/D-9263-2018; Macleod, Catriona/J-7176-2014</t>
  </si>
  <si>
    <t>Macleod, Catriona/0000-0002-0539-6361</t>
  </si>
  <si>
    <t>Fisheries Research and Development Corporation (FRDC) [2011-042]; CSIRO/UTAS QMS program</t>
  </si>
  <si>
    <t>Fisheries Research and Development Corporation (FRDC)(Fisheries R&amp;D Corp); CSIRO/UTAS QMS program</t>
  </si>
  <si>
    <t>We would like to thank the Fisheries Research and Development Corporation (FRDC) [Project No. 2011-042], for partly funding this research. We would also like to thank the CSIRO/UTAS QMS program for supporting this work.</t>
  </si>
  <si>
    <t>10.1016/j.marpolbul.2018.05.045</t>
  </si>
  <si>
    <t>WOS:000441853600047</t>
  </si>
  <si>
    <t>Lavers, JL; Hutton, I; Bond, AL</t>
  </si>
  <si>
    <t>Lavers, Jennifer L.; Hutton, Ian; Bond, Alexander L.</t>
  </si>
  <si>
    <t>Ingestion of marine debris by Wedge-tailed Shearwaters (Ardenna pacifica) on Lord Howe Island, Australia during 2005-2018</t>
  </si>
  <si>
    <t>Long-term trends; Plastic ingestion; Plastic pollution; Tasman Sea; Wedge-tailed Shearwater</t>
  </si>
  <si>
    <t>FLESH-FOOTED SHEARWATERS; PLASTIC INGESTION; PUFFINUS-CARNEIPES; SEABIRDS; ENVIRONMENT; PARTICLES; ACCUMULATION; PATTERNS; ATLANTIC</t>
  </si>
  <si>
    <t>Annual rates of plastic production have been increasing rapidly since the 1950s. Inadequate or improper disposal of plastic products has contributed to a significant increase in plastic debris in the world's oceans and a corresponding increase in the number of species negatively affected by this debris. Here we investigate trends in the type, amount, and colour of ingested plastic over time, and determine whether ingested plastic contributes to reduced health of Wedge-tailed Shearwaters (Ardenna pacifica) on Lord Howe Island, Australia. The results show no clear influence of ingested plastic on body condition, while trends in the prevalence, number, and mass of plastic items ingested per bird during 2005 and 2013-2018 were more variable. There was some evidence adult birds are selecting plastic by colour. Future monitoring of this pan-tropical seabird would provide a unique opportunity to gather data from multiple sites, concurrently.</t>
  </si>
  <si>
    <t>[Lavers, Jennifer L.] Univ Tasmania, Inst Marine &amp; Antarctic Studies, 20 Castray Esplanade, Battery Point, Tas 7004, Australia; [Hutton, Ian] Lord Howe Isl Museum, POB 157, Lord Howe Isl, NSW 2898, Australia; [Bond, Alexander L.] Nat Hist Museum, Dept Life Sci, Bird Grp, Akeman St, Tring HP23 6AP, Herts, England</t>
  </si>
  <si>
    <t>University of Tasmania; Natural History Museum London</t>
  </si>
  <si>
    <t>Lavers, JL (corresponding author), Univ Tasmania, Inst Marine &amp; Antarctic Studies, 20 Castray Esplanade, Battery Point, Tas 7004, Australia.</t>
  </si>
  <si>
    <t>Jennifer.Lavers@utas.edu.au</t>
  </si>
  <si>
    <t>Lavers, Jennifer/IWM-5417-2023; Lavers, Jennifer/O-4831-2017; Bond, Alexander L/A-3786-2010</t>
  </si>
  <si>
    <t>Lavers, Jennifer/0000-0001-7596-6588;</t>
  </si>
  <si>
    <t>BirdLife Tasmania; Detached Foundation; Sydney SeaLife Foundation; Trading Consultants Ltd; W.V. Scott Charitable Trust [L0018313]</t>
  </si>
  <si>
    <t>BirdLife Tasmania; Detached Foundation; Sydney SeaLife Foundation; Trading Consultants Ltd; W.V. Scott Charitable Trust</t>
  </si>
  <si>
    <t>Special thanks to BirdLife Tasmania, Detached Foundation, Sydney SeaLife Foundation, Trading Consultants Ltd (V. Wellington), L. Brice, C. Noone, and the W.V. Scott Charitable Trust (L0018313) for providing funding for this project. Samples were collected under the approval of the University of Tasmania Animal Ethics Committee (permit no. A13836 and A15980). Assistance in the field was provided by numerous dedicated volunteers, particularly the Lord Howe Island Board and local community, Two Hands Project (S. Stuckenbrock &amp; P. Sharp), P. Clive, A. Fidler, P. Lewis, B. Looker, A. Lombal, T. Potts, P. Puskic, K. Richards, J. &amp; C. Shick, K. &amp; W. Savage, and C. &amp; C. Watts. Comments from two anonymous reviewers improved earlier drafts.</t>
  </si>
  <si>
    <t>10.1016/j.marpolbul.2018.06.023</t>
  </si>
  <si>
    <t>WOS:000441853600066</t>
  </si>
  <si>
    <t>Neill, K; Nelson, W; Hurd, C; Falshaw, R</t>
  </si>
  <si>
    <t>Neill, Kate; Nelson, Wendy; Hurd, Catriona; Falshaw, Ruth</t>
  </si>
  <si>
    <t>Growth and carrageenan composition of two populations of the New Zealand carrageenophyte Sarcothalia lanceata (Gigartinaceae, Rhodophyta)</t>
  </si>
  <si>
    <t>JOURNAL OF APPLIED PHYCOLOGY</t>
  </si>
  <si>
    <t>Carrageenan; New Zealand; Growth; Life history phase; Nutrients; Sarcothalia lanceata</t>
  </si>
  <si>
    <t>CHONDRUS-CRISPUS RHODOPHYTA; SEASONAL-VARIATION; LIFE-HISTORY; NITROGEN; CULTIVATION; SEAWEEDS; CULTURE; CHILE; COAST; FIELD</t>
  </si>
  <si>
    <t>Sarcothalia lanceata is a broad-bladed, New Zealand red alga. The tetrasporic life stage contains a lambda-carrageenan that has a strong potential for commercial utilisation. The male and female gametophytic life stages contain kappa-II carrageenan that also has commercial potential. However, fundamental information on the growth and variation in carrageenan content of this species in the wild is necessary to underpin possible aquaculture of this species. Therefore, growth in blade length and width was assessed for male and female gametophytes, and tetrasporophytes in two S. lanceata populations in New Zealand's South Island, and monthly seawater nutrient and tissue nutrients, and carrageenan constituent sugar levels were analysed. Blade length did not vary significantly over time or between life history phases; however, blade width varied significantly for both factors with most temporal variation occurring in male blades. Analysis of seawater and tissue nutrient levels suggested that these populations are nutrient limited year-round. Constituent sugars varied temporally and between life history phases in most cases. Relative 3,6-anhydrogalactitol peracetate (for the males and females) and galactitol peracetate levels (all life stages) were higher in winter than in summer, while glucitol peracetate and xylitol peracetate levels were generally lower in winter than summer. The distinctive morphologies of the male and female plants of this species mean there is potential to cultivate and then separately harvest male and female plants in addition to tetrasporophytic plants. Male blades contain more 3,6-anhydrogalactitol peracetate and galactitol peracetate than female blades, and their morphology may make them less prone to breakage in an aquaculture situation. Experimentation on spore release and growth and the potential effects of nutrient manipulation on early stages are suggested as the direction of future research.</t>
  </si>
  <si>
    <t>[Neill, Kate; Nelson, Wendy] Natl Inst Water &amp; Atmospher Res, Private Bag 14-901, Wellington, New Zealand; [Nelson, Wendy] Univ Auckland, Sch Biol Sci, Auckland, New Zealand; [Hurd, Catriona] Univ Tasmania, Inst Marine &amp; Antarctic Studies, 20 Castray Esplanade, Hobart, Tas 7001, Australia</t>
  </si>
  <si>
    <t>National Institute of Water &amp; Atmospheric Research (NIWA) - New Zealand; University of Auckland; University of Tasmania</t>
  </si>
  <si>
    <t>Neill, K (corresponding author), Natl Inst Water &amp; Atmospher Res, Private Bag 14-901, Wellington, New Zealand.</t>
  </si>
  <si>
    <t>Kate.Neill@niwa.co.nz</t>
  </si>
  <si>
    <t>Hurd, Catriona/J-2411-2013</t>
  </si>
  <si>
    <t>Hurd, Catriona/0000-0001-9965-4917; Neill, Kate/0000-0002-1639-2403; Falshaw, Ruth/0000-0001-7107-1912; nelson, wendy/0000-0003-0014-5560</t>
  </si>
  <si>
    <t>OU Postgraduate Scholarship; OU Research Grant; IRL; TP; National Institute of Water &amp; Atmospheric Research under Coasts and Oceans Programme 2 [COBR1701]</t>
  </si>
  <si>
    <t>OU Postgraduate Scholarship; OU Research Grant; IRL; TP; National Institute of Water &amp; Atmospheric Research under Coasts and Oceans Programme 2</t>
  </si>
  <si>
    <t>At the time this research was carried out KN and CH were affiliated with the University of Otago (OU), RF with Industrial Research Ltd (IRL) and WN with Te Papa Tongarewa Museum of New Zealand (TP). This work was funded by a OU Postgraduate Scholarship to KN, an OU Research Grant to CH, and grants from IRL and TP. Additional funds were received from the National Institute of Water &amp; Atmospheric Research under Coasts and Oceans Programme 2 (COBR1701 2016/17 and 2017/18). Thanks to the staff at IRL for their assistance with the carrageenan work and to all our fieldwork helpers. The authors are grateful to Judy Sutherland and the anonymous reviewers for their helpful comments on this manuscript.</t>
  </si>
  <si>
    <t>0921-8971</t>
  </si>
  <si>
    <t>1573-5176</t>
  </si>
  <si>
    <t>J APPL PHYCOL</t>
  </si>
  <si>
    <t>J. Appl. Phycol.</t>
  </si>
  <si>
    <t>10.1007/s10811-018-1416-3</t>
  </si>
  <si>
    <t>GP3VH</t>
  </si>
  <si>
    <t>WOS:000440782100029</t>
  </si>
  <si>
    <t>Convey, P; Coulson, SJ; Worland, MR; Sjöblom, A</t>
  </si>
  <si>
    <t>Convey, P.; Coulson, S. J.; Worland, M. R.; Sjoblom, A.</t>
  </si>
  <si>
    <t>The importance of understanding annual and shorter-term temperature patterns and variation in the surface levels of polar soils for terrestrial biota</t>
  </si>
  <si>
    <t>Terrestrial invertebrates; Plants; Microbiota; Arctic; Antarctic; Energy exchange</t>
  </si>
  <si>
    <t>FRESH-WATER ECOSYSTEMS; CLIMATE-CHANGE; LIFE-HISTORIES; SNOW DEPTH; SVALBARD; WINTER; PERMAFROST; COLD; ANTARCTICA; VEGETATION</t>
  </si>
  <si>
    <t>Ground temperatures in the top few centimetres of the soil profile are key in many biological processes yet remain very poorly documented, especially in the polar regions or over longer timescales. They can vary greatly seasonally and at various spatial scales across the often highly complex and heterogeneous polar landscapes. It is challenging and often impossible to extrapolate soil profile temperatures from meteorological air temperature records. Furthermore, despite the justifiably considerable profile given to contemporary large-scale climate change trends, with the exception of some sites on Greenland, few biological microclimate datasets exist that are of sufficient duration to allow robust linkage and comparison with these large-scale trends. However, it is also clear that the responses of the soil-associated biota of the polar regions to projected climate change cannot be adequately understood without improved knowledge of how landscape heterogeneity affects ground and sub-surface biological microclimates, and of descriptions of these microclimates and their patterns and trends at biologically relevant physical and temporal scales. To stimulate research and discussion in this field, we provide an overview of multi-annual temperature records from 20 High Arctic (Svalbard) and maritime Antarctic (Antarctic Peninsula and Scotia Arc) sites. We highlight important features in the datasets that are likely to have influence on biology in polar terrestrial ecosystems, including (a) summer ground and sub-surface temperatures vary much more than air temperatures; (b) winter ground temperatures are generally uncoupled from air temperatures; (c) the ground thawing period may be considerably shorter than that of positive air temperatures; (d) ground and air freeze-thaw patterns differ seasonally between Arctic and Antarctic; (e) rates of ground temperature change are generally low; (f) accumulated thermal sum in the ground usually greatly exceeds air cumulative degree days. The primary purpose of this article is to highlight the utility and biological relevance of such data, and to this end the full datasets are provided here to enable further analyses by the research community, and incorporation in future wider comparative studies.</t>
  </si>
  <si>
    <t>[Convey, P.; Worland, M. R.] NERC, British Antarctic Survey, Madingley Rd, Cambridge CB3 OET, England; [Coulson, S. J.] Univ Ctr Svalbard, Dept Arctic Biol, Post Box 156, Longyearbyen 9171, Svalbard; [Coulson, S. J.] Swedish Univ Agr Sci, Swedish Species Informat Ctr, ArtDatabanken, Box 7007, S-75007 Uppsala, Sweden; [Sjoblom, A.] Uppsala Univ, Dept Earth Sci, Villavagen 16, S-75236 Uppsala, Sweden</t>
  </si>
  <si>
    <t>UK Research &amp; Innovation (UKRI); Natural Environment Research Council (NERC); NERC British Antarctic Survey; Swedish University of Agricultural Sciences; Uppsala University</t>
  </si>
  <si>
    <t>Convey, P (corresponding author), NERC, British Antarctic Survey, Madingley Rd, Cambridge CB3 OET, England.</t>
  </si>
  <si>
    <t>pcon@bas.ac.uk</t>
  </si>
  <si>
    <t>Convey, Peter/AAV-5728-2020</t>
  </si>
  <si>
    <t>Convey, Peter/0000-0001-8497-9903; Sjoblom, Anna/0000-0001-8383-944X; Coulson, Stephen James/0000-0003-0935-959X</t>
  </si>
  <si>
    <t>AVIFauna project (Norwegian Research Council) [6172/S30]; NERC; NERC [bas0100036] Funding Source: UKRI</t>
  </si>
  <si>
    <t>AVIFauna project (Norwegian Research Council); NERC(UK Research &amp; Innovation (UKRI)Natural Environment Research Council (NERC)); NERC(UK Research &amp; Innovation (UKRI)Natural Environment Research Council (NERC))</t>
  </si>
  <si>
    <t>We thank students taking UNIS course AB:201 Arctic Terrestrial Biology and Erlend Lorentzen (Norwegian Polar Institute) for assistance in setting out and/or recovering loggers, and the Kinnvika International Polar Year project for access and logistics to Nordaustlandet. Image of Mars Oasis (Online Resource 2) kindly provided by Kevin Newsham (British Antarctic Survey). Paul Geissler, Alison Massey and Kevin Newsham are gratefully acknowledged for the long-term maintenance and management of the Antarctic stations described. Figure 1 was kindly drawn by Oliva Martin-Sanchez (Mapping and Geographic Information Centre, British Antarctic Survey). Project work in Barentsburg was funded as part of the AVIFauna project (Norwegian Research Council 6172/S30). PC and MRW were supported by core funding from NERC to the BAS 'Ecosystems' and 'Biodiversity, Evolution and Adaptation' Programmes. This paper also contributes to the SCAR AnT-ERA and AntEco programmes. We thank the Norwegian Meteorological Institute (www.eKlima.no) and the CLEOPATRA project for access to air temperature data, and two anonymous referees and the issue Editor for helpful comments.</t>
  </si>
  <si>
    <t>10.1007/s00300-018-2299-0</t>
  </si>
  <si>
    <t>GQ2UP</t>
  </si>
  <si>
    <t>WOS:000441514400007</t>
  </si>
  <si>
    <t>Li, Y; Zhang, LY; Song, PQ; Zhang, R; Wang, LM; Lin, LS</t>
  </si>
  <si>
    <t>Li Yuan; Zhang Liyan; Song Puqing; Zhang Ran; Wang Liangming; Lin Longshan</t>
  </si>
  <si>
    <t>Fish diversity and molecular taxonomy in the Prydz Bay during the 29th CHINARE</t>
  </si>
  <si>
    <t>DNA barcoding; Prydz Bay; Antarctic fish; phylogenetic relationship; barcoding gap</t>
  </si>
  <si>
    <t>NOTOTHENIOID FISHES; MCMURDO SOUND; DNA; SEA</t>
  </si>
  <si>
    <t>In 2013, the 29th Chinese National Antarctic Research Expedition (CHINARE) prospected the Prydz Bay on the Antarctic continental shelf, and the Chinese R/V Xuelong icebreaker sampled all of the examined locations. The nature of Antarctic fish diversity in the high-latitude Prydz Bay is virtually unknown, and the accuracy of relevant estimates has not been established. Thus, it is necessary to evaluate this diversity and propose protective measures. In total, ninety-nine specimens were collected from various locations. To overcome uncertainties associated with identifying species based on morphology, DNA barcoding (COI gene) was employed to reconstruct phylogenetic relationships with delimited references from NCBI. Twenty-two species representing six families were unambiguously identified from a neighbor-joining (NJ) tree and barcoding gaps. With the morphological identification, thirteen species were identified correctly, five species were identified correctly at the genus level, and four species were identified at the close sister species level. Notothenioid dominance was not evident in the Prydz Bay, in contrast to other published studies. The low species diversity and catch biomass during this CHINARE were severely constrained by limited fishing methods and localized sites, which led to biased underestimation. Our analyses indicate that DNA barcoding is an effective tool for the identification of fish species in the Prydz Bay. The identification and distribution of Antarctic fish should be an integral component of understanding Antarctic fish biodiversity and biogeography, and large-scale studies are necessary for the further taxonomic identification of Antarctic fish.</t>
  </si>
  <si>
    <t>[Li Yuan; Song Puqing; Zhang Ran; Wang Liangming; Lin Longshan] State Ocean Adm, Inst Oceanog 3, Xiamen 361005, Peoples R China; [Zhang Liyan] Fujian Inst Oceanog, Xiamen 361013, Peoples R China</t>
  </si>
  <si>
    <t>Third Institute of Oceanography, Ministry of Natural Resources</t>
  </si>
  <si>
    <t>Lin, LS (corresponding author), State Ocean Adm, Inst Oceanog 3, Xiamen 361005, Peoples R China.</t>
  </si>
  <si>
    <t>linlsh@tio.org.cn</t>
  </si>
  <si>
    <t>Zhang, Liqun/JDN-3523-2023; li, xiaomin/KCX-9845-2024; Zhang, Li/GWM-7501-2022</t>
  </si>
  <si>
    <t>Li, Yuan/0000-0001-9996-3197</t>
  </si>
  <si>
    <t>Chinese Polar Environment Comprehensive Investigation and Assessment Program [CHINARE 2012-2015-01-05, CHINARE 2012-2015-04-01, CHINARE 2017-04-03]</t>
  </si>
  <si>
    <t>Chinese Polar Environment Comprehensive Investigation and Assessment Program</t>
  </si>
  <si>
    <t>Foundation item: Chinese Polar Environment Comprehensive Investigation and Assessment Program under contract Nos CHINARE 2012-2015-01-05, CHINARE 2012-2015-04-01 and CHINARE 2017-04-03.</t>
  </si>
  <si>
    <t>10.1007/s13131-018-1228-y</t>
  </si>
  <si>
    <t>WOS:000441239100003</t>
  </si>
  <si>
    <t>Vishnivetskaya, TA; Buongiorno, J; Bird, J; Krivushin, K; Spirina, EV; Oshurkova, V; Shcherbakova, VA; Wilson, G; Lloyd, KG; Rivkina, EM</t>
  </si>
  <si>
    <t>Vishnivetskaya, Tatiana A.; Buongiorno, Joy; Bird, Jordan; Krivushin, Kirill; Spirina, Elena, V; Oshurkova, Victoria; Shcherbakova, Victoria A.; Wilson, Gary; Lloyd, Karen G.; Rivkina, Elizaveta M.</t>
  </si>
  <si>
    <t>Methanogens in the Antarctic Dry Valley permafrost</t>
  </si>
  <si>
    <t>Antarctic; permafrost; metagenome; methane; methanogen; Methanosarcina</t>
  </si>
  <si>
    <t>NEIGHBOR-JOINING METHOD; FACTOR 2 PROTEINS; SWISS-MODEL; METHANOCOCCOIDES-BURTONII; THERMOPHILIC METHANOGENS; SIBERIAN PERMAFROST; GENOME ANNOTATION; MARINE-SEDIMENTS; COLD ADAPTATION; LAKE FRYXELL</t>
  </si>
  <si>
    <t>Polar permafrost is at the forefront of climate change, yet only a few studies have enriched the native methane-producing microbes that might provide positive feedbacks to climate change. Samples Ant1 and Ant2, collected in Antarctic Miers Valley from permafrost sediments, with and without biogenic methane, respectively, were evaluated for methanogenic activity and presence of methanogens. After a one-year incubation of both samples under anaerobic conditions, methane production was observed only at room temperature in microcosm Anti with CO2/H-2(20/80) as carbon and energy sources and was monitored during the subsequent 10 years. The concentration of methane in the headspace of microcosm Ant1 changed from 0.8% to a maximum of 45%. Archaeal 16S rRNA genes from microcosm Ant1 were related to psychrotolerant Methanosarcina lacustris. Repeated efforts at achieving a pure culture of this organism were unsuccessful. Metagenomic reads obtained for the methane-producing microcosm Ant1 were assembled and resulted in a 99.84% complete genome affiliated with the genus Methanosarcina. The metagenome assembled genome contained cold-adapted enzymes and pathways suggesting that the novel uncultured Methanosarcina sp. Anti is adapted to sub-freezing conditions in permafrost. This is the first methanogen genome reported from the 15 000 years old permafrost of the Antarctic Dry Valleys.</t>
  </si>
  <si>
    <t>[Vishnivetskaya, Tatiana A.; Krivushin, Kirill; Spirina, Elena, V; Oshurkova, Victoria; Rivkina, Elizaveta M.] Russian Acad Sci, Inst Physicochem &amp; Biol Problems Soil Sci, Pushchino 142290, Russia; [Vishnivetskaya, Tatiana A.; Buongiorno, Joy; Bird, Jordan; Lloyd, Karen G.] Univ Tennessee, Knoxville, TN 37996 USA; [Oshurkova, Victoria; Shcherbakova, Victoria A.] Russian Acad Sci, Skryabin Inst Biochem &amp; Physiol Microorganisms, Pushchino 142290, Russia; [Wilson, Gary] Univ Otago, Dunedin 9054, New Zealand; [Vishnivetskaya, Tatiana A.] Univ Alberta, Livestock Gentec, Dept Agr Food &amp; Nutr Sci AFNS, Edmonton, AB, Canada</t>
  </si>
  <si>
    <t>Russian Academy of Sciences; Pushchino Scientific Center for Biological Research (PSCBI) of the Russian Academy of Sciences; Institute of Physicohemical &amp; Biological Problems of Soil Science; University of Tennessee System; University of Tennessee Knoxville; Russian Academy of Sciences; Pushchino Scientific Center for Biological Research (PSCBI) of the Russian Academy of Sciences; University of Otago; University of Alberta</t>
  </si>
  <si>
    <t>Vishnivetskaya, TA (corresponding author), Univ Tennessee, Ctr Environm Biotechnol, 676 Dabney Hall,1416 Circle Dr, Knoxville, TN 37996 USA.</t>
  </si>
  <si>
    <t>tvishniv@utk.edu</t>
  </si>
  <si>
    <t>Shcherbakova, Viktoria/G-9703-2014; Vishnivetskaya, Tatiana/A-4488-2008; Wilson, Gary S/B-3803-2010; Oshurkova, Viktoriia/AAO-7198-2021; Rivkina, Elizaveta/O-5344-2014</t>
  </si>
  <si>
    <t>Vishnivetskaya, Tatiana/0000-0002-0660-023X; Oshurkova, Viktoriia/0000-0003-1975-1616;</t>
  </si>
  <si>
    <t>Russian Government [AAAA-A18-118013190181-6]; Presidium of the Russian Academy of Sciences [22]; National Science Foundation [DEB-1442262]; Direct For Biological Sciences; Division Of Environmental Biology [1442262] Funding Source: National Science Foundation</t>
  </si>
  <si>
    <t>Russian Government; Presidium of the Russian Academy of Sciences(Russian Academy of Sciences); National Science Foundation(National Science Foundation (NSF)); Direct For Biological Sciences; Division Of Environmental Biology(National Science Foundation (NSF)NSF - Directorate for Biological Sciences (BIO))</t>
  </si>
  <si>
    <t>This work was supported by Russian Government Assignment # AAAA-A18-118013190181-6, the Presidium of the Russian Academy of Sciences Program 22, and the National Science Foundation DEB-1442262.</t>
  </si>
  <si>
    <t>fiy109</t>
  </si>
  <si>
    <t>10.1093/femsec/fiy109</t>
  </si>
  <si>
    <t>GP8XI</t>
  </si>
  <si>
    <t>WOS:000441198800019</t>
  </si>
  <si>
    <t>Humphries, F</t>
  </si>
  <si>
    <t>Humphries, Fran</t>
  </si>
  <si>
    <t>Sharing aquatic genetic resources across jurisdictions: playing 'chicken' in the sea</t>
  </si>
  <si>
    <t>INTERNATIONAL ENVIRONMENTAL AGREEMENTS-POLITICS LAW AND ECONOMICS</t>
  </si>
  <si>
    <t>Access and benefit sharing; Aquatic genetic resources; Tilapia aquaculture; Technology transfer; Convention on biological diversity; Law of the sea</t>
  </si>
  <si>
    <t>TILAPIA OREOCHROMIS-NILOTICUS; TRANSGENIC TILAPIA; AQUACULTURE; ACCESS</t>
  </si>
  <si>
    <t>International regimes regulating access and benefit sharing were originally designed to promote conservation and fairness objectives concerning the use of the world's biological resources for their genetic material value. These regimes determine from whom permission is required to take the resources and who obtains the benefits of their use. They have evolved separate frameworks in three distinct jurisdictional areas-within national jurisdiction, beyond national jurisdiction and in the Antarctic Treaty Area. This article argues that if these regimes continue to evolve separately, there is a strong temptation for countries to play 'chicken' with biological resource governance through forum shopping or opting out of agreements that do not suit their political ends. Using game theory and a transgenic tilapia fish example incorporating genetic material from the three jurisdictional areas, it illustrates the legal and ethical dilemmas that can arise from the territorial (jurisdictional) approach to access and benefit sharing-to the detriment of fairness and conservation in tilapia's countries of origin. Tilapias are known as the 'chicken of the sea' because they dominate global farmed production and developing countries depend on them as their primary source of protein, livelihoods and trade. This means there will be serious consequences if the regimes do not achieve their fairness and conservation objectives for sharing their genetic material. This article concludes that a purpose-driven cooperative governance approach can sidestep the game of chicken and promote fairer and more conservation focused outcomes than the current jurisdictional approach for the developing country providers of migratory aquatic resources.</t>
  </si>
  <si>
    <t>[Humphries, Fran] Griffith Univ, Griffith Law Sch, 170 Kessels Rd, Nathan, Qld 4111, Australia</t>
  </si>
  <si>
    <t>Griffith University</t>
  </si>
  <si>
    <t>Humphries, F (corresponding author), Griffith Univ, Griffith Law Sch, 170 Kessels Rd, Nathan, Qld 4111, Australia.</t>
  </si>
  <si>
    <t>frances.humphries@griffith.edu.au</t>
  </si>
  <si>
    <t>Humphries, Fran/0000-0002-5476-4669</t>
  </si>
  <si>
    <t>Griffith University(Griffith University - Gold Coast Campus)</t>
  </si>
  <si>
    <t>I thank Professor Charles Lawson for his comments on this article. I also thank Griffith University for funding the writing of this article.</t>
  </si>
  <si>
    <t>1567-9764</t>
  </si>
  <si>
    <t>1573-1553</t>
  </si>
  <si>
    <t>INT ENVIRON AGREEM-P</t>
  </si>
  <si>
    <t>Int. Environ. Agreem.-Polit. Law Econom.</t>
  </si>
  <si>
    <t>10.1007/s10784-018-9403-3</t>
  </si>
  <si>
    <t>Economics; Environmental Studies; Law; Political Science</t>
  </si>
  <si>
    <t>Business &amp; Economics; Environmental Sciences &amp; Ecology; Government &amp; Law</t>
  </si>
  <si>
    <t>GP7UC</t>
  </si>
  <si>
    <t>WOS:000441114200005</t>
  </si>
  <si>
    <t>Marshall, GJ; Kivinen, S; Jylhä, K; Vignols, RM; Rees, WG</t>
  </si>
  <si>
    <t>Marshall, Gareth J.; Kivinen, Sonja; Jylha, Kirsti; Vignols, Rebecca M.; Rees, W. G.</t>
  </si>
  <si>
    <t>The accuracy of climate variability and trends across Arctic Fennoscandia in four reanalyses</t>
  </si>
  <si>
    <t>Arctic; climate; climate change; Fennoscandia; precipitation; reanalysis; temperature</t>
  </si>
  <si>
    <t>ATMOSPHERIC CIRCULATION PATTERNS; SURFACE AIR-TEMPERATURE; MIDLATITUDE WEATHER; METEOROLOGICAL OBSERVATIONS; GROWING-SEASON; PRECIPITATION; FINLAND; LAPLAND; RUSSIA; SYSTEM</t>
  </si>
  <si>
    <t>Arctic Fennoscandia has undergone significant climate change over recent decades. Reanalysis data sets allow us to understand the atmospheric processes driving such changes. Here we evaluate four reanalyses against observations of near-surface air temperature (SAT) and precipitation (PPN) from 35 meteorological stations across the region for the 35-year period from 1979 to 2013. The reanalyses compared are the National Centers for Environmental Prediction (NCEP) Climate Forecast System Reanalysis (CFSR), the European Centre for Medium-Range Weather Forecast (ECMWF) Interim reanalysis (ERA-Interim), the Japanese Meteorological Agency (JMA) 55-year reanalysis (JRA-55) and National Aeronautics and Space Administration (NASA)'s Modern-Era Retrospective Analysis for Research and Applications (MERRA). All four reanalyses have an overall small cool bias across Arctic Fennoscandia, with MERRA typically similar to 1 degrees C cooler than the others. They generally reproduce the broad spatial patterns of mean SAT across the region, although less well in areas of complex orography. Observations reveal a statistically significant warming across Arctic Fennoscandia, with the majority of trends significant at p&lt;.01. Three reanalyses show similar regional warming but of smaller magnitude while CFSR is anomalous, even having a slight cooling in some areas. In general, the other reanalyses are sufficiently accurate to reproduce the varying significance of observed seasonal trends. There are much greater differences between the reanalyses when comparing PPN to observations. MERRA-Land, which merges a gauge-based data set, is clearly the best: CFSR is the least successful, with a significant wet bias. The smoothed reanalysis orography means that the high PPN associated with the western side of the Scandinavian Mountains extends too far inland. Spatial patterns of PPN trends across the region differ markedly between the reanalyses, which have varying success at matching observations and generally fail to replicate sites with significant observed trends. Therefore, using reanalyses to analyse PPN changes in Arctic Fennoscandia should be undertaken with caution.</t>
  </si>
  <si>
    <t>[Marshall, Gareth J.; Vignols, Rebecca M.] British Antarctic Survey, Nat Environm Res Council, Cambridge, England; [Kivinen, Sonja] Univ Eastern Finland, Dept Geog &amp; Hist Studies, Joensuu, Finland; [Jylha, Kirsti] Finnish Meteorol Inst, Weather &amp; Climate Change Impact Res, Helsinki, Finland; [Vignols, Rebecca M.; Rees, W. G.] Univ Cambridge, Scott Polar Res Inst, Cambridge, England</t>
  </si>
  <si>
    <t>UK Research &amp; Innovation (UKRI); Natural Environment Research Council (NERC); NERC British Antarctic Survey; University of Eastern Finland; Finnish Meteorological Institute; University of Cambridge</t>
  </si>
  <si>
    <t>Marshall, GJ (corresponding author), British Antarctic Survey, Nat Environm Res Council, Cambridge, England.</t>
  </si>
  <si>
    <t>GJMA@bas.ac.uk</t>
  </si>
  <si>
    <t>Rees, William Gareth/AAM-9701-2020</t>
  </si>
  <si>
    <t>Rees, William Gareth/0000-0001-6020-1232; Marshall, Gareth/0000-0001-8887-7314; Kivinen, Sonja/0000-0002-8637-2328</t>
  </si>
  <si>
    <t>Suomen Akatemia [278067]; Natural Environment Research Council [NE/L002507/1]; NERC [bas0100032] Funding Source: UKRI</t>
  </si>
  <si>
    <t>Suomen Akatemia(Research Council of Finland); Natural Environment Research Council(UK Research &amp; Innovation (UKRI)Natural Environment Research Council (NERC)); NERC(UK Research &amp; Innovation (UKRI)Natural Environment Research Council (NERC))</t>
  </si>
  <si>
    <t>Suomen Akatemia, Grant/Award Number: 278067 (PLUMES project); Natural Environment Research Council, Grant/Award Number: PhD studentship NE/L002507/1</t>
  </si>
  <si>
    <t>10.1002/joc.5541</t>
  </si>
  <si>
    <t>GP4IW</t>
  </si>
  <si>
    <t>WOS:000440826000009</t>
  </si>
  <si>
    <t>Suito, T; Nagao, K; Hatano, M; Kohashi, K; Tanabe, A; Ozaki, H; Kawamoto, J; Kurihara, T; Mioka, T; Tanaka, K; Hara, Y; Umeda, M</t>
  </si>
  <si>
    <t>Suito, Takuto; Nagao, Kohjiro; Hatano, Masataka; Kohashi, Kenichi; Tanabe, Aiko; Ozaki, Hiromichi; Kawamoto, Jun; Kurihara, Tatsuo; Mioka, Tetsuo; Tanaka, Kazuma; Hara, Yuji; Umeda, Masato</t>
  </si>
  <si>
    <t>Synthesis of omega-3 long-chain polyunsaturated fatty acid-rich triacylglycerols in an endemic goby, Gymnogobius isaza, from Lake Biwa, Japan</t>
  </si>
  <si>
    <t>JOURNAL OF BIOCHEMISTRY</t>
  </si>
  <si>
    <t>acyl-CoA:diacylglycerol acyltransferase; eicosapentaenoic acid; freshwater fish; phospholipid; triacylglycerol</t>
  </si>
  <si>
    <t>FRESH-WATER FISH; DOCOSAHEXAENOIC ACID; LIPID-COMPOSITION; ANTARCTIC FISH; MARINE; PHOSPHOLIPIDS; BIOCHEMISTRY; OMEGA-3-FATTY-ACIDS; ACYLTRANSFERASE; CHROMATOGRAPHY</t>
  </si>
  <si>
    <t>It is commonly observed that freshwater fish contain lower amounts of omega-3 long-chain polyunsaturated fatty acids (LC-PUFAs), such as eicosapentaenoic acid (EPA, C20:5n-3) and docosahexaenoic acid (DHA, C22:611-3), than marine fish species. In this study, we performed a detailed comparative analysis of phospholipids (PLs) and triacylglycerols (TAGs) from Gyninogohins isaza, a freshwater goby endemic to Lake Biwa inhabiting the lake bottom, and Gymnogobius urotaeniu, related goby that inhabits the shore of Lake Biwa. We found that tissues from G. isaza contain remarkably high amounts of omega-3 LC-PUFAs in both PLs and TAGs. Mass spectrometry analysis of TAGs demonstrated that the most abundant TAG molecular species were TAG (16:0/18:1/20:5), followed by TAG (14:0/18:1/20:5), in w hich EPA is incorporated into TAG at either the sn-1 or sn-3 positions. We isolated cDNAs encoding acyl-CoA: diacylglycerol acyltransferase designated as GiDGAT1 and GiDGAT2, from G. isaza. Expression studies using a neutral lipid-deficient Saceharomyces cerevisiae mutant strain demonstrated that both GiDGAT1 and GiDGAT2 possessed diacylglycerol acyltransferase activity, and preferential incorporation of LC-PUFA into TAG was observed in the presence of GiDGAT1. This study revealed the novel lipid profiles of G. isaza and identified the enzymes that were involved in the production of PUFA-containing TAGs.</t>
  </si>
  <si>
    <t>[Suito, Takuto; Nagao, Kohjiro; Hara, Yuji; Umeda, Masato] Kyoto Univ, Grad Sch Engn, Dept Synthet Chem &amp; Biol Chem, Nishikyo Ku, A4-212 Katsura, Kyoto 6158510, Japan; [Hatano, Masataka; Kohashi, Kenichi] Shiga Prefectural Fisheries Expt Stn, Hikone, Shiga 5220057, Japan; [Tanabe, Aiko; Ozaki, Hiromichi] Chem Evaluat &amp; Res Inst, Saitama 3450043, Japan; [Kawamoto, Jun; Kurihara, Tatsuo] Kyoto Univ, Inst Chem Res, Uji, Kyoto 6110011, Japan; [Mioka, Tetsuo; Tanaka, Kazuma] Hokkaido Univ, Grad Sch Life Sci, Inst Med Genet, Div Mol Interact, Sapporo, Hokkaido 0600815, Japan; [Hara, Yuji] Japan Agcy Med Res &amp; Dev, AMED PRIME, Tokyo 1000004, Japan</t>
  </si>
  <si>
    <t>Kyoto University; Kyoto University; Hokkaido University</t>
  </si>
  <si>
    <t>Umeda, M (corresponding author), Kyoto Univ, Grad Sch Engn, Dept Synthet Chem &amp; Biol Chem, Nishikyo Ku, A4-212 Katsura, Kyoto 6158510, Japan.</t>
  </si>
  <si>
    <t>umeda@sbchem.kyoto-u.ac.jp</t>
  </si>
  <si>
    <t>Kurihara, Tatsuo/ACX-5827-2022; Tanaka, Kazuma/A-4240-2012</t>
  </si>
  <si>
    <t>SUITO, Takuto/0000-0002-5546-8159; Kawamoto, Jun/0000-0002-5025-5613; Mioka, Tetsuo/0000-0002-4653-1718</t>
  </si>
  <si>
    <t>Japan Society for the Promotion of Science (JSPS) [15H05930, 15K21744, 15K14476, 17H03805, 15K07389]; Ministry of Education, Culture, Sports, Science and Technology (MEXT); Grants-in-Aid for Scientific Research [15H05930, 17H03805, 15K21744, 15K07389, 15K14476] Funding Source: KAKEN</t>
  </si>
  <si>
    <t>Japan Society for the Promotion of Science (JSPS)(Ministry of Education, Culture, Sports, Science and Technology, Japan (MEXT)Japan Society for the Promotion of Science); Ministry of Education, Culture, Sports, Science and Technology (MEXT)(Ministry of Education, Culture, Sports, Science and Technology, Japan (MEXT)); Grants-in-Aid for Scientific Research(Ministry of Education, Culture, Sports, Science and Technology, Japan (MEXT)Japan Society for the Promotion of ScienceGrants-in-Aid for Scientific Research (KAKENHI))</t>
  </si>
  <si>
    <t>This work was supported by Grant-in-aid for Scientific research 15H05930 (to M.U.), 15K21744 (to M.U.), 15K14476 (to M.U.), 17H03805 (to M.U.) and 15K07389 (to K.N.) from Japan Society for the Promotion of Science (JSPS) and Ministry of Education, Culture, Sports, Science and Technology (MEXT).</t>
  </si>
  <si>
    <t>0021-924X</t>
  </si>
  <si>
    <t>1756-2651</t>
  </si>
  <si>
    <t>J BIOCHEM</t>
  </si>
  <si>
    <t>J. Biochem.</t>
  </si>
  <si>
    <t>10.1093/jb/mvy035</t>
  </si>
  <si>
    <t>GP5YJ</t>
  </si>
  <si>
    <t>WOS:000440953200006</t>
  </si>
  <si>
    <t>Anderson, HJ; Moy, CM; Vandergoes, MJ; Nichols, JE; Riesselman, CR; Van Hale, R</t>
  </si>
  <si>
    <t>Anderson, Harris J.; Moy, Christopher M.; Vandergoes, Marcus J.; Nichols, Jonathan E.; Riesselman, Christina R.; Van Hale, Robert</t>
  </si>
  <si>
    <t>Southern Hemisphere westerly wind influence on southern New Zealand hydrology during the Lateglacial and Holocene</t>
  </si>
  <si>
    <t>JOURNAL OF QUATERNARY SCIENCE</t>
  </si>
  <si>
    <t>Holocene; hydroclimate; Lateglacial; New Zealand; Southern Hemisphere westerly winds</t>
  </si>
  <si>
    <t>N-ALKANE DISTRIBUTIONS; VEGETATION HISTORY; ATMOSPHERIC CO2; CLIMATE-CHANGE; ORGANIC-MATTER; CENTRAL OTAGO; LAKE; PRECIPITATION; ISLAND; RECONSTRUCTIONS</t>
  </si>
  <si>
    <t>The strength and latitudinal position of the southern westerly winds (SWW) influence mid-latitude precipitation and carbon cycling in the Southern Ocean. Despite the important role the westerlies play in the global climate system, past variability is poorly constrained. Here, we present a geochemical record of hydroclimate change from Lake Von in south-west New Zealand that spans the last 16 000 years. During the Lateglacial and early Holocene, we find stratigraphic and geochemical evidence for three distinct periods of low lake levels that occur during North Atlantic cold events when the Intertropical Convergence Zone is displaced southwards, Southern Ocean upwelling is enhanced and the Antarctic is rapidly warming. We attribute these hydrological changes to southward shifts of the SWW and associated storm tracks that cause arid conditions in southern New Zealand. During the early Holocene, we find evidence for an extended period of low lake levels that are caused by a combination of diminished wind strength, higher air temperatures and reduced seasonality. Finally, we interpret an overall intensification of the SWW after 5500 cal a bp. Our results support the idea that climate mechanisms originating in the high latitudes and the tropics work together to influence the SWW on millennial timescales. Copyright (C) 2018 John Wiley &amp; Sons, Ltd.</t>
  </si>
  <si>
    <t>[Anderson, Harris J.; Moy, Christopher M.; Riesselman, Christina R.] Univ Otago, Geol Dept, Dunedin, New Zealand; [Vandergoes, Marcus J.] GNS Sci, Lower Hutt, New Zealand; [Nichols, Jonathan E.] Columbia Univ, Lamont Doherty Earth Observ, Palisades, NY USA; [Riesselman, Christina R.] Univ Otago, Marine Sci Dept, Dunedin, New Zealand; [Van Hale, Robert] Univ Otago, Chem Dept, Dunedin, New Zealand</t>
  </si>
  <si>
    <t>University of Otago; GNS Science - New Zealand; Columbia University; University of Otago; University of Otago</t>
  </si>
  <si>
    <t>Moy, CM (corresponding author), Univ Otago, Geol Dept, Dunedin, New Zealand.</t>
  </si>
  <si>
    <t>chris.moy@otago.ac.nz</t>
  </si>
  <si>
    <t>Riesselman, Christina R/H-5037-2012; Nichols, Jonathan E/B-4410-2011</t>
  </si>
  <si>
    <t>Riesselman, Christina/0000-0002-2436-4306</t>
  </si>
  <si>
    <t>Royal Society of New Zealand Marsden Fast Start grant [UOO-1118]; GNS Science 'Global Change through Time' research program [540GCT4]; Lamont Climate Center</t>
  </si>
  <si>
    <t>Royal Society of New Zealand Marsden Fast Start grant(Royal Society of New ZealandMarsden Fund (NZ)); GNS Science 'Global Change through Time' research program; Lamont Climate Center</t>
  </si>
  <si>
    <t>We gratefully acknowledge financial support from a Royal Society of New Zealand Marsden Fast Start grant (No. UOO-1118) to C.M.M. M.J.V.'s contributions were funded through the GNS Science 'Global Change through Time' research program (540GCT4). J.E.N. acknowledges financial support from the Lamont Climate Center. We thank Peter Burrington, Genevieve Coffey, Greer Gilmer and Jessica Hinojosa for help in the field and Kate Cocks for providing access to Lake Von. We are grateful for the reviews provided by M. McGlone, C. Turney and an anonymous reviewer, which greatly improved this paper.</t>
  </si>
  <si>
    <t>0267-8179</t>
  </si>
  <si>
    <t>1099-1417</t>
  </si>
  <si>
    <t>J QUATERNARY SCI</t>
  </si>
  <si>
    <t>J. Quat. Sci.</t>
  </si>
  <si>
    <t>10.1002/jqs.3045</t>
  </si>
  <si>
    <t>GP5QB</t>
  </si>
  <si>
    <t>WOS:000440926900007</t>
  </si>
  <si>
    <t>Yan, JL; Chang, Q; Chen, SQ; Wang, ZJ; Lu, B; Liu, CL; Hu, JC</t>
  </si>
  <si>
    <t>Yan, Junli; Chang, Qing; Chen, Siqing; Wang, Zhenjie; Lu, Bin; Liu, Changlin; Hu, Jiangcheng</t>
  </si>
  <si>
    <t>Effect of Dietary Antarctic Krill Meal on Growth Performance, Muscle Proximate Composition, and Antioxidative Capacity of Juvenile Spotted Halibut, Verasper variegatus</t>
  </si>
  <si>
    <t>JOURNAL OF THE WORLD AQUACULTURE SOCIETY</t>
  </si>
  <si>
    <t>Antarctic krill meal; antioxidative capacity; growth performance; muscle proximate composition; Verasper variegatus</t>
  </si>
  <si>
    <t>TROUT ONCORHYNCHUS-MYKISS; EUPHAUSIA-SUPERBA MEAL; COD GADUS-MORHUA; FISH-MEAL; ATLANTIC SALMON; RAINBOW-TROUT; SUPEROXIDE DISMUTASE; CHEMICAL-COMPOSITION; TOTAL REPLACEMENT; BODY-COMPOSITION</t>
  </si>
  <si>
    <t>A 7-wk feeding trial was conducted to evaluate the effects of dietary Antarctic krill meal (AKM) on the growth performance, proximate composition of muscles, and antioxidative capacity of juvenile spotted halibut. Six diets were formulated to contain about 50% protein and 8% lipid. A control diet (R0) without AKM and the other five diets with 8.1, 16.2, 24.3, 32.4, and 42.5% AKM supplementation (R10-50) to replace 10, 20, 30, 40, and 50% fishmeal protein were used to feed to juvenile spotted halibut. The juveniles were fed with each diet using three replicates and cultivated in the indoor culture system. Results showed that the specific growth rate, feed intake, and protein efficiency ratio in the R30 and R40 groups were significantly higher than that in other groups (P&lt;0.05). Survival rate in the R50 group was significantly lower compared with the R0 group and the other four AKM supplementation groups. Moreover, the rising AKM levels in diets had significant effects on the chemical composition of juvenile spotted halibut, showing significantly decreased contents of crude protein, but increased lipid and ash contents (P&lt;0.05). The total superoxide dismutase activity and catalase activity of serum and liver in AKM groups were significantly higher than those in the control group (P&lt;0.05). In contrast, the contents of malondialdehyde in serum and liver were significantly lower compared with the control group. These findings illustrate that a moderate AKM level in diets can significantly improve the growth performance, feed utilization, and antioxidative capacity in juvenile spotted halibut, which support the finding that AKM may be used as a good protein source for halibut in the aquafeed industry.</t>
  </si>
  <si>
    <t>[Yan, Junli; Chang, Qing; Chen, Siqing; Wang, Zhenjie; Lu, Bin; Liu, Changlin; Hu, Jiangcheng] Chinese Acad Fishery Sci, Yellow Sea Fisheries Res Inst, Qingdao 266071, Peoples R China; [Yan, Junli; Wang, Zhenjie; Lu, Bin] Shanghai Ocean Univ, Coll Fisheries &amp; Life Sci, Shanghai 201306, Peoples R China</t>
  </si>
  <si>
    <t>Chinese Academy of Fishery Sciences; Yellow Sea Fisheries Research Institute, CAFS; Shanghai Ocean University</t>
  </si>
  <si>
    <t>Chang, Q (corresponding author), Chinese Acad Fishery Sci, Yellow Sea Fisheries Res Inst, Qingdao 266071, Peoples R China.</t>
  </si>
  <si>
    <t>changqing@ysfri.ac.cn</t>
  </si>
  <si>
    <t>wang, qi/IAN-4150-2023; Liu, Chang/HOC-0971-2023; Liu, Chang/ISV-3950-2023; CHENG, Siqing/M-1825-2019</t>
  </si>
  <si>
    <t>wang, qi/0000-0002-2794-6897; CHENG, Siqing/0000-0002-7860-503X</t>
  </si>
  <si>
    <t>Special Scientific Research Funds for Central Non-profit Institutes, Yellow Sea Fisheries Research Institute, Chinese Academy of Fishery Sciences [20603022016005]; Antarctic Marine biological resources and development and utilization Chinese Ministry of Agriculture Project</t>
  </si>
  <si>
    <t>Special Scientific Research Funds for Central Non-profit Institutes, Yellow Sea Fisheries Research Institute, Chinese Academy of Fishery Sciences; Antarctic Marine biological resources and development and utilization Chinese Ministry of Agriculture Project</t>
  </si>
  <si>
    <t>This study was supported by grants from Special Scientific Research Funds for Central Non-profit Institutes, Yellow Sea Fisheries Research Institute, Chinese Academy of Fishery Sciences (20603022016005) and Antarctic Marine biological resources and development and utilization Chinese Ministry of Agriculture Project. We thank Tianyuan Company of aquatic product of Shandong, China, for extending all the infrastructure facilities needed for the experiment. We thank the entire staff of this company for their help in this study. We also thank Jingping Yan, Jianlong Ge, Li Bian, Yunyun Lv, Meng Li, Dongzheng Cao, Zhiliang Zuo, Bin Lu, and Zhengjie Wang for their help during the feeding trial.</t>
  </si>
  <si>
    <t>0893-8849</t>
  </si>
  <si>
    <t>1749-7345</t>
  </si>
  <si>
    <t>J WORLD AQUACULT SOC</t>
  </si>
  <si>
    <t>J. World Aquacult. Soc.</t>
  </si>
  <si>
    <t>10.1111/jwas.12455</t>
  </si>
  <si>
    <t>GP4NN</t>
  </si>
  <si>
    <t>WOS:000440844200012</t>
  </si>
  <si>
    <t>Hinke, JT; Barbosa, A; Emmerson, LM; Hart, T; Juares, MA; Korczak-Abshire, M; Milinevsky, G; Santos, M; Trathan, PN; Watters, GM; Southwell, C</t>
  </si>
  <si>
    <t>Hinke, Jefferson T.; Barbosa, Andres; Emmerson, Louise M.; Hart, Tom; Juares, Mariana A.; Korczak-Abshire, Malgorzata; Milinevsky, Gennadi; Santos, Mercedes; Trathan, Philip N.; Watters, George M.; Southwell, Colin</t>
  </si>
  <si>
    <t>Estimating nest-level phenology and reproductive success of colonial seabirds using time-lapse cameras</t>
  </si>
  <si>
    <t>METHODS IN ECOLOGY AND EVOLUTION</t>
  </si>
  <si>
    <t>Antarctica; camera; monitoring; penguin; phenology; reproductive success; seabird; time-lapse</t>
  </si>
  <si>
    <t>ANTARCTIC PENINSULA; PYGOSCELIS PENGUINS; CLIMATE-CHANGE; PHOTOGRAPHY; ECOSYSTEM; FISHERIES; CCAMLR</t>
  </si>
  <si>
    <t>1. Collecting spatially extensive data on phenology and reproductive success is important for seabird conservation and management, but can be logistically challenging in remote regions. Autonomous time-lapse camera systems offer an opportunity to provide such coverage. 2. We describe a method to estimate nest-level breeding phenology and reproductive success of colonial pygoscelid penguins using photographs from time-lapse cameras. The method derives from stereotypical patterns of nest attendance, where predominantly two adults are present before and during laying, but switch to one adult during incubation. The switch approximates the date of clutch completion and is estimated by fitting a smoothing spline to daily nest attendance data, identifying candidate dates that switch from two adults to one and selecting the date when the first derivative of the spline is minimized. Clutch initiation and hatch dates are then estimated from the mean, species-specific interval between laying (pygoscelid penguins typically lay two eggs) and the duration of the incubation period. We estimated these intervals for each species from historical field data. The phenology is adjusted when photographs indicate egg or chick presence prior to their estimated lay or hatch dates. The number of chicks alive in each study nest on its creche date determines reproductive success estimates. The method was validated with concurrent direct observations for each species and then applied to a camera network in the Antarctic Peninsula region to demonstrate its utility. 3. Mean egg laying and incubation intervals from direct observations were similar within species across sites. In the validation study, the mean clutch initiation, hatch and creche dates were generally equivalent between photographs and direct observations. Estimates of reproductive success were identical. Applying the method to a time-lapse network suggested relatively high reproductive success for all species across the region and corroborated general understanding of latitudinal trends and species-level plasticity in phenology. 4. The method accurately estimated phenology and reproductive success relative to direct observations and appears well-suited to operationalize regional time-lapse camera networks. The estimation method should be applicable for other seabirds with stereotypical nest attendance patterns from which breeding phenology could be estimated.</t>
  </si>
  <si>
    <t>[Hinke, Jefferson T.; Watters, George M.] NOAA, Antarctic Ecosyst Res Div, Southwest Fisheries Sci Ctr, Natl Marine Fisheries Serv, La Jolla, CA 92037 USA; [Barbosa, Andres] CSIC, Nat Hist Museum, Dept Evolutionary Ecol, Madrid, Spain; [Emmerson, Louise M.; Southwell, Colin] Environm &amp; Energy Dept, Australian Antarctic Div, Kingston, Tas, Australia; [Hart, Tom] Univ Oxford, Dept Zool, South Parks Rd, Oxford, England; [Juares, Mariana A.; Santos, Mercedes] Inst Antartico Argentino, Dept Biol Predadores Tope, Buenos Aires, DF, Argentina; [Juares, Mariana A.] Consejo Nacl Invest Cient &amp; Tecn, Natl Sci &amp; Tech Res Council, Buenos Aires, DF, Argentina; [Korczak-Abshire, Malgorzata] Polish Acad Sci, Inst Biochem &amp; Biophys, Warsaw, Poland; [Milinevsky, Gennadi] Taras Shevchenko Natl Univ Kyiv, Space Phys Lab, Kiev, Ukraine; [Trathan, Philip N.] British Antarctic Survey, Cambridge, England</t>
  </si>
  <si>
    <t>National Oceanic Atmospheric Admin (NOAA) - USA; Consejo Superior de Investigaciones Cientificas (CSIC); Australian Antarctic Division; University of Oxford; Instituto Antartico Argentino; Consejo Nacional de Investigaciones Cientificas y Tecnicas (CONICET); Polish Academy of Sciences; Institute of Biochemistry &amp; Biophysics - Polish Academy of Sciences; Ministry of Education &amp; Science of Ukraine; Taras Shevchenko National University of Kyiv; UK Research &amp; Innovation (UKRI); Natural Environment Research Council (NERC); NERC British Antarctic Survey</t>
  </si>
  <si>
    <t>Hinke, JT (corresponding author), NOAA, Antarctic Ecosyst Res Div, Southwest Fisheries Sci Ctr, Natl Marine Fisheries Serv, La Jolla, CA 92037 USA.</t>
  </si>
  <si>
    <t>jefferson.hinke@noaa.gov</t>
  </si>
  <si>
    <t>Korczak-Abshire, Malgorzata/AAA-1563-2020; Watters, George/HPE-2184-2023; Barbosa, Andrés/C-3208-2008; , Jefferson/AAG-1702-2021; Milinevsky, Gennadi/AAD-8801-2019</t>
  </si>
  <si>
    <t>Korczak-Abshire, Malgorzata/0000-0001-7695-0588; Watters, George/0000-0002-6989-1273; Barbosa, Andrés/0000-0001-8434-3649; , Jefferson/0000-0002-3600-1414; Milinevsky, Gennadi/0000-0002-2342-2615; Juares, Mariana A./0000-0002-6763-0416</t>
  </si>
  <si>
    <t>Darwin+ Initiative; Commission for the Conservation of Antarctic Marine Living Resources; NERC [bas0100035] Funding Source: UKRI</t>
  </si>
  <si>
    <t>Darwin+ Initiative; Commission for the Conservation of Antarctic Marine Living Resources; NERC(UK Research &amp; Innovation (UKRI)Natural Environment Research Council (NERC))</t>
  </si>
  <si>
    <t>Darwin+ Initiative; Commission for the Conservation of Antarctic Marine Living Resources, Grant/Award Number: CEMP Fund</t>
  </si>
  <si>
    <t>2041-210X</t>
  </si>
  <si>
    <t>2041-2096</t>
  </si>
  <si>
    <t>METHODS ECOL EVOL</t>
  </si>
  <si>
    <t>Methods Ecol. Evol.</t>
  </si>
  <si>
    <t>10.1111/2041-210X.13015</t>
  </si>
  <si>
    <t>GP4OI</t>
  </si>
  <si>
    <t>WOS:000440846600007</t>
  </si>
  <si>
    <t>Paolo, FS; Padman, L; Fricker, HA; Adusumilli, S; Howard, S; Siegfried, MR</t>
  </si>
  <si>
    <t>Paolo, F. S.; Padman, L.; Fricker, H. A.; Adusumilli, S.; Howard, S.; Siegfried, M. R.</t>
  </si>
  <si>
    <t>Response of Pacific-sector Antarctic ice shelves to the El Nino/Southern Oscillation (vol 11, pg 121, 2018)</t>
  </si>
  <si>
    <t>Paolo, Fernando/AGQ-9348-2022; Padman, Laurence/AAH-3808-2021</t>
  </si>
  <si>
    <t>Paolo, Fernando/0000-0002-6439-2918; Padman, Laurence/0000-0003-2010-642X</t>
  </si>
  <si>
    <t>10.1038/s41561-018-0185-6</t>
  </si>
  <si>
    <t>GO7ZQ</t>
  </si>
  <si>
    <t>WOS:000440301400019</t>
  </si>
  <si>
    <t>Moles, J; Avila, C; Malaquias, MAE</t>
  </si>
  <si>
    <t>Moles, Juan; Avila, Conxita; Malaquias, Manuel A. E.</t>
  </si>
  <si>
    <t>Systematic revision of the Antarctic gastropod family Newnesiidae (Heterobranchia: Cephalaspidea) with the description of a new genus and a new abyssal species</t>
  </si>
  <si>
    <t>ZOOLOGICAL JOURNAL OF THE LINNEAN SOCIETY</t>
  </si>
  <si>
    <t>Adelie Land; biodiversity; deep sea; Drake Passage; Hocius gen. nov.; Newnesia; Southern Ocean; taxonomy; Weddell Sea</t>
  </si>
  <si>
    <t>MITOCHONDRIAL LINEAGES; PHYLOGENETIC ANALYSIS; DEEP-SEA; MOLLUSCA; OCEAN; OPISTHOBRANCHIA; NUDIBRANCHIA; DIET</t>
  </si>
  <si>
    <t>Antarctica has been hypothesized as a centre of origin of major heterobranch gastropod radiations, like Cephalaspidea and Nudipleura. Yet the study of Antarctic heterobranch diversity has been largely hampered by a lack of detailed morphological and anatomical studies, as well as comparative molecular phylogenetic approaches. Recently, the new cephalaspidean Newnesiidae was proposed to include two Antarctic endemic species. In this study, we review the diversity and relationships of the family using an expanded taxon sampling with broader geographical coverage, including the Atlantic and Pacific sides of Antarctica. An integrative taxonomic approach combining both morphological and molecular phylogenetics is used here. The diet of these molluscs is studied by gut content using scanning electron microscopy. A new species from abyssal depths is described, namely Newnesia abyssalis sp. nov., and the new genus Hocius gen. nov. is erected to reflect the phylogeny and the unique traits of the species Hocius joani comb. nov. The type species N antarctica is redescribed based on specimens from off Adelie Land close to the type locality (Ross Sea). The diet results were not entirely conclusive but suggest diatoms to be the predominant food source. This would support the hypothesis that herbivory is the plesiomorphic feeding condition in Cephalaspidea.</t>
  </si>
  <si>
    <t>[Moles, Juan; Avila, Conxita] Univ Barcelona, Dept Evolutionary Biol Ecol &amp; Environm Sci, Av Diagonal 643, E-08028 Barcelona, Spain; [Moles, Juan; Avila, Conxita] Univ Barcelona, Biodivers Res Inst IrBIO, Av Diagonal 643, E-08028 Barcelona, Spain; [Malaquias, Manuel A. E.] Univ Bergen, Univ Museum Bergen, Dept Nat Hist, Phylogenet Systemat &amp; Evolut Res Grp,Sect Taxon &amp;, PB7800, N-5020 Bergen, Norway; [Moles, Juan] Harvard Univ, Museum Comparat Zool, 26 Oxford St, Cambridge, MA 02138 USA; [Moles, Juan] Harvard Univ, Dept Organism &amp; Evolutionary Biol, 26 Oxford St, Cambridge, MA 02138 USA</t>
  </si>
  <si>
    <t>University of Barcelona; University of Barcelona; University of Bergen; Harvard University; Harvard University</t>
  </si>
  <si>
    <t>Moles, J (corresponding author), Univ Barcelona, Dept Evolutionary Biol Ecol &amp; Environm Sci, Av Diagonal 643, E-08028 Barcelona, Spain.;Moles, J (corresponding author), Univ Barcelona, Biodivers Res Inst IrBIO, Av Diagonal 643, E-08028 Barcelona, Spain.;Moles, J (corresponding author), Harvard Univ, Museum Comparat Zool, 26 Oxford St, Cambridge, MA 02138 USA.;Moles, J (corresponding author), Harvard Univ, Dept Organism &amp; Evolutionary Biol, 26 Oxford St, Cambridge, MA 02138 USA.</t>
  </si>
  <si>
    <t>moles.sanchez@gmail.com</t>
  </si>
  <si>
    <t>Malaquias, Manuel/N-2450-2019; Moles, Juan/H-4786-2018; Avila, Conxita/B-9466-2008</t>
  </si>
  <si>
    <t>Malaquias, Manuel/0000-0002-9668-945X; Moles, Juan/0000-0003-4511-4055; Avila, Conxita/0000-0002-5489-8376</t>
  </si>
  <si>
    <t>Spanish Government through the DISTANTCOM [CTM2013-42667/ANT]; Montcelimar Foundation; University of Barcelona</t>
  </si>
  <si>
    <t>Spanish Government through the DISTANTCOM; Montcelimar Foundation; University of Barcelona</t>
  </si>
  <si>
    <t>We would like to thank Dr A. Jamieson (University of Aberdeen), Dr J. Cristobo (Instituto Espanol de Oceanografia, Gijon), Dr J. Junoy (Universidad de Alcala), Dr P. Alvarez (Universidad Autonoma de Madrid), Dr C. Angulo-Preckler, Dr O. Sacristan, and C. Leiva (Universitat de Barcelona), as well as the Unidad de Tecnologia Marina (CSIC) and the crew of the R/V Hesperides for their help sampling during the PHAMADEEP project. We thank Dr W. Arntz and the crew of the RV Polarstern for permission to participate in the Antarctic cruise ANT XXI/2 (Alfred Wegener Institute, Bremerhaven), Dr P. Bouchet (Museum National d'Histoire Naturelle, Paris) for providing samples from the Ross Sea and Dr M. Schrodl (Zoological Museum of Munich) for providing samples from the Scotia Ridge. We are also indebted to Dr L. Lindblom and T. Oskars (University of Bergen) for their help with molecular laboratory work and to I. Heggstad (University of Bergen) for assistance with scanning electron microscopy. Funding was provided by the Spanish Government through the DISTANTCOM (CTM2013-42667/ANT) project. JM was supported by the Montcelimar Foundation and the University of Barcelona. This work is part of the AntEco (State of the Antarctic Ecosystem) Scientific Research Programme.</t>
  </si>
  <si>
    <t>0024-4082</t>
  </si>
  <si>
    <t>1096-3642</t>
  </si>
  <si>
    <t>ZOOL J LINN SOC-LOND</t>
  </si>
  <si>
    <t>Zool. J. Linn. Soc.</t>
  </si>
  <si>
    <t>10.1093/zoolinnean/zlx089</t>
  </si>
  <si>
    <t>GP6MK</t>
  </si>
  <si>
    <t>WOS:000440994600003</t>
  </si>
  <si>
    <t>Kraszewska, K; Jagoda, M; Rutkowska, M</t>
  </si>
  <si>
    <t>Kraszewska, Katarzyna; Jagoda, Marcin; Rutkowska, Miloslawa</t>
  </si>
  <si>
    <t>Tectonic plates parameters estimated in International Terrestrial Reference Frame ITRF2008 based on DORIS stations</t>
  </si>
  <si>
    <t>ACTA GEOPHYSICA</t>
  </si>
  <si>
    <t>ITRF; DORIS; Plate tectonics parameters</t>
  </si>
  <si>
    <t>SYSTEM</t>
  </si>
  <si>
    <t>This paper concerns an analysis of the accuracy of the estimated parameters Omega (phi, Lambda, omega) which define the tectonic plate motions. The study is based on the velocities of station positions in the IERS (International Earth Rotation and Reference Systems Service) which has published new realization of the International Terrestrial Reference System-ITRF2008 for Doppler Orbitography by Radiopositioning Integrated on Satellite DORIS technique. Eurasian, African, Australian, North American, Australian, Pacific, Antarctic and South American plates were used in the analysis. The influence of the number and localization of stations on the plate surface on the estimation accuracy of the tectonic plate motion parameters were discussed. The results were compared with the APKIM 2005 IGN model and our earlier estimation for the SLR technique. In general, a remarkable concurrent agreement between the present and the APKIM 2005 solutions was found.</t>
  </si>
  <si>
    <t>[Kraszewska, Katarzyna; Jagoda, Marcin; Rutkowska, Miloslawa] Tech Univ Koszalin, Sniadeckich 2, PL-75453 Koszalin, Poland</t>
  </si>
  <si>
    <t>Koszalin University of Technology</t>
  </si>
  <si>
    <t>Kraszewska, K (corresponding author), Tech Univ Koszalin, Sniadeckich 2, PL-75453 Koszalin, Poland.</t>
  </si>
  <si>
    <t>katarzyna.kraszewska@tu.koszalin.pl; marcin.jagoda@tu.koszalin.pl; miloslawa.rutkowska@tu.koszalin.pl</t>
  </si>
  <si>
    <t>Jagoda, Marcin/AFV-2251-2022</t>
  </si>
  <si>
    <t>Jagoda, Marcin/0000-0001-8073-6242</t>
  </si>
  <si>
    <t>SPRINGER INTERNATIONAL PUBLISHING AG</t>
  </si>
  <si>
    <t>CHAM</t>
  </si>
  <si>
    <t>GEWERBESTRASSE 11, CHAM, CH-6330, SWITZERLAND</t>
  </si>
  <si>
    <t>1895-7455</t>
  </si>
  <si>
    <t>ACTA GEOPHYS</t>
  </si>
  <si>
    <t>Acta Geophys.</t>
  </si>
  <si>
    <t>10.1007/s11600-018-0169-3</t>
  </si>
  <si>
    <t>GP2ZG</t>
  </si>
  <si>
    <t>WOS:000440706400006</t>
  </si>
  <si>
    <t>Müller, D</t>
  </si>
  <si>
    <t>Muller, Dorit</t>
  </si>
  <si>
    <t>The last white Spots. European Antarctic Travel around 1900</t>
  </si>
  <si>
    <t>HISTORISCHE ZEITSCHRIFT</t>
  </si>
  <si>
    <t>German</t>
  </si>
  <si>
    <t>WALTER DE GRUYTER GMBH</t>
  </si>
  <si>
    <t>GENTHINER STRASSE 13, D-10785 BERLIN, GERMANY</t>
  </si>
  <si>
    <t>0018-2613</t>
  </si>
  <si>
    <t>HIST Z</t>
  </si>
  <si>
    <t>Hist. Z.</t>
  </si>
  <si>
    <t>10.1515/hzhz-2018-1354</t>
  </si>
  <si>
    <t>Arts &amp; Humanities Citation Index (A&amp;HCI)</t>
  </si>
  <si>
    <t>GP1NB</t>
  </si>
  <si>
    <t>WOS:000440581700069</t>
  </si>
  <si>
    <t>Choudhary, S; Nayak, G; Tiwari, AK; Khare, N</t>
  </si>
  <si>
    <t>Choudhary, Shabnam; Nayak, Ganapati; Tiwari, Anoop Kumar; Khare, Neloy</t>
  </si>
  <si>
    <t>Sediment composition and its effect on the productivity in Larsemann Hills, East Antarctica</t>
  </si>
  <si>
    <t>ARABIAN JOURNAL OF GEOSCIENCES</t>
  </si>
  <si>
    <t>Core sediments; Metals; Source; Processes; Productivity; Larsemann Hill</t>
  </si>
  <si>
    <t>HOLOCENE CLIMATE VARIABILITY; TRACE-ELEMENT GEOCHEMISTRY; SCHIRMACHER OASIS; ORGANIC GEOCHEMISTRY; ENVIRONMENTAL-CHANGE; SURFACE SEDIMENTS; BEACH AREAS; FRESH-WATER; LONG LAKE; RECORD</t>
  </si>
  <si>
    <t>The sediment cores collected from lakes L-8, L-10, and L-12 of Larsemann Hills, East Antarctica, were investigated for sediment components (sand, silt, clay, total organic carbon, total nitrogen, total phosphorus, elemental TOC/TN ratio, and biogenic silica or biogenic opal), major elements (Al, Fe, Mn, Ti, Mg, Ca), and trace metals (Cr, Co, Zn, Cd, Pb, Ba, Cu, Ni) to understand the source, processes, and productivity in the lacustrine sediments. In lake L-10, average sand content was higher than in lakes L-8 and L-12 which indicated the high intensity of mechanical weathering, resulted in releasing coarse-grained material from the rocks in the catchment area. High Ti/Al molar ratios (2.00-3.32) in all the three cores resulted from shorter transportation distance from different parent sources. Higher clay content near the surface in all the three lakes indicated deposition of fine-grained particles supplied by ice-melt water owing to ice-free conditions in the area in recent years. Relatively, higher biogenic silica along with high total organic carbon associated with high clay in the upper section of lakes L-10 and L-12 and middle section of core L-8 indicated deposition of finer particles from suspension which facilitated high primary productivity due to exposure of the lakes to the ice-melt water influx. Further, Mg/Ca ratio in all the three lakes was high near the surface indicating enrichment of biogenic sedimentation. C/N ratio was found to be much less than 10, indicating the major source of organic matter is autochthonous and exclusively derived from algae (C/N &lt; 10) in all the cores. The metal concentration was found to be higher in core L-8 and was found to be associated with finer sediments, as compared to cores L-10 and L-12 where coarser sediments must have diluted the metal content. Ba was found to be of biogenic origin in cores L-8 and L-12 while in core L-10 it was of lithogenic origin. Cd, Zn, and Ni in all the three lakes were found to be mainly of biogenic origin, whereas all other metals studied were of lithogenic origin. Thus, the concentration of trace metals in Larsemann Hill lake sediments is entirely by natural processes regulated by lithology, catchment processes, and climatic conditions.</t>
  </si>
  <si>
    <t>[Choudhary, Shabnam; Nayak, Ganapati] Goa Univ, Dept Marine Sci, Taleigao 403206, Goa, India; [Tiwari, Anoop Kumar] NCAOR, Vasco Da Gama, Goa, India; [Khare, Neloy] Govt India, Minist Earth Sci, New Delhi, India</t>
  </si>
  <si>
    <t>Goa University; Ministry of Earth Sciences (MoES) - India; National Centre for Polar and Ocean Research (NCPOR); Ministry of Earth Sciences (MoES) - India</t>
  </si>
  <si>
    <t>Nayak, G (corresponding author), Goa Univ, Dept Marine Sci, Taleigao 403206, Goa, India.</t>
  </si>
  <si>
    <t>gnnayak57@gmail.com</t>
  </si>
  <si>
    <t>TIWARI, ANOOP KUMAR/AAY-8915-2021</t>
  </si>
  <si>
    <t>KHARE, NELOY/0000-0001-8348-5696</t>
  </si>
  <si>
    <t>Inter-University Accelerator Centre (IUAC) [UFR/55317]; University Grant Commission (UGC)</t>
  </si>
  <si>
    <t>Inter-University Accelerator Centre (IUAC); University Grant Commission (UGC)(University Grants Commission, India)</t>
  </si>
  <si>
    <t>The authors thank the Director, National Centre for Antarctic and Ocean Research (NCAOR), Goa, for providing the opportunity to participate to one of the authors (SC) in 34th Indian Scientific Expedition to Antarctica (ISEA) and Ministry of Earth Sciences (MOES) for providing the logistic support required for the collection of samples. One of the authors (GNN) thanks Inter-University Accelerator Centre (IUAC) for sanctioning a research project UFR/55317 under which this research was carried out. The author (SC) thank the University Grant Commission (UGC) for providing fellowship. The authors thank Dr. Waliur Rehman, Scientist-D ESSO-NCAOR, Goa, and Ms. Lathika N. Padmanabhan, Scientist, ESSO-NCAOR, Goa, for their assistance in the metal analysis. Dr. Manish Tiwari, Scientist ESSO-NCAOR, Goa, and Mr. Siddesh Nagoji, ESSO-NCAOR, Goa, are thanked for kindly extending the instrumental facility of the elemental analyzer.</t>
  </si>
  <si>
    <t>1866-7511</t>
  </si>
  <si>
    <t>1866-7538</t>
  </si>
  <si>
    <t>ARAB J GEOSCI</t>
  </si>
  <si>
    <t>Arab. J. Geosci.</t>
  </si>
  <si>
    <t>10.1007/s12517-018-3755-4</t>
  </si>
  <si>
    <t>GP0IG</t>
  </si>
  <si>
    <t>WOS:000440492100006</t>
  </si>
  <si>
    <t>Lane, SJ; Tobalske, BW; Moran, AL; Shishido, CM; Woods, HA</t>
  </si>
  <si>
    <t>Lane, Steven J.; Tobalske, Bret W.; Moran, Amy L.; Shishido, Caitlin M.; Woods, H. Arthur</t>
  </si>
  <si>
    <t>Costs of epibionts on Antarctic sea spiders</t>
  </si>
  <si>
    <t>LITTORINA-LITTOREA; CALLINECTES-SAPIDUS; MARINE EPIBIOSIS; BLUE-CRAB; BARNACLE; DRAG; FLOW; DISLODGMENT; OCTOLASMIS; GROWTH</t>
  </si>
  <si>
    <t>Nearly all marine animals harbor epibionts, organisms living on their body surfaces. The positive or negative effects that epibionts have on their hosts depend on many factors, including the size and location of the epibionts on their host. The present study examined the effects of epibionts on gas exchange, locomotion, and drag of three species of Antarctic sea spiders (pycnogonids). Sea spiders are a cosmopolitan group of marine arthropods that lack gills and rely instead on the diffusion of oxygen directly across their cuticle. Encrusting epibionts, such as bryozoans and algae, had only minor effects on surface oxygen levels, but they reduced the functional diffusion coefficient of oxygen through the cuticle by about half. Although these effects are significant locally and may be severe in individuals with high coverage by epibionts, the total coverage on most individuals was not high enough to significantly alter oxygen fluxes into the animal. Macroepibionts, such as barnacles, had no effect on host walking speeds, but they increased by two-to-threefold the drag experienced by host sea spiders. This likely increases the energetic costs of walking and increases the chance of being dislodged by high currents. These results suggest that epibionts can impose diverse costs to their hosts but only in subtle ways that depend on total epibiont coverage of the host and rates of water flow.</t>
  </si>
  <si>
    <t>[Lane, Steven J.; Tobalske, Bret W.; Woods, H. Arthur] Univ Montana, Div Biol Sci, Missoula, MT 59812 USA; [Moran, Amy L.; Shishido, Caitlin M.] Univ Hawaii Manoa, Dept Biol, Honolulu, HI 96822 USA</t>
  </si>
  <si>
    <t>University of Montana System; University of Montana; University of Hawaii System; University of Hawaii Manoa</t>
  </si>
  <si>
    <t>Lane, SJ (corresponding author), Univ Montana, Div Biol Sci, Missoula, MT 59812 USA.</t>
  </si>
  <si>
    <t>steven.lane@umontana.edu</t>
  </si>
  <si>
    <t>Moran, Amy L/F-7072-2011</t>
  </si>
  <si>
    <t>Moran, Amy/0000-0002-0604-5096</t>
  </si>
  <si>
    <t>National Science Foundation [PLR-1341485, PLR-1341476]; Office of Polar Programs (OPP); Directorate For Geosciences [1341485] Funding Source: National Science Foundation</t>
  </si>
  <si>
    <t>National Science Foundation(National Science Foundation (NSF)); Office of Polar Programs (OPP); Directorate For Geosciences(National Science Foundation (NSF)NSF - Directorate for Geosciences (GEO))</t>
  </si>
  <si>
    <t>We thank the staff at McMurdo Station for technical support. Special thanks to Rob Robbins, Steve Rupp, and Timothy Dwyer for SCUBA support. In addition, we thank two anonymous reviewers for providing helpful comments on earlier drafts of the manuscript. Funding was provided by the National Science Foundation Grant PLR-1341485 to HAW and BWT and PLR-1341476 to ALM.</t>
  </si>
  <si>
    <t>10.1007/s00227-018-3389-9</t>
  </si>
  <si>
    <t>GP0AT</t>
  </si>
  <si>
    <t>WOS:000440470300001</t>
  </si>
  <si>
    <t>Eckermann, SD; Ma, J; Hoppel, KW; Kuhl, DD; Allen, DR; Doyle, JA; Viner, KC; Ruston, BC; Baker, NL; Swadley, SD; Whitcomb, TR; Reynolds, CA; Xu, L; Kaifler, N; Kaifler, B; Reid, IM; Murphy, DJ; Love, PT</t>
  </si>
  <si>
    <t>Eckermann, Stephen D.; Ma, Jun; Hoppel, Karl W.; Kuhl, David D.; Allen, Douglas R.; Doyle, James A.; Viner, Kevin C.; Ruston, Benjamin C.; Baker, Nancy L.; Swadley, Steven D.; Whitcomb, Timothy R.; Reynolds, Carolyn A.; Xu, Liang; Kaifler, N.; Kaifler, B.; Reid, Iain M.; Murphy, Damian J.; Love, Peter T.</t>
  </si>
  <si>
    <t>High-Altitude (0-100 km) Global Atmospheric Reanalysis System: Description and Application to the 2014 Austral Winter of the Deep Propagating Gravity Wave Experiment (DEEPWAVE)</t>
  </si>
  <si>
    <t>Rossby waves; Middle atmosphere; Tides; Data assimilation; Ensembles; Reanalysis data</t>
  </si>
  <si>
    <t>VARIATIONAL DATA ASSIMILATION; NORMAL-MODE INITIALIZATION; NEW-ZEALAND; 4D-VAR ASSIMILATION; SOLAR OCCULTATION; AUCKLAND ISLANDS; MACQUARIE ISLAND; WEAK CONSTRAINT; DIGITAL-FILTER; METEOR RADAR</t>
  </si>
  <si>
    <t>A data assimilation system (DAS) is described for global atmospheric reanalysis from 0- to 100-km altitude. We apply it to the 2014 austral winter of the Deep Propagating Gravity Wave Experiment (DEEPWAVE), an international field campaign focused on gravity wave dynamics from 0 to 100 km, where an absence of reanalysis above 60 km inhibits research. Four experiments were performed from April to September 2014 and assessed for reanalysis skill above 50 km. A four-dimensional variational (4DVAR) run specified initial background error covariances statically. A hybrid-4DVAR (HYBRID) run formed background error covariances from an 80-member forecast ensemble blended with a static estimate. Each configuration was run at low and high horizontal resolution. In addition to operational observations below 50 km, each experiment assimilated 10(5) observations of the mesosphere and lower thermosphere (MLT) every 6 h. While all MLT reanalyses show skill relative to independent wind and temperature measurements, HYBRID outperforms 4DVAR. MLT fields at 1-h resolution (6-h analysis and 1-5-h forecasts) outperform 6-h analysis alone due to a migrating semidiurnal (SW2) tide that dominates MLT dynamics and is temporally aliased in 6-h time series. MLT reanalyses reproduce observed SW2 winds and temperatures, including phase structures and 10-15-day amplitude vacillations. The 0-100-km reanalyses reveal quasi-stationary planetary waves splitting the stratopause jet in July over New Zealand, decaying from 50 to 80 km then reintensifying above 80 km, most likely via MLT forcing due to zonal asymmetries in stratospheric gravity wave filtering.</t>
  </si>
  <si>
    <t>[Eckermann, Stephen D.] Div Space Sci, S Naval Res Lab, Washington, DC USA; [Ma, Jun] Inc, Computat Phys, Springfield, VA USA; [Hoppel, Karl W.; Kuhl, David D.; Allen, Douglas R.] Remote Sensing Div, S Naval Res Lab, Washington, DC USA; [Doyle, James A.; Viner, Kevin C.; Ruston, Benjamin C.; Baker, Nancy L.; Swadley, Steven D.; Whitcomb, Timothy R.; Reynolds, Carolyn A.; Xu, Liang] Marine Meteorol Div, S Naval Res Lab, Monterey, CA USA; [Kaifler, N.; Kaifler, B.] Inst Atmospher Phys, German Aerosp Ctr, Oberpfaffenhofen, Germany; [Reid, Iain M.] ATRAD Pty Ltd, Thebarton, South Australia, Australia; [Reid, Iain M.] Univ Adelaide, Adelaide, SA, Australia; [Murphy, Damian J.; Love, Peter T.] Australian Antarct Div, Dept, Environm &amp; Energy, Kingston, Australia; [Eckermann, Stephen D.] US Naval Res Lab, Div Space Sci, Washington, DC 20375 USA; [Ma, Jun] Computat Phys Inc, Springfield, VA USA; [Hoppel, Karl W.; Kuhl, David D.; Allen, Douglas R.] US Naval Res Lab, Remote Sensing Div, Washington, DC USA; [Doyle, James A.; Viner, Kevin C.; Ruston, Benjamin C.; Baker, Nancy L.; Swadley, Steven D.; Whitcomb, Timothy R.; Reynolds, Carolyn A.; Xu, Liang] US Naval Res Lab, Marine Meteorol Div, Monterey, CA USA; [Kaifler, N.; Kaifler, B.] German Aerosp Ctr, Inst Atmospher Phys, Oberpfaffenhofen, Germany; [Reid, Iain M.] ATRAD Pty Ltd, Thebarton, SA, Australia; [Reid, Iain M.] Univ Adelaide, Adelaide, SA, Australia; [Murphy, Damian J.; Love, Peter T.] Australian Antarctic Div, Dept Environm &amp; Energy, Kingston, Tas, Australia</t>
  </si>
  <si>
    <t>Helmholtz Association; German Aerospace Centre (DLR); ATRAD Pty Ltd.; University of Adelaide; Australian Antarctic Division; United States Department of Defense; United States Navy; Naval Research Laboratory; Computational Physics Inc; United States Department of Defense; United States Navy; Naval Research Laboratory; Helmholtz Association; German Aerospace Centre (DLR); ATRAD Pty Ltd.; University of Adelaide; Australian Antarctic Division</t>
  </si>
  <si>
    <t>Eckermann, SD (corresponding author), US Naval Res Lab, Div Space Sci, Washington, DC 20375 USA.</t>
  </si>
  <si>
    <t>stephen.eckermann@nrl.navy.mil</t>
  </si>
  <si>
    <t>Reid, Iain/B-5681-2012; Allen, Douglas Ray/GWZ-8901-2022; Kaifler, Natalie/JOK-0324-2023; Kaifler, Bernd/AAK-7237-2021; Whitcomb, Tim/AGR-6264-2022; Love, Peter/O-6421-2017</t>
  </si>
  <si>
    <t>Reid, Iain/0000-0003-2340-9047; Kaifler, Natalie/0000-0002-3118-6480; Kaifler, Bernd/0000-0002-5891-242X; Whitcomb, Tim/0000-0002-8549-6214; Love, Peter/0000-0001-7840-0467; Kuhl, David/0000-0002-4842-0077; Allen, Douglas/0000-0003-2747-9712; Eckermann, Stephen/0000-0002-8534-1909</t>
  </si>
  <si>
    <t>Chief of Naval Research [6.1, 6.2]; Australian Antarctic Science Project [4025]; National Science Foundation via DEEPWAVE Data Archive Center</t>
  </si>
  <si>
    <t>Chief of Naval Research; Australian Antarctic Science Project; National Science Foundation via DEEPWAVE Data Archive Center</t>
  </si>
  <si>
    <t>NRL authors acknowledge support of the Chief of Naval Research via the base 6.1, 6.2, and platform support programs. Generation of NAVGEM reanalyses was made possible by the DoD High-Performance Computer Modernization Program via grants of computer time at the Navy DoD Supercomputing Resource Center. Collection of the Kingston meteor wind data was supported by ATRAD Pty. Ltd. and through Australian Antarctic Science Project 4025. Lidar temperatures, meteor winds, and AVAPS data were made available by NCAR/EOL under the sponsorship of the National Science Foundation via the DEEPWAVE Data Archive Center (https://www.eol.ucar.edu/field_projects/deepwave/). We thank Chris Kruse and two anonymous reviewers for helpful comments on earlier drafts.</t>
  </si>
  <si>
    <t>10.1175/MWR-D-17-0386.1</t>
  </si>
  <si>
    <t>GP0ZW</t>
  </si>
  <si>
    <t>WOS:000440543200001</t>
  </si>
  <si>
    <t>Cofaigh, CO; Hogan, KA; Jennings, AE; Callard, SL; Dowdeswell, JA; Noormets, R; Evans, J</t>
  </si>
  <si>
    <t>Cofaigh, Colm O.; Hogan, Kelly A.; Jennings, Anne E.; Callard, S. Louise; Dowdeswell, Julian A.; Noormets, Riko; Evans, Jeffrey</t>
  </si>
  <si>
    <t>The role of meltwater in high-latitude trough-mouth fan development: The Disko Trough-Mouth Fan, West Greenland</t>
  </si>
  <si>
    <t>Trough-mouth fans; Ice streams; Meltwater; Glacigenic debris-flows; West Greenland</t>
  </si>
  <si>
    <t>GLACIGENIC DEBRIS-FLOWS; CONTINENTAL-SLOPE SEDIMENTATION; NORTH-ATLANTIC MARGINS; SHEET OUTLET GLACIERS; ANTARCTIC ICE-SHEET; PINE ISLAND BAY; BARENTS-SEA; EAST GREENLAND; GLACIMARINE SEDIMENTATION; BAFFIN-BAY</t>
  </si>
  <si>
    <t>The Disko Trough-Mouth Fan (TMF) is a major submarine sediment fan located along the central west Greenland continental margin offshore of Disko Trough. The location of the TMF at the mouth of a prominent cross-shelf trough indicates that it is a product of repeated glacigenic sediment delivery from former fast-flowing outlets of the Greenland Ice Sheet, including an ancestral Jakobshavn Isbrae, which expanded to the shelf edge during successive glacial cycles. This study focuses on the uppermost part of the fan stratigraphy and analyses multibeam swath bathymetry and sub-bottom profiler records, supplemented by a series of vibrocores up to 6 m in length. The swath bathymetry data show that the surface of the fan is prominently gullied and channelled with channels extending downslope from a series of shelf-edge incising gullies. Sub-bottom profiles from across- and down-fan show that the fan sediments are often acoustically stratified. Glacigenic-debris flows (GDFs) were recovered in sediment cores from the uppermost slope but they are absent in cores from elsewhere on the fan. Instead, glacimarine lithofacies in the Disko TMF are dominated by turbidites, hemipelagic sediments and IRD. The gullied and channelled surface of the fan implies erosion at the base of dense, sediment-laden, turbidity currents related to the delivery of meltwater and sediment from an ice sheet grounded at the shelf edge. Such meltwater-related fans have been documented previously on mid-latitude, glacier-influenced margins, but they have rarely been described from high-latitude settings. Although GDFs are often regarded as the building blocks of TMFs, the morphology and sedimentary architecture of the uppermost, Late Quaternary part of the Disko TMF indicates that it represents a clear example of a fan in which sediment delivery is strongly influenced by meltwater. This implies that there is a spectrum of TMFs on glaciated continental margins that reflects the relative dominance of meltwater processes vs. GDFs. It highlights the variability in fan morphology and mechanisms of sediment delivery on high-latitude TMFs and shows that the classic Polar North Atlantic model of GDF dominated fans is but one of a number of styles for such large-scale, high-latitude glacimarine sedimentary depocentres.</t>
  </si>
  <si>
    <t>[Cofaigh, Colm O.; Callard, S. Louise] Univ Durham, Dept Geog, Durham DH1 3LE, England; [Hogan, Kelly A.] British Antarctic Survey, Madingley Rd, Cambridge CB3 0ET, England; [Jennings, Anne E.] Univ Colorado, INSTAAR, Boulder, CO 80309 USA; [Jennings, Anne E.] Univ Colorado, Dept Geol Sci, Boulder, CO 80309 USA; [Dowdeswell, Julian A.] Univ Cambridge, Scott Polar Res Inst, Cambridge CB2 1ER, England; [Noormets, Riko] Univ Ctr Svalbard UNIS, POB 156, N-9171 Longyearbyen, Norway; [Evans, Jeffrey] Univ Loughborough, Dept Geog, Loughborough, Leics, England</t>
  </si>
  <si>
    <t>Durham University; UK Research &amp; Innovation (UKRI); Natural Environment Research Council (NERC); NERC British Antarctic Survey; University of Colorado System; University of Colorado Boulder; University of Colorado System; University of Colorado Boulder; University of Cambridge; University Centre Svalbard (UNIS); Loughborough University</t>
  </si>
  <si>
    <t>Cofaigh, CO (corresponding author), Univ Durham, Dept Geog, Durham DH1 3LE, England.</t>
  </si>
  <si>
    <t>colm.ocofaigh@durham.ac.uk</t>
  </si>
  <si>
    <t>Jennings, Anne/0000-0003-3176-2916; Dowdeswell, Julian/0000-0003-1369-9482; Noormets, Riko/0000-0002-2832-386X</t>
  </si>
  <si>
    <t>Natural Environment Research Council (NERC) [NE/D001951/1, NE/D001986/1]; United States National Science Foundation [NSF OPP-0713755, NSF P2C2-1203492]; British Antarctic Survey 'Polar Science for Planet Earth' programme - NERC; NERC [bas0100030, NE/D001986/1] Funding Source: UKRI</t>
  </si>
  <si>
    <t>Natural Environment Research Council (NERC)(UK Research &amp; Innovation (UKRI)Natural Environment Research Council (NERC)); United States National Science Foundation(National Science Foundation (NSF)); British Antarctic Survey 'Polar Science for Planet Earth' programme - NERC; NERC(UK Research &amp; Innovation (UKRI)Natural Environment Research Council (NERC))</t>
  </si>
  <si>
    <t>The data for this study were collected during cruise JR175 of the RSS James Clark Ross to West Greenland in 2009 which was funded by Natural Environment Research Council (NERC) grants NE/D001951/1 and NE/D001986/1. Funding for this research was also provided by the United States National Science Foundation awards: NSF OPP-0713755 and NSF P2C2-1203492 to the University of Colorado. KAH was supported by the British Antarctic Survey 'Polar Science for Planet Earth' programme, also funded by NERC. We thank the officers, crew, technical support staff and other scientists on board during JR175 for their assistance with data acquisition. The vibrocorer used on JCR was operated by staff from the British Geological Survey Marine Operations Group. Comments from Sandra Passchier, an anonymous reviewer and the Editor Bent Hjelstuen were very helpful in improving the manuscript.</t>
  </si>
  <si>
    <t>10.1016/j.margeo.2018.02.001</t>
  </si>
  <si>
    <t>WOS:000440121200003</t>
  </si>
  <si>
    <t>Zecchin, M; Rebesco, M</t>
  </si>
  <si>
    <t>Zecchin, Massimo; Rebesco, Michele</t>
  </si>
  <si>
    <t>Glacigenic and glacimarine sedimentation from shelf to trough settings in the NW Barents Sea</t>
  </si>
  <si>
    <t>Barents Sea; Spitsbergenbanken; Kveithola trough; Storfjorden trough; Glacimarine sedimentation; Sub-bottom profiles</t>
  </si>
  <si>
    <t>ICE-SHEET; MOUTH FANS; ANTARCTIC PENINSULA; SUBMARINE LANDFORMS; GLACIAL MAXIMUM; DYNAMICS; MARGIN; EVOLUTION; KVEITHOLA; COLLAPSE</t>
  </si>
  <si>
    <t>A PARASOUND (3.5 kHz) sub-bottom echosounder profile acquired across the Spitsbergenbanken between Kveithola and Storfjorden troughs, NW Barents Sea, documents the lateral variation of sedimentary processes from shelf areas to troughs during the post Last Glacial Maximum (LGM) sea-level rise. In particular, while the Spitsbergenbanken and the southern margin of the Storfjorden trough are characterized by superficial glacial till and eventual post-glacial deposits reworked to a certain extent by iceberg keels, the Kveithola trough documents extensive glacimarine and bottom current sedimentation above the glacial till, only partially affected by ice movement. This evidence suggests that both the Spitsbergenbanken and the southern margin of the Storfjorden trough were mostly sediment bypass areas during the post glacial phase, whereas the Kveithola trough was a comparatively protected area in which relatively weak currents allowed the accumulation of fine-grained deposits. These findings highlight a marked lateral sedimentary variability due to local physiography and hydrodynamics in areas that were covered by thick ice sheets during the LGM, which must be taken into account to produce models that describe post-glacial depositional processes.</t>
  </si>
  <si>
    <t>[Zecchin, Massimo; Rebesco, Michele] OGS Ist Nazl Oceanog &amp; Geofis Sperimentale, I-34010 Sgonico, TS, Italy</t>
  </si>
  <si>
    <t>Istituto Nazionale di Oceanografia e di Geofisica Sperimentale</t>
  </si>
  <si>
    <t>Zecchin, M (corresponding author), OGS Ist Nazl Oceanog &amp; Geofis Sperimentale, I-34010 Sgonico, TS, Italy.</t>
  </si>
  <si>
    <t>mzecchin@ogs.trieste.it</t>
  </si>
  <si>
    <t>Zecchin, Massimo/AAA-4931-2022; Rebesco, Michele/B-7462-2014; Zecchin, Massimo/J-3155-2015</t>
  </si>
  <si>
    <t>Zecchin, Massimo/0000-0003-4022-3682; Rebesco, Michele/0000-0002-9492-4081; Zecchin, Massimo/0000-0003-2912-8457</t>
  </si>
  <si>
    <t>Italian excellence project ARCA [2511_2013_973]; PNRA [PNRA2013/B2.08, PNRA16_00205]; MARUM DFG-Research Center/Cluster of Excellence The Ocean in the Earth System, MARUM project SD-2; Italian PNRA-CORIBAR-IT project [PdR 2013/C2.01]; Research Council of Norway [223259]; Spanish MEC project CORIBAR-ES [CTM2011-14807-E]; Dansk Center for Havforskning [2014_04]</t>
  </si>
  <si>
    <t>Italian excellence project ARCA; PNRA; MARUM DFG-Research Center/Cluster of Excellence The Ocean in the Earth System, MARUM project SD-2; Italian PNRA-CORIBAR-IT project; Research Council of Norway(Research Council of Norway); Spanish MEC project CORIBAR-ES; Dansk Center for Havforskning</t>
  </si>
  <si>
    <t>This work was supported by the Italian excellence project ARCA (grant n. 2511_2013_973) and the PNRA projects VALFLU (PNRA2013/B2.08) and ODYSSEA (PNRA16_00205). CORIBAR research cruise MSM30 was partially funded by the MARUM DFG-Research Center/Cluster of Excellence The Ocean in the Earth System as part of MARUM project SD-2, and co-funded by the Italian PNRA-CORIBAR-IT project (PdR 2013/C2.01), the Research Council of Norway through its Centres of Excellence funding scheme (project number 223259), the Spanish MEC project CORIBAR-ES (CTM2011-14807-E), and the Dansk Center for Havforskning, project number 2014_04. We thank two anonymous reviewers and the Guest Editor Michael Bentley for helpful and constructive comments during the review process. We thank also Renata Lucchi for discussions on sedimentary facies.</t>
  </si>
  <si>
    <t>10.1016/j.margeo.2018.02.014</t>
  </si>
  <si>
    <t>WOS:000440121200014</t>
  </si>
  <si>
    <t>Haaga, KA; Brendryen, J; Diego, D; Hannisdal, B</t>
  </si>
  <si>
    <t>Haaga, Kristian Agasoster; Brendryen, Jo; Diego, David; Hannisdal, Bjarte</t>
  </si>
  <si>
    <t>Forcing of late Pleistocene ice volume by spatially variable summer energy</t>
  </si>
  <si>
    <t>NORTH-ATLANTIC; GLACIAL VARIABILITY; OCEAN CIRCULATION; CLIMATE SYSTEM; ANTARCTIC ICE; INSOLATION; OBLIQUITY; SHEET; RESPONSES; MONSOON</t>
  </si>
  <si>
    <t>Changes in Earth's orbit set the pace of glacial cycles, but the role of spatial variability in the insolation forcing of global ice volume remains unknown. Here, we leverage the intrinsic dynamical information in empirical records to show that ice volume responded to summer energy at high northern latitudes, as predicted by Milankovitch theory. However, the external forcing of ice volume encompasses insolation signals with a wide range of orbital frequency content, and cannot be fully accounted for by a unique time series. Southern mid-latitude insolation forcing coincides with the position of the subtropical front and the westerlies, which have been implicated in Quaternary climate changes. Dominant forcing modes at northern mid-latitudes are anti-phased with the canonical Milankovitch forcing, consistent with ice volume sensitivity to latitudinal insolation gradients.</t>
  </si>
  <si>
    <t>[Haaga, Kristian Agasoster; Brendryen, Jo; Diego, David; Hannisdal, Bjarte] Univ Bergen, Dept Earth Sci, POB 7803, N-5020 Bergen, Norway; [Haaga, Kristian Agasoster; Diego, David; Hannisdal, Bjarte] KG Jebsen Ctr Deep Sea Res, POB 7803, N-5020 Bergen, Norway; [Haaga, Kristian Agasoster; Brendryen, Jo; Hannisdal, Bjarte] Bjerknes Ctr Climate Res, Allegaten 70, N-5007 Bergen, Norway</t>
  </si>
  <si>
    <t>University of Bergen; Bjerknes Centre for Climate Research</t>
  </si>
  <si>
    <t>Haaga, KA (corresponding author), Univ Bergen, Dept Earth Sci, POB 7803, N-5020 Bergen, Norway.;Haaga, KA (corresponding author), KG Jebsen Ctr Deep Sea Res, POB 7803, N-5020 Bergen, Norway.;Haaga, KA (corresponding author), Bjerknes Ctr Climate Res, Allegaten 70, N-5007 Bergen, Norway.</t>
  </si>
  <si>
    <t>kristian.haaga@uib.no</t>
  </si>
  <si>
    <t>Diego, David/N-2082-2014</t>
  </si>
  <si>
    <t>Agasoster Haaga, Kristian/0000-0001-6880-8725</t>
  </si>
  <si>
    <t>Bergen Research Foundation; Norwegian Research Council [231259, 221999]</t>
  </si>
  <si>
    <t>Bergen Research Foundation; Norwegian Research Council(Research Council of Norway)</t>
  </si>
  <si>
    <t>We thank Peter Huybers and George Sugihara for helpful comments on an earlier version of this manuscript. This work is funded by the Bergen Research Foundation (B.H.) and by the Norwegian Research Council grants nos. 231259 (B.H.) and 221999 (J.B.).</t>
  </si>
  <si>
    <t>10.1038/s41598-018-29916-3</t>
  </si>
  <si>
    <t>GO9FO</t>
  </si>
  <si>
    <t>WOS:000440411300005</t>
  </si>
  <si>
    <t>Angelliaume, S; Dubois-Fernandez, PC; Jones, CE; Holt, B; Minchew, B; Amri, E; Miegebielle, V</t>
  </si>
  <si>
    <t>Angelliaume, Sebastien; Dubois-Fernandez, Pascale C.; Jones, Cathleen E.; Holt, Benjamin; Minchew, Brent; Amri, Emna; Miegebielle, Veronique</t>
  </si>
  <si>
    <t>SAR Imagery for Detecting Sea Surface Slicks: Performance Assessment of Polarization-Dependent Parameters</t>
  </si>
  <si>
    <t>IEEE TRANSACTIONS ON GEOSCIENCE AND REMOTE SENSING</t>
  </si>
  <si>
    <t>Bragg; detection; instrument noise; marine pollution; noise; noise equivalent sigma zero (NESZ); noise floor; ocean; oil; polarimetric discrimination; polarization; probability of detection (Pd); probability of false alarm (Pfa); radar; ranking; receiver operating characteristic (ROC) curves; synthetic aperture radar (SAR); sea; slick; spill</t>
  </si>
  <si>
    <t>OIL-SPILL DETECTION; SYNTHETIC-APERTURE RADAR; POLARIMETRIC SAR; CRUDE OILS; C-BAND; WATER; SCATTERING; SATELLITE; MULTIFREQUENCY; BACKSCATTER</t>
  </si>
  <si>
    <t>Remote sensing technology is an essential link in the global monitoring of the ocean surface, and radars are efficient sensors for detecting marine pollution. When used operationally by authorities, a tradeoff must usually be made between the covered area and the quantity of information collected by the radar. To identify the most appropriate imaging mode, a methodology based on receiver operating characteristic curve analysis has been applied to an original data set collected by two airborne systems operating at L-hand, both characterized by a very low instrument noise floor. The data set was acquired during controlled releases of mineral and vegetable oil at sea. Various polarization-dependent quantities are investigated, and their ability to detect slick-covered areas is assessed. A relative ordering of the main polarimetric parameters is reported in this paper. When the sensor has a sufficiently low noise floor, HV is recommended because it provides the strongest slick- sea contrast. Otherwise, VV is found to be the most relevant parameter for detecting slicks on the ocean surface. Among all the investigated quad-polarimetric settings, no significant added value compared to single-polarized data was found. More specifically, it is demonstrated, by increasing the instrument noise level, that the studied polarimetric quantities which combine the four polarimetric channels have performances of detection mainly driven by the instrument noise floor, namely, the noise equivalent sigma zero. This result, obtained by progressively adding noise to the raw synthetic aperture radar (SAR) data, indicates that the polarimetric discrimination between clean sea and polluted area results mainly from the differentiated behavior between single-bounce scattering and noise. It is thus demonstrated, using SAR data collected with a low instrument noise floor, that there is no deviation from Bragg scattering for radar scattering from ocean surface covered by mineral and vegetable oil.</t>
  </si>
  <si>
    <t>[Angelliaume, Sebastien; Dubois-Fernandez, Pascale C.; Amri, Emna] Off Natl Etud &amp; Rech Aerosp, DEMR, F-13661 Salon De Provence, France; [Jones, Cathleen E.; Holt, Benjamin] CALTECH, Jet Prop Lab, Pasadena, CA 91109 USA; [Minchew, Brent] British Antarctic Survey, Cambridge CB3 0ET, England; [Miegebielle, Veronique] Total, Remote Sensing Dept, F-64018 Pau, France</t>
  </si>
  <si>
    <t>National Aeronautics &amp; Space Administration (NASA); NASA Jet Propulsion Laboratory (JPL); California Institute of Technology; UK Research &amp; Innovation (UKRI); Natural Environment Research Council (NERC); NERC British Antarctic Survey; Total SA</t>
  </si>
  <si>
    <t>Angelliaume, S (corresponding author), Off Natl Etud &amp; Rech Aerosp, DEMR, F-13661 Salon De Provence, France.</t>
  </si>
  <si>
    <t>sebastien.angelliaume@onera.fr</t>
  </si>
  <si>
    <t>Jones, Cathleen/IXD-9075-2023; AMRI, Emna/AAS-8786-2021</t>
  </si>
  <si>
    <t>Angelliaume, Sebastien/0000-0001-9088-3545</t>
  </si>
  <si>
    <t>French National Research Agency (ANR) through the POLLUPROOF Research Program [ANR-13-ECOT-007]; Total (the French Petroleum Company); ONERA (the French Aerospace Lab); NERC [bas0100034] Funding Source: UKRI</t>
  </si>
  <si>
    <t>French National Research Agency (ANR) through the POLLUPROOF Research Program; Total (the French Petroleum Company); ONERA (the French Aerospace Lab); NERC(UK Research &amp; Innovation (UKRI)Natural Environment Research Council (NERC))</t>
  </si>
  <si>
    <t>This work was supported in part by the French National Research Agency (ANR) through the POLLUPROOF Research Program under Grant ANR-13-ECOT-007 and in part by the New Advanced Observation Method Integration Project, a common research program between Total (the French Petroleum Company) and ONERA (the French Aerospace Lab).</t>
  </si>
  <si>
    <t>0196-2892</t>
  </si>
  <si>
    <t>1558-0644</t>
  </si>
  <si>
    <t>IEEE T GEOSCI REMOTE</t>
  </si>
  <si>
    <t>IEEE Trans. Geosci. Remote Sensing</t>
  </si>
  <si>
    <t>10.1109/TGRS.2018.2803216</t>
  </si>
  <si>
    <t>GO4LJ</t>
  </si>
  <si>
    <t>WOS:000439980200001</t>
  </si>
  <si>
    <t>Pescheck, F; Bilger, W</t>
  </si>
  <si>
    <t>Pescheck, Frauke; Bilger, Wolfgang</t>
  </si>
  <si>
    <t>Compensation of lack of UV screening by cellular tolerance in green macroalgae (Ulvophyceae) from the upper eulittoral</t>
  </si>
  <si>
    <t>INDUCED DNA-DAMAGE; ULTRAVIOLET-RADIATION; PHOTOSYSTEM-II; SOUTHERN SPAIN; B RADIATION; SOLAR UV; ANTARCTIC MACROALGAE; MARINE MACROALGAE; DEPTH-ZONATION; REPAIR</t>
  </si>
  <si>
    <t>Living side by side in the upper eulittoral of the Baltic different species of green macroalgae can be assumed to require similar resistance against solar ultraviolet-B radiation (UVB, 280-315 nm). Avoidance of UVB absorption by UV-screening pigments acts as a fundamental UVB resistance mechanism in the majority of phototrophs, including green macroalgae from the order Cladophorales. Contrastingly, other orders of green macroalgae, like the Ulvales, Ulotrichales, or Bryopsidales, lack UV screening. Field grown thalli of coexisting species representative for all four orders were exposed to experimental UVB radiation and photosystem II (PSII) and DNA damage and its repair were assessed. UV-screening Cladophora sp. showed only half as much UVB-induced damage in comparison with the non-screening species Acrosiphonia sp., Bryopsis hypnoides, and Ulva intestinalis. However, intrinsic UVB sensitivity of PSII and DNA was very similar in all species. We hypothesized that the non-screening species would compensate the lack of protection by increased repair rates. UVA-driven CPD removal was more than twice as fast in non-UV screening as in screening species. Recovery of PSII was very efficient in Acrosiphonia sp. and U. intestinalis but not in B. hypnoides or Cladophora sp.. We conclude that DNA and PSII repair are important cellular tolerance mechanisms which compensate for the lack of UV-screening compounds in the green macroalgae Acrosiphonia sp. and U. intestinalis. Bryopsis hypnoides turned out to be more sensitive than the other species and may avoid UVB damage by growing in greater depth.</t>
  </si>
  <si>
    <t>[Pescheck, Frauke; Bilger, Wolfgang] Christian Albrechts Univ Kiel, Bot Inst, Olshausenstr 40, D-24098 Kiel, Germany</t>
  </si>
  <si>
    <t>University of Kiel</t>
  </si>
  <si>
    <t>Pescheck, F (corresponding author), Christian Albrechts Univ Kiel, Bot Inst, Olshausenstr 40, D-24098 Kiel, Germany.</t>
  </si>
  <si>
    <t>fpescheck@bot.uni-kiel.de</t>
  </si>
  <si>
    <t>Bilger, Wolfgang/AEX-0376-2022; Pescheck, Frauke/AAM-2617-2020</t>
  </si>
  <si>
    <t>Bilger, Wolfgang/0000-0001-7800-4210; Pescheck, Frauke/0000-0002-5642-158X</t>
  </si>
  <si>
    <t>10.1007/s00227-018-3393-0</t>
  </si>
  <si>
    <t>GO5TA</t>
  </si>
  <si>
    <t>WOS:000440088800001</t>
  </si>
  <si>
    <t>Barthélemy, A; Goosse, H; Fichefet, T; Lecomte, O</t>
  </si>
  <si>
    <t>Barthelemy, Antoine; Goosse, Hugues; Fichefet, Thierry; Lecomte, Olivier</t>
  </si>
  <si>
    <t>On the sensitivity of Antarctic sea ice model biases to atmospheric forcing uncertainties</t>
  </si>
  <si>
    <t>Sea ice; Antarctic; Model; Atmospheric forcing; Uncertainties</t>
  </si>
  <si>
    <t>REANALYSIS PRODUCTS; BOUNDARY-CONDITIONS; MASS-BALANCE; MIXED-LAYER; IMPACT; SIMULATIONS; CIRCULATION; HETEROGENEITY; VARIABILITY; RHEOLOGY</t>
  </si>
  <si>
    <t>Although atmospheric reanalyses are an extremely valuable tool to study the climate of polar regions, they suffer from large uncertainties in these data-poor areas. In this work, we examine how Antarctic sea ice biases in an ocean-sea ice model are related to these forcing uncertainties. Three experiments are conducted in which the NEMO-LIM model is driven by different atmospheric forcing sets. The minimum ice extent, the ice motion and the ice thickness are sensitive to the reanalysis chosen to drive the model, while the wintertime ice extent and inner pack concentrations are barely affected. The analysis of sea ice concentration budgets allows identifying the processes leading to differences between the experiments, and also indicates that large and similar errors compared to observations are present in all three cases. Our assessment of the influence of forcing inaccuracies on the simulated Antarctic sea ice allows disentangling two types of model biases: the ones that can be reduced thanks to better atmospheric forcings, and those that would require improvements of the physics of the ice or ocean model.</t>
  </si>
  <si>
    <t>[Barthelemy, Antoine; Goosse, Hugues; Fichefet, Thierry; Lecomte, Olivier] UCL, Georges Lemaitre Ctr Earth &amp; Climate Res TECLIM, ELI, Louvain La Neuve, Belgium</t>
  </si>
  <si>
    <t>Universite Catholique Louvain</t>
  </si>
  <si>
    <t>Barthélemy, A (corresponding author), UCL, Georges Lemaitre Ctr Earth &amp; Climate Res TECLIM, ELI, Louvain La Neuve, Belgium.</t>
  </si>
  <si>
    <t>antoine.barthelemy@uclouvain.be</t>
  </si>
  <si>
    <t>F.R.S.-FNRS research project Amelioration de la representation de la glace de mer antarctique dans les modeles climatiques grace a? une meilleure comprehension des processus gouvernant son etat moyen et sa variabilite [T.0007.14]; F.R.S.-FNRS [2.5020.11]</t>
  </si>
  <si>
    <t>F.R.S.-FNRS research project Amelioration de la representation de la glace de mer antarctique dans les modeles climatiques grace a? une meilleure comprehension des processus gouvernant son etat moyen et sa variabilite(Fonds de la Recherche Scientifique - FNRS); F.R.S.-FNRS(Fonds de la Recherche Scientifique - FNRS)</t>
  </si>
  <si>
    <t>We thank two anonymous reviewers for their valuable comments on the original manuscript. H. G. and O. L. are respectively Research Director and Postdoctoral Researcher with the Fonds de la Recherche Scientifique (F.R.S.-FNRS/Belgium). This work was supported by the F.R.S.-FNRS research project Amelioration de la representation de la glace de mer antarctique dans les modeles climatiques grace a? une meilleure comprehension des processus gouvernant son etat moyen et sa variabilite, under grant agreement T.0007.14. Computational resources have been provided by the supercomputing facilities of the Universite catholique de Louvain (CISM/UCL) and the Consortium des Equipements de Calcul Intensif en Federation Wallonie Bruxelles (CECI) funded by the F.R.S.-FNRS under convention 2.5020.11.</t>
  </si>
  <si>
    <t>10.1007/s00382-017-3972-7</t>
  </si>
  <si>
    <t>GN8RY</t>
  </si>
  <si>
    <t>WOS:000439440200018</t>
  </si>
  <si>
    <t>Velasco-Castrillón, A; Hawes, I; Stevens, MI</t>
  </si>
  <si>
    <t>Velasco-Castrillon, Alejandro; Hawes, Ian; Stevens, Mark, I</t>
  </si>
  <si>
    <t>100 years on: a re-evaluation of the first discovery of microfauna from Ross Island, Antarctica</t>
  </si>
  <si>
    <t>Cape Royds; COI; diversity; endemism; James Murray; lakes; nematodes; rotifers; tardigrades</t>
  </si>
  <si>
    <t>SPRINGTAIL GOMPHIOCEPHALUS-HODGSONI; VICTORIA LAND; BIODIVERSITY; BIOGEOGRAPHY; DIVERSITY; NEMATODES; ROTIFERS; VALLEY</t>
  </si>
  <si>
    <t>Over a century ago microfaunal diversity was first recorded by James Murray in lakes at Cape Royds, Ross Island, Antarctica. The report stands as the seminal study for today's biodiversity investigations, and as a baseline to evaluate changes in faunal communities and introductions. In the present study, Cape Royds lakes were revisited and the mitochondrial c oxidase subunit I (COI) gene and morphology were used to compare diversity of Rotifera, Tardigrada and Nematoda with the records Murray published in the early 1900s. Cyanobacterial mats and the water column were sampled for microfauna from the five largest lakes using methods described by Murray. Across all five lakes similar patterns were observed for species distribution of all three phyla reported by Murray over 100 years ago. Some changes in species assemblages were identified within and between lakes, but there were no new introductions of named species for the Cape Royds region. Some of the species included by Murray in his monograph have been recently redescribed as Antarctic endemics, but others still retain their original name from the Northern Hemisphere holotypes and are also in need of revision to adequately determine the true endemism for these faunal groups.</t>
  </si>
  <si>
    <t>[Velasco-Castrillon, Alejandro; Stevens, Mark, I] South Australian Museum, GPO Box 234, Adelaide, SA 5001, Australia; [Velasco-Castrillon, Alejandro; Stevens, Mark, I] Univ South Australia, Sch Pharm &amp; Med Sci, Adelaide, SA, Australia; [Hawes, Ian] Univ Waikato, Coastal Marine Field Stn, Tauranga, New Zealand</t>
  </si>
  <si>
    <t>South Australian Museum; University of South Australia; University of Waikato</t>
  </si>
  <si>
    <t>Velasco-Castrillón, A (corresponding author), South Australian Museum, GPO Box 234, Adelaide, SA 5001, Australia.;Velasco-Castrillón, A (corresponding author), Univ South Australia, Sch Pharm &amp; Med Sci, Adelaide, SA, Australia.</t>
  </si>
  <si>
    <t>a.velascocastrillon@gmail.com</t>
  </si>
  <si>
    <t>Hawes, Ian/0000-0003-2471-6903</t>
  </si>
  <si>
    <t>COMNAP</t>
  </si>
  <si>
    <t>The authors would like to express their immense gratitude to COMNAP for the post-doctoral fellowship (to AV-C) that enabled the fieldwork in Antarctica and lab work in Australia and NZ. We are grateful to Antarctic New Zealand, Scott Base staff and the team personnel from K020 (DryVER '15/'16) for their various contributions during our successful 2016 Antarctic field trip. We also would like to thank Georgia Wakerley for helping with lake sampling, and Maud Billaud for lab work and sample sorting. Finally, we are thankful to Professor David W. H. Walton, Diego Fontaneto and an anonymous reviewer for their comments and feedback. The authors declare that there are no conflicts of interest and that permission for all fieldwork sampling was obtained from the appropriate Antarctic authorities.</t>
  </si>
  <si>
    <t>10.1017/S095410201800007X</t>
  </si>
  <si>
    <t>GO1LK</t>
  </si>
  <si>
    <t>WOS:000439712900002</t>
  </si>
  <si>
    <t>Petry, MV; Valls, FCL; Petersen, ES; Finger, JVG; Krüger, L</t>
  </si>
  <si>
    <t>Petry, Maria, V; Valls, Fernanda C. L.; Petersen, Elisa S.; Finger, Julia V. G.; Kruger, Lucas</t>
  </si>
  <si>
    <t>Population trends of seabirds at Stinker Point, Elephant Island, Maritime Antarctica</t>
  </si>
  <si>
    <t>breeding site; colonies; Important Bird Area; mapping; population status; South Shetland Islands</t>
  </si>
  <si>
    <t>SOUTHERN GIANT PETRELS; ATLANTIC-OCEAN; CLIMATE-CHANGE; PENGUIN; FISHERIES; GIGANTEUS; PENINSULA</t>
  </si>
  <si>
    <t>Available information about seabird breeding population trends on Stinker Point (Elephant Island, Maritime Antarctic Peninsula) is outdated by decades. This study reports current numbers of breeding species, and evaluates population trends over 28 years. We counted breeding pairs of seabirds along all ice-free areas on Stinker Point during two distinct periods (summers of 1985/86-1991/92 and 2009/10-2013/14). Thirteen species currently breed in the area: four Sphenisciformes, four Procellariiformes, one Suliforme and four Charadriiformes. Chinstrap penguin Pygoscelis antarcticus has the highest number of breeding pairs (4971 +/- 590), followed by gentoo penguin Pygoscelis papua (1242 +/- 339). Comparisons between the two intervals showed declining trends for almost all breeding populations, although southern giant petrels Macronectes giganteus are experiencing a subtle population growth. Population decreases in locations with low human disturbance, such as Stinker Point, may indicate sensibility to climate and environmental change and need further investigation.</t>
  </si>
  <si>
    <t>[Petry, Maria, V; Valls, Fernanda C. L.; Petersen, Elisa S.; Finger, Julia V. G.; Kruger, Lucas] Univ Vale Rio dos Sinos UNISINOS, Programa Posgrad Biol, Lab Ornitol &amp; Anim Marinhos, Av Unisinos 950, BR-93022000 Sao Leopoldo, RS, Brazil; [Petry, Maria, V; Valls, Fernanda C. L.; Petersen, Elisa S.; Finger, Julia V. G.; Kruger, Lucas] Natl Inst Sci &amp; Technol Antarctic Environm Res IN, Brasilia, DF, Brazil</t>
  </si>
  <si>
    <t>Petry, MV (corresponding author), Univ Vale Rio dos Sinos UNISINOS, Programa Posgrad Biol, Lab Ornitol &amp; Anim Marinhos, Av Unisinos 950, BR-93022000 Sao Leopoldo, RS, Brazil.;Petry, MV (corresponding author), Natl Inst Sci &amp; Technol Antarctic Environm Res IN, Brasilia, DF, Brazil.</t>
  </si>
  <si>
    <t>vpetry@unisinos.br</t>
  </si>
  <si>
    <t>Grohmann Finger, Júlia Victória/AAP-4653-2020; Krüger, Lucas/O-8912-2015; Petry, Maria Virginia/AAG-5333-2021; petry, maria/K-8410-2013</t>
  </si>
  <si>
    <t>Grohmann Finger, Júlia Victória/0000-0002-0773-7502; Krüger, Lucas/0000-0003-4637-5302; petry, maria/0000-0002-7870-7394</t>
  </si>
  <si>
    <t>National Institute of Science and Technology of Antarctic Environmental Research (INCT-APA) - National Council for Research and Development (CNPq) [574018/2008-5]; Carlos Chagas Research Support Foundation of the State of Rio de Janeiro (FAPERJ) [E-16/170.023/2008]; Brazilian Ministry of Science, Technology, Innovation and Communications (MCTIC); Brazilian Ministry of Environment (MMA); Inter-Ministry Commission for Sea Resources (CIRM)</t>
  </si>
  <si>
    <t>National Institute of Science and Technology of Antarctic Environmental Research (INCT-APA) - National Council for Research and Development (CNPq); Carlos Chagas Research Support Foundation of the State of Rio de Janeiro (FAPERJ)(Fundacao Carlos Chagas Filho de Amparo a Pesquisa do Estado do Rio De Janeiro (FAPERJ)); Brazilian Ministry of Science, Technology, Innovation and Communications (MCTIC); Brazilian Ministry of Environment (MMA); Inter-Ministry Commission for Sea Resources (CIRM)</t>
  </si>
  <si>
    <t>This work would not have been possible without the monitoring effort of numerous colleagues from Laboratorio de Ornitologia e Animais Marinhos at the Universidade do Vale do Rio dos Sinos over the last 28 years. Surveys during 2009-2014 received financial support from the National Institute of Science and Technology of Antarctic Environmental Research (INCT-APA), funded by the National Council for Research and Development (CNPq process: no. 574018/2008-5) and Carlos Chagas Research Support Foundation of the State of Rio de Janeiro (FAPERJ no. E-16/170.023/2008). We also acknowledge the support of the Brazilian Ministries of Science, Technology, Innovation and Communications (MCTIC), and of Environment (MMA), and the Inter-Ministry Commission for Sea Resources (CIRM). Finally, we are very grateful to the anonymous reviewers, whose comments helped to improve the manuscript.</t>
  </si>
  <si>
    <t>10.1017/S0954102018000135</t>
  </si>
  <si>
    <t>WOS:000439712900003</t>
  </si>
  <si>
    <t>Brooks, ST; Jabour, J; Bergstrom, DM</t>
  </si>
  <si>
    <t>Brooks, Shaun T.; Jabour, Julia; Bergstrom, Dana M.</t>
  </si>
  <si>
    <t>What is 'footprint' in Antarctica: proposing a set of definitions</t>
  </si>
  <si>
    <t>contamination; disturbance; environmental impacts; tourism; wilderness</t>
  </si>
  <si>
    <t>MCMURDO STATION; ENVIRONMENT; ISLAND</t>
  </si>
  <si>
    <t>Footprint has become a common term in environmental research in Antarctica, yet after 25 years there is still no certainty about what it refers to. In relation to Antarctica, the closest definition has been 'the spatial extent and intensity of disturbance'. Yet there is still confusion around what a 'disturbance' footprint is actually measuring. This is evident within Committee for Environmental Protection documents, in which there have been over 80 mentions of footprint, with at least eight different meanings, since 1998. To improve clarity in its use by both scientists and policymakers, we first examine the development of the term footprint, how it has been applied, and its usefulness in applications such as interpreting 'minor or transitory' activities. We then identify and define a suite of footprint types (disturbance, building, contamination, non-native species, noise, visual, visitation, risk, carbon, ecological, and human), with the aim of developing a common understanding of what the term refers to. Our goal is to ensure the concept of footprint can be a useful environmental tool to facilitate progressing environmental protection.</t>
  </si>
  <si>
    <t>[Brooks, Shaun T.; Jabour, Julia] Univ Tasmania, Inst Marine &amp; Antarctic Studies, Hobart, Tas, Australia; [Bergstrom, Dana M.] Australian Antarctic Div, 203 Channel Highway, Kingston, Tas, Australia</t>
  </si>
  <si>
    <t>University of Tasmania; Australian Antarctic Division</t>
  </si>
  <si>
    <t>Brooks, ST (corresponding author), Univ Tasmania, Inst Marine &amp; Antarctic Studies, Hobart, Tas, Australia.</t>
  </si>
  <si>
    <t>stbrooks@utas.edu.au</t>
  </si>
  <si>
    <t>Jabour, Julia A/J-7882-2014; Bergstrom, Dana/AAC-2837-2022</t>
  </si>
  <si>
    <t>Bergstrom, Dana/0000-0001-8484-8954; Brooks, Shaun/0000-0002-0516-7841</t>
  </si>
  <si>
    <t>Australian Government Research Training Program Scholarship</t>
  </si>
  <si>
    <t>Australian Government Research Training Program Scholarship(Australian GovernmentDepartment of Industry, Innovation and Science)</t>
  </si>
  <si>
    <t>Tom Maggs provided support in original concept development. We dedicate this paper to his memory. S.T. Brooks is supported by an Australian Government Research Training Program Scholarship. Tim Spedding and Dan Wilkins provided assistance with hydrocarbon spill information for Casey Station. We also thank Phil Tracey, David Walton, Ricardo Roura, and two anonymous reviewers for their thought-provoking feedback and valuable suggestions.</t>
  </si>
  <si>
    <t>10.1017/S0954102018000172</t>
  </si>
  <si>
    <t>WOS:000439712900004</t>
  </si>
  <si>
    <t>Weimerskirch, H; Le Bouard, F; Ryan, PG; Bost, CA</t>
  </si>
  <si>
    <t>Weimerskirch, Henri; Le Bouard, Fabrice; Ryan, Peter G.; Bost, C. A.</t>
  </si>
  <si>
    <t>Massive decline of the world's largest king penguin colony at Ile aux Cochons, Crozet</t>
  </si>
  <si>
    <t>Aptenodytes patagonicus; satellite image; remote sensing</t>
  </si>
  <si>
    <t>ANTARCTIC MARION ISLAND; ARCHIPELAGO; TRENDS</t>
  </si>
  <si>
    <t>King penguins (Aptenodytes patagonicus Miller) are major consumers in the Southern Ocean. The colony at Ile aux Cochons, Iles Crozet, in the southern Indian Ocean was known in the 1980s as the largest king penguin colony and the second largest penguin colony in the world. However, there have not been any recent estimates of this colony. Aerial photographs taken from a helicopter, and satellite images were used to report on changes in the colony and population sizes over the past 50 years. The colony has declined by 88% over the past 35 years, from c. 500 000 pairs to 60 000 pairs. The possible causes of this decline were explored but no plausible explanation for such an unprecedented decrease in penguin populations was found. The study highlights the use of satellite imagery as a non-invasive technique for population monitoring, and stresses the need for further research on the causes of this alarming trend in this colony.</t>
  </si>
  <si>
    <t>[Weimerskirch, Henri; Le Bouard, Fabrice; Bost, C. A.] Univ la Rochelle, CNRS, Ctr Etud Biol Chize, F-79360 Villiers En Bois, France; [Le Bouard, Fabrice] TAAF, Reserve Natl Terres Australes Francaises, F-97420 St Pierre, La Reunion, France; [Ryan, Peter G.] Univ Cape Town, DST NRF Ctr Excellence, Fitz Patrick Inst African Ornithol, ZA-7701 Rondebosch, South Africa</t>
  </si>
  <si>
    <t>Centre National de la Recherche Scientifique (CNRS); La Rochelle Universite; University of Cape Town; National Research Foundation - South Africa</t>
  </si>
  <si>
    <t>Weimerskirch, H (corresponding author), Univ la Rochelle, CNRS, Ctr Etud Biol Chize, F-79360 Villiers En Bois, France.</t>
  </si>
  <si>
    <t>henri.weimerskirch@cebc.cnrs.fr</t>
  </si>
  <si>
    <t>Weimerskirch, Henri/F-5562-2013; Weimerskirch, Henri/K-7306-2019</t>
  </si>
  <si>
    <t>Weimerskirch, Henri/0000-0002-0457-586X</t>
  </si>
  <si>
    <t>French Polar Institute [IPEV 109]; Reserve Nationale des Terres Australes Francaises; ACE of the Swiss Polar Institute - ACE Foundation; Ferring Pharmaceuticals</t>
  </si>
  <si>
    <t>French Polar Institute; Reserve Nationale des Terres Australes Francaises; ACE of the Swiss Polar Institute - ACE Foundation; Ferring Pharmaceuticals(Ferring Pharmaceuticals)</t>
  </si>
  <si>
    <t>This study was funded by the French Polar Institute (Program IPEV 109), by Reserve Nationale des Terres Australes Francaises), and by ACE, a scientific expedition carried out under the auspices of the Swiss Polar Institute, supported by funding from the ACE Foundation and Ferring Pharmaceuticals. We thank the crews and especially the helicopter pilots for their help, Joris Laborie and Adrien Chaigne for help with QGIS and two anonymous referees for comments on the manuscript.</t>
  </si>
  <si>
    <t>10.1017/S0954102018000226</t>
  </si>
  <si>
    <t>WOS:000439712900005</t>
  </si>
  <si>
    <t>Dayton, PK; Hammerstrom, K</t>
  </si>
  <si>
    <t>Dayton, Paul K.; Hammerstrom, Kamille</t>
  </si>
  <si>
    <t>A hagfish at Salmon Bay, McMurdo Sound, Antarctica?</t>
  </si>
  <si>
    <t>[Dayton, Paul K.] Scripps Inst Oceanog, La Jolla, CA 92093 USA; [Hammerstrom, Kamille] Moss Landing Marine Labs, Moss Landing, CA 95039 USA</t>
  </si>
  <si>
    <t>University of California System; University of California San Diego; Scripps Institution of Oceanography; Moss Landing Marine Laboratories</t>
  </si>
  <si>
    <t>Hammerstrom, K (corresponding author), Moss Landing Marine Labs, Moss Landing, CA 95039 USA.</t>
  </si>
  <si>
    <t>khammerstrom@mlml.calstate.edu</t>
  </si>
  <si>
    <t>Hammerstrom, Kamille/0000-0002-1177-5552</t>
  </si>
  <si>
    <t>10.1017/S0954102018000202</t>
  </si>
  <si>
    <t>WOS:000439712900006</t>
  </si>
  <si>
    <t>Kim, YHG; Woo, J; Park, TYS; Kihm, JH; Lee, JI; Choe, MY</t>
  </si>
  <si>
    <t>Kim, Young-Hwan G.; Woo, Jusun; Park, Tae-Yoon S.; Kihm, Ji-Hoon; Lee, Jong Ik; Choe, Moon Young</t>
  </si>
  <si>
    <t>Sedimentary breccia and diamictite of the Cambrian Spurs Formation in northern Victoria Land, Antarctica: two kinds of debris flows in a submarine channel system</t>
  </si>
  <si>
    <t>cyclic deposit; facies analysis; gravity flow; Mariner Group; sedimentology</t>
  </si>
  <si>
    <t>DENSITY FLOWS; EVOLUTION; FACIES; BASIN; CHILE</t>
  </si>
  <si>
    <t>The submarine channel-fill system of the Cambrian Spurs Formation exhibits unique metre-scale cycles of breccia and diamictite. The studied sections, Eureka Spurs, are located at the Mariner Glacier in the central-eastern part of northern Victoria Land, Antarctica. A facies analysis of the channel-fill deposit has led to the recognition of four main lithofacies: breccia, diamictite, thin-bedded sandstone and mudstone. The channel-fill deposit consists of two architectural elements: hollow-fill (HF) and sheet-like (SL) elements. The SL has wide convex-up geometry and consists solely of a very thick bed of diamictite, and is interpreted as a submarine channel lobe. The HF has a concave-up erosional base and flat upper surface. The HF consists of nine cyclic alternations of underlying breccia (cohesionless debris flow) and overlying diamictite (cohesive debris flow). The deposition of breccia is interpreted to have been controlled by repeated allogenic processes such as earthquakes. In contrast, the abrupt vertical transition from breccia to diamictite in each cycle is interpreted to have resulted from an autogenic, slope instability-related process. The interaction of the allogenic and autogenic factors recorded in the metre-scale unique cyclic deposits provides new criteria to interpret cycles of submarine debris flow.</t>
  </si>
  <si>
    <t>[Kim, Young-Hwan G.; Woo, Jusun; Park, Tae-Yoon S.; Kihm, Ji-Hoon; Lee, Jong Ik] Univ Sci &amp; Technol, Polar Sci, 217 Gajeong Ro, Daejeon 34113, South Korea; [Kim, Young-Hwan G.; Woo, Jusun; Park, Tae-Yoon S.; Kihm, Ji-Hoon; Lee, Jong Ik; Choe, Moon Young] Korea Polar Res Inst, Div Polar Earth Syst Sci, 26 Songdomirae Ro, Incheon 21990, South Korea</t>
  </si>
  <si>
    <t>University of Science &amp; Technology (UST); Korea Polar Research Institute (KOPRI)</t>
  </si>
  <si>
    <t>Woo, J (corresponding author), Univ Sci &amp; Technol, Polar Sci, 217 Gajeong Ro, Daejeon 34113, South Korea.;Woo, J (corresponding author), Korea Polar Res Inst, Div Polar Earth Syst Sci, 26 Songdomirae Ro, Incheon 21990, South Korea.</t>
  </si>
  <si>
    <t>jusunwoo@kopri.re.kr</t>
  </si>
  <si>
    <t>Ministry of Oceans and Fisheries, Korea [PM17030]</t>
  </si>
  <si>
    <t>Ministry of Oceans and Fisheries, Korea</t>
  </si>
  <si>
    <t>This research is part of the project 'Crustal evolution of Victoria Land, Antarctica and formative process of planets (PM17030, KOPRI)', funded by the Ministry of Oceans and Fisheries, Korea. Constructive and critical comments from G. Cornamusini and two anonymous reviewers improved the article. We are grateful to Dr Changhwan Oh, Mr Insung Yoo, Mr Sangbum Park, Mr Myung Hwan Kim, Mr Kwanjae Kim, Mr Minho Lee, Mr Myeongho Seo and Mr Sangwoo Han for their support in the field and camp life in Antarctica.</t>
  </si>
  <si>
    <t>10.1017/S0954102018000123</t>
  </si>
  <si>
    <t>WOS:000439712900007</t>
  </si>
  <si>
    <t>Schneider, A; Panieri, G; Lepland, A; Consolaro, C; Crémière, A; Forwick, M; Johnson, JE; Plaza-Faverola, A; Sauer, S; Knies, J</t>
  </si>
  <si>
    <t>Schneider, A.; Panieri, G.; Lepland, A.; Consolaro, C.; Cremiere, A.; Forwick, M.; Johnson, J. E.; Plaza-Faverola, A.; Sauer, S.; Knies, J.</t>
  </si>
  <si>
    <t>Methane seepage at Vestnesa Ridge (NW Svalbard) since the Last Glacial Maximum</t>
  </si>
  <si>
    <t>Micropaleontology; Foraminifers; Stable isotopes; Methane seepage; Authigenic carbonate; Holocene; Pleistocene; Paleogeography; Deglaciation; Arctic Ocean</t>
  </si>
  <si>
    <t>CONTINENTAL-MARGIN SEDIMENTS; CARBONATE CRUST FORMATION; SEA-ICE SHEET; ARCTIC-OCEAN; FRAM STRAIT; AUTHIGENIC CARBONATES; BENTHIC FORAMINIFERA; DEEP-SEA; NORTH-ATLANTIC; ANAEROBIC OXIDATION</t>
  </si>
  <si>
    <t>Multiple proxies in the geological record offshore NW Svalbard track shallow subseafloor diagenesis and seafloor methane seepage during the Last Glacial Maximum (LGM) extent and the disintegration of the Svalbard Barents Sea Ice Sheet (SBIS). Vestnesa Ridge, located at 79 degrees N and in 1200 m water depth, is one of the northernmost known active methane seep sites and is characterised by a subseafloor fluid flow system, numerous seafloor pockmarks and gas flares in the water column. In this study, we develop a Late Pleistocene and Holocene stratigraphic framework, use stable oxygen and carbon isotope signatures, (delta O-18, delta C-13) of benthic and planktic foraminifera, the mineralogical and carbon isotope composition of methane-derived authigenic carbonate (MDAC) and sediment geochemical data of ten sediment cores to assess methane seepage variability on Vestnesa Ridge. The studied cores cover the age range between 31.9 and 10 cal ka BP and record 32 negative delta C-13 excursions in benthic and planktic foraminifera with amplitudes down to -29 parts per thousand VPDB. These delta C-13 excursions are often associated with elevated Ca/Ti and Sr/Ti elemental ratios in sediments and MDAC nodules. The precipitation of MDAC overgrowth on foraminiferal tests explains most of the negative delta C-13 excursions. In this dataset, the oldest recorded methane emission episodes on Vestnesa Ridge occurred between the LGM (24-23.5 cal ka BP) and Heinrich Event 1 (HE 1; 17.7-16.8 cal ka BP). Geological indicators for past subseafloor methane cycling and seafloor methane seepage, such as negative foraminiferal delta C-13 excursions, MDAC nodules, and elevated Sr/Ti elemental ratios recorded in post-LGM sediments, possibly represent vertical migration of the sulphate-methane transition zone (SMTZ) and post-date sedimentation by up to 13.4 ka. However, it is important to note that indications of post-LGM seafloor methane seepage at Vestnesa Ridge also correspond to the established methane efflux chronology for the adjacent Barents Sea shelf, implying that glacio-isostatic adjustments and associated re-activation of pre-existing deep-seated faults after disintegration of the SBIS are likely important controlling factors on fluid migration towards the seafloor. (C) 2018 Elsevier Ltd. All rights reserved.</t>
  </si>
  <si>
    <t>[Schneider, A.; Panieri, G.; Lepland, A.; Consolaro, C.; Plaza-Faverola, A.; Sauer, S.; Knies, J.] UiT Arctic Univ Norway, Dept Geosci, CAGE Ctr Arctic Gas Hydrate Environm &amp; Climate, N-9037 Tromso, Norway; [Lepland, A.; Cremiere, A.; Sauer, S.; Knies, J.] Geol Survey Norway, N-7491 Trondheim, Norway; [Consolaro, C.] Plymouth Univ, Sch Geog Earth &amp; Environm Sci, Plymouth PL4 8AA, Devon, England; [Cremiere, A.] CALTECH, Div Geol &amp; Planetary Sci, Pasadena, CA 91125 USA; [Forwick, M.] UiT Arctic Univ Norway, Dept Geosci, N-9037 Tromso, Norway; [Johnson, J. E.] Univ New Hampshire, Dept Earth Sci, Durham, NH 03824 USA; [Sauer, S.] Inst Francais Rech Exploitat Mer Ifremer, Dept Marine Geosci, Plouzane, France; [Lepland, A.] Tallinn Univ Technol, Dept Geol, Tallinn, Estonia</t>
  </si>
  <si>
    <t>UiT The Arctic University of Tromso; Geological Survey of Norway; University of Plymouth; California Institute of Technology; UiT The Arctic University of Tromso; University System Of New Hampshire; University of New Hampshire; Ifremer; Universite Paris Cite; Tallinn University of Technology</t>
  </si>
  <si>
    <t>Schneider, A (corresponding author), UiT Arctic Univ Norway, Dept Geosci, CAGE Ctr Arctic Gas Hydrate Environm &amp; Climate, N-9037 Tromso, Norway.</t>
  </si>
  <si>
    <t>andrea.schneider@uit.no</t>
  </si>
  <si>
    <t>Plaza-Faverola, Andreia P/M-9228-2015; Crémière, Antoine/O-1930-2019</t>
  </si>
  <si>
    <t>Crémière, Antoine/0000-0001-7382-2097; Lepland, Aivo/0000-0002-0248-1405; Sauer, Simone/0000-0003-4383-389X; Forwick, Matthias/0000-0001-6153-5891; Johnson, Joel/0000-0002-5671-7209; Panieri, Giuliana/0000-0001-9411-1729</t>
  </si>
  <si>
    <t>Research Council of Norway through its Centre of Excellence funding scheme for CAGE [223259]; NORCRUST project [255150]; Norwegian Research School in Climate Dynamics (ResClim)</t>
  </si>
  <si>
    <t>Research Council of Norway through its Centre of Excellence funding scheme for CAGE; NORCRUST project; Norwegian Research School in Climate Dynamics (ResClim)</t>
  </si>
  <si>
    <t>This work was supported by the Research Council of Norway through its Centre of Excellence funding scheme for CAGE, project number 223259, and partially by the NORCRUST project, grant number 255150. Parts of the isotopic analyses were supported by the PNRA (Italian National Antarctic Program) Project FORMAT. We thank the captain, crewmembers and scientific team of R/V Helmer Hanssen for their contribution during the research cruises CAGE-2013 and CAGE-2014. We are indebted to Stefan Bunz who acquired 3D seismic data from the Vestnesa Ridge and facilitated bathymetry maps for the study area. AS obtained a travel grant from the Norwegian Research School in Climate Dynamics (ResClim). The quality of this manuscript benefited from editing and language correction by Monica Winsborrow, Hanne-Kristin Paulsen, and two anonymous reviewers.</t>
  </si>
  <si>
    <t>10.1016/j.quascirev.2018.06.006</t>
  </si>
  <si>
    <t>GO0ZB</t>
  </si>
  <si>
    <t>WOS:000439674100007</t>
  </si>
  <si>
    <t>Walton, DWH</t>
  </si>
  <si>
    <t>Walton, D. W. H.</t>
  </si>
  <si>
    <t>Polar collaborations</t>
  </si>
  <si>
    <t>10.1017/S0954102018000287</t>
  </si>
  <si>
    <t>WOS:000439712900001</t>
  </si>
  <si>
    <t>BAS and Argentina sign Antarctic accord</t>
  </si>
  <si>
    <t>ASTRONOMY &amp; GEOPHYSICS</t>
  </si>
  <si>
    <t>1366-8781</t>
  </si>
  <si>
    <t>1468-4004</t>
  </si>
  <si>
    <t>ASTRON GEOPHYS</t>
  </si>
  <si>
    <t>Astron. Geophys.</t>
  </si>
  <si>
    <t>10.1093/astrogeo/aty164</t>
  </si>
  <si>
    <t>Astronomy &amp; Astrophysics; Geochemistry &amp; Geophysics</t>
  </si>
  <si>
    <t>GP6IB</t>
  </si>
  <si>
    <t>WOS:000440980900010</t>
  </si>
  <si>
    <t>Munakata, K; Kozai, M; Evenson, P; Kuwabara, T; Kato, C; Tokumaru, M; Rockenbach, M; Dal Lago, A; de Mendonca, RRS; Braga, CR; Schuch, NJ; Al Jassar, HK; Sharma, MM; Duldig, ML; Humble, JE; Sabbah, I; Kóta, J</t>
  </si>
  <si>
    <t>Munakata, K.; Kozai, M.; Evenson, P.; Kuwabara, T.; Kato, C.; Tokumaru, M.; Rockenbach, M.; Dal Lago, A.; de Mendonca, R. R. S.; Braga, C. R.; Schuch, N. J.; Al Jassar, H. K.; Sharma, M. M.; Duldig, M. L.; Humble, J. E.; Sabbah, I.; Kota, J.</t>
  </si>
  <si>
    <t>Cosmic-Ray Short Burst Observed with the Global Muon Detector Network (GMDN) on 2015 June 22</t>
  </si>
  <si>
    <t>ASTROPHYSICAL JOURNAL</t>
  </si>
  <si>
    <t>cosmic rays; interplanetary medium; Sun: coronal mass ejections (CMEs)</t>
  </si>
  <si>
    <t>DENSITY GRADIENT; ANISOTROPY</t>
  </si>
  <si>
    <t>We analyze the short cosmic-ray intensity increase (cosmic-ray burst: CRB) on 2015 June 22 utilizing a global network of muon detectors and derive the global anisotropy of cosmic-ray intensity and the density (i.e., the omnidirectional intensity) with 10 minute time resolution. We find that the CRB was caused by a local density maximum and an enhanced anisotropy of cosmic rays, both of which appeared in association with Earth's crossing of the heliospheric current sheet (HCS). This enhanced anisotropy was normal to the HCS and consistent with a diamagnetic drift arising from the spatial gradient of cosmic-ray density, which indicates that cosmic rays were drifting along the HCS from the north of Earth. We also find a significant anisotropy along the HCS, lasting a few hours after the HCS crossing, indicating that cosmic rays penetrated into the inner heliosphere along the HCS. Based on the latest geomagnetic field model, we quantitatively evaluate the reduction of the geomagnetic cutoff rigidity and the variation of the asymptotic viewing direction of cosmic rays due to a major geomagnetic storm that occurred during the CRB and conclude that the CRB is not caused by the geomagnetic storm, but by a rapid change in the cosmic-ray anisotropy and density outside the magnetosphere.</t>
  </si>
  <si>
    <t>[Munakata, K.; Kato, C.] Shinshu Univ, Dept Phys, Matsumoto, Nagano 3908621, Japan; [Kozai, M.] Japan Aerosp Explorat Agcy ISAS JAXA, Inst Space &amp; Astronaut Sci, Sagamihara, Kanagawa 2525210, Japan; [Evenson, P.; Kuwabara, T.] Univ Delaware, Bartol Res Inst, Newark, DE 19716 USA; [Evenson, P.; Kuwabara, T.] Univ Delaware, Dept Phys &amp; Astron, Newark, DE 19716 USA; [Tokumaru, M.] Nagoya Univ, Inst Space Earth Environm Res, Nagoya, Aichi 4648601, Japan; [Rockenbach, M.; Dal Lago, A.; de Mendonca, R. R. S.; Braga, C. R.] Natl Inst Space Res INPE, BR-12227010 Sao Jose Dos Campos, SP, Brazil; [de Mendonca, R. R. S.] Chinese Acad Sci, Natl Space Sci Ctr NSSC, State Key Lab Space Weather, 1 Nanertiao, Beijing 100190, Peoples R China; [Schuch, N. J.] Southern Reg Space Res Ctr CRS INPE, POB 5021, BR-97110970 Santa Maria, RS, Brazil; [Al Jassar, H. K.; Sharma, M. M.] Kuwait Univ, Dept Phys, POB 5969, Safat 13060, Kuwait; [Duldig, M. L.; Humble, J. E.] Univ Tasmania, Sch Nat Sci, Hobart, Tas 7001, Australia; [Sabbah, I.] Publ Author Appl Educ &amp; Training, Coll Hlth Sci, Dept Nat Sci, Kuwait 72853, Kuwait; [Kota, J.] Univ Arizona, Lunar &amp; Planetary Lab, Tucson, AZ 87721 USA</t>
  </si>
  <si>
    <t>Shinshu University; Japan Aerospace Exploration Agency (JAXA); Institute of Space &amp; Astronautical Science (ISAS); University of Delaware; University of Delaware; Nagoya University; Instituto Nacional de Pesquisas Espaciais (INPE); Chinese Academy of Sciences; National Space Science Center, CAS; Kuwait University; University of Tasmania; Public Authority for Applied Education &amp; Training (PAAET) - Kuwait; University of Arizona</t>
  </si>
  <si>
    <t>Munakata, K (corresponding author), Shinshu Univ, Dept Phys, Matsumoto, Nagano 3908621, Japan.</t>
  </si>
  <si>
    <t>AlJassar, Hala/Y-3030-2019; Schuch, Nelson Jorge/K-9730-2015; Mendonça, Rafael/J-6648-2016; Dal Lago, Alisson/H-6511-2017; Rockenbach, Marlos/C-1711-2012</t>
  </si>
  <si>
    <t>AlJassar, Hala/0000-0002-4486-237X; Dal Lago, Alisson/0000-0002-4361-6492; /0000-0002-0417-6877; Braga, Carlos Roberto/0000-0003-1485-9564; Tokumaru, Munetoshi/0000-0002-2982-1887; Duldig, Marcus/0000-0001-7463-8267; Evenson, Paul/0000-0001-7929-810X; Munakata, Kazuoki/0000-0002-2131-4100; Rockenbach, Marlos/0000-0002-9737-9429</t>
  </si>
  <si>
    <t>Institute for Space-Earth Environmental Research (ISEE), Nagoya University; Institute for Cosmic Ray Research (ICRR), University of Tokyo; Nagoya University; CAPES; INPE; UFSM; Sao Martinho da Serra muon detector; Australian Antarctic Division; Hobart muon detector; Research Administration of Kuwait University [SP01/09]; CNPq [304209/2014/7, 152050/2016-7]; Sao Paulo Research Foundation [14/24711-6]; China-Brazil Joint Laboratory for Space Weather; Joint Research Program of the Institute for Space-Earth Environmental Research, Nagoya University, Japan; Fundacao de Amparo a Pesquisa do Estado de Sao Paulo (FAPESP) [14/24711-6] Funding Source: FAPESP</t>
  </si>
  <si>
    <t>Institute for Space-Earth Environmental Research (ISEE), Nagoya University; Institute for Cosmic Ray Research (ICRR), University of Tokyo; Nagoya University; CAPES(Coordenacao de Aperfeicoamento de Pessoal de Nivel Superior (CAPES)); INPE; UFSM; Sao Martinho da Serra muon detector; Australian Antarctic Division; Hobart muon detector; Research Administration of Kuwait University; CNPq(Conselho Nacional de Desenvolvimento Cientifico e Tecnologico (CNPQ)); Sao Paulo Research Foundation(Fundacao de Amparo a Pesquisa do Estado de Sao Paulo (FAPESP)); China-Brazil Joint Laboratory for Space Weather; Joint Research Program of the Institute for Space-Earth Environmental Research, Nagoya University, Japan; Fundacao de Amparo a Pesquisa do Estado de Sao Paulo (FAPESP)(Fundacao de Amparo a Pesquisa do Estado de Sao Paulo (FAPESP))</t>
  </si>
  <si>
    <t>This work is supported in part by the joint research programs of the Institute for Space-Earth Environmental Research (ISEE), Nagoya University and the Institute for Cosmic Ray Research (ICRR), University of Tokyo. The observations are supported by Nagoya University with the Nagoya muon detector, by CAPES, INPE, and UFSM with the Sao Martinho da Serra muon detector, and by the Australian Antarctic Division with the Hobart muon detector. The observation with the Kuwait City muon detector is supported by the project SP01/09 of the Research Administration of Kuwait University. A.D.L. thanks CNPq (grant 304209/2014/7). C.R.B. thanks to Sao Paulo Research Foundation (grant 14/24711-6). R.R.S.M. thanks CNPq (grant 152050/2016-7) and the China-Brazil Joint Laboratory for Space Weather. J.K. was partly supported by the Joint Research Program of the Institute for Space-Earth Environmental Research, Nagoya University, Japan. Authors thank Dr. Ryuho Kataoka of the National Institute of Polar Research in Japan for providing us with the information of Tsyaganeno's geomagnetic field models. They also thank Dr. Yoji Hasegawa of Shinshu University for his help in performing MC simulations by GEANT4. The OMNIWeb data set of the solar wind and IMF parameters is provided by the Goddard Space Flight Center, NASA, USA, while the MHD simulation of the space weather during the CRB is provided by the WSA-Enlil solar wind prediction, National Centers of Environmental Information, NOAA, USA. The hourly Dst index is provided by the WDC for Geomagnetism, Kyoto, Japan. We are grateful to the anonymous referee for thoughtful comments that were useful for developing a clearer presentation of this paper.</t>
  </si>
  <si>
    <t>0004-637X</t>
  </si>
  <si>
    <t>1538-4357</t>
  </si>
  <si>
    <t>ASTROPHYS J</t>
  </si>
  <si>
    <t>Astrophys. J.</t>
  </si>
  <si>
    <t>10.3847/1538-4357/aacdfe</t>
  </si>
  <si>
    <t>GP3FF</t>
  </si>
  <si>
    <t>Bronze, Green Submitted, Green Published, Green Accepted</t>
  </si>
  <si>
    <t>WOS:000440726900008</t>
  </si>
  <si>
    <t>Arndt, DS; Blunden, J; Hartfield, G; Ackerman, SA; Adler, R; Alfaro, EJ; Allan, RP; Allan, R; Alves, LM; Amador, JA; Andreassen, LM; Argüez, A; Arndt, DS; Azorin-Molina, C; Báez, J; Bardin, MU; Barichivich, J; Baringer, MO; Barreira, S; Baxter, S; Beck, HE; Becker, A; Bedka, KM; Bell, GD; Belmont, M; Benedetti, A; Berrisford, P; Berry, DI; Bhatt, US; Bissolli, P; Bjerke, J; Blake, ES; Bosilovich, MG; Boucher, O; Box, JE; Boyer, T; Braathen, GO; Bromwich, DH; Brown, R; Buehler, S; Bulygina, ON; Burgess, D; Calderón, B; Camargo, SJ; Campbell, JD; Cappelen, J; Carrea, L; Carter, BR; Chambers, DP; Cheng, LJ; Christiansen, HH; Christy, JR; Chung, ES; Clem, KR; Coelho, CAS; Coldewey-Egbers, M; Colwell, S; Cooper, OR; Copland, L; Crouch, J; Davis, SM; de Eyto, E; de Jeu, RAM; de Laat, J; deGasperi, CL; Degenstein, D; Demircan, M; Derksen, C; di Girolamo, L; Diamond, HJ; Dlugokencky, EJ; Dohan, K; Dokulil, MT; Dolman, AJ; Domingues, CM; Donat, MG; Dong, S; Dorigo, WA; Drozdov, DS; Dunn, RJH; Dutton, GS; ElKharrim, M; Elkins, JW; Epstein, HE; Espinoza, JC; Famiglietti, JS; Farrell, S; Fausto, RS; Feely, RA; Feng, Z; Fenimore, C; Fettweis, X; Fioletov, VE; Flemming, J; Fogt, RL; Folland, C; Forbes, BC; Foster, MJ; Francis, SD; Franz, BA; Frey, RA; Frith, SM; Froidevaux, L; Ganter, C; Gerland, S; Gilson, J; Gobron, N; Goldenberg, SB; Goni, G; Grooss, JU; Gruber, A; Guard, C; Gupta, SK; Gutiérrez, JM; Haas, C; Hagos, S; Hahn, S; Haimberger, L; Hall, BD; Halpert, MS; Hamlington, BD; Hanna, E; Hanssen-Bauer, I; Harris, I; Heidinger, AK; Heim, RR; Hendricks, S; Hernàndez, M; Hernàndez, R; Hidalgo, HG; Ho, SP; Hobbs, WR; Huang, B; Hurst, DF; Ialongo, I; Ijampy, JA; Inness, A; Isaksen, K; Ishii, M; Jevrejeva, S; Jiménez, C; Jin, XZ; John, V; Johns, WE; Johnsen, B; Johnson, B; Johnson, GC; Johnson, KS; Jones, PD; Jumaux, G; Kabidi, K; Kaiser, JW; Kato, S; Kazemi, A; Keller, LM; Kennedy, J; Kerr, K; Kholodov, AL; Khoshkam, M; Killick, R; Kim, HJ; Kim, SJ; Klotzbach, PJ; Knaff, JA; Kohler, J; Korhonen, J; Korshunova, NN; Kramarova, N; Kratz, DP; Kruger, A; Kruk, MC; Krumpen, T; Lakatos, M; Lakkala, K; Lander, MA; Landschützer, P; Landsea, CW; Lankhorst, M; Lazzara, MA; Leuliette, E; L'Heureux, M; Lieser, JL; Lin, II; Liu, HX; Liu, YH; Locarnini, R; Loeb, NG; Long, CS; Lorrey, AM; Loyola, D; Lumpkin, R; Luo, JJ; Luojus, K; Lyman, JM; Macias-Fauria, M; Malkova, GV; Manney, G; Marchenko, SS; Marengo, JA; Marra, JJ; Marszelewski, W; Martens, B; Martínez-Güingla, R; Massom, RA; May, L; Mayer, M; Mazloff, M; McBride, C; McCabe, MF; McCarthy, M; McVicar, TR; Mears, CA; Meier, W; Mekonnen, A; Tsidu, GM; Menzel, WP; Merchant, CJ; Meredith, MP; Merrifield, MA; Miralles, DG; Mitchum, GT; Mitro, S; Monselesan, D; Montzka, SA; Mora, N; Morice, C; Mote, T; Mudryk, L; Mühle, J; Mullan, AB; Müller, R; Nash, ER; Nerem, RS; Newman, L; Newman, PA; Nieto, JJ; Noetzli, J; O'Neel, S; Osborn, TJ; Overland, J; Oyunjargal, L; Park, EH; Pasch, RJ; Pascual-Ramirez, R; Paterson, AM; Pearce, PR; Pelto, MS; Perkins-Kirkpatrick, SE; Perovich, D; Petropavlovskikh, I; Pezza, AB; Phillips, C; Phillips, D; Phoenix, G; Pinty, B; Rajeevan, M; Rayner, D; Raynolds, MK; Reagan, J; Reid, P; Reimer, C; Remy, S; Revadekar, JV; Richter-Menge, J; Rimmer, A; Robinson, DA; Rodell, M; Romanovsky, VE; Ronchail, J; Rosenlof, KH; Roth, C; Rusak, JA; Sallee, JB; Sanchez-Lugo, A; Santee, ML; Sawaengphokhai, P; Sayouri, A; Scambos, TA; Schladow, SG; Schmid, C; Schmid, M; Schreck, CJ; Schuur, T; Selkirk, HB; Send, U; Sensoy, S; Sharp, M; Shi, L; Shiklomanov, NI; Shimaraeva, SV; Siegel, DA; Signorini, SR; Sima, F; Simmons, AJ; Smeed, DA; Smeets, CJPP; Smith, A; Smith, SL; Soden, B; Spence, JM; Srivastava, AK; Stackhouse, PW; Stammerjohn, S; Steinbrecht, W; Stella, JL; Stephenson, TS; Strahan, S; Streletskiy, DA; Sun-Mack, S; Swart, S; Sweet, W; Tamar, G; Taylor, MA; Tedesco, M; Thoman, RL; Thompson, L; Thompson, PR; Timmermans, ML; Tobin, S; Trachte, K; Trewin, BC; Trotman, AR; Tschudi, M; van As, D; van de Wal, RSW; van der Schalie, R; van der Schrier, G; van der Werf, GR; van Meerbeeck, CJ; Velicogna, I; Verburg, P; Vincent, LA; Vömel, H; Vose, RS; Wagner, W; Walker, DA; Walsh, J; Wang, B; Wang, CZ; Wang, JH; Wang, L; Wang, M; Wang, SH; Wanninkhof, R; Watanabe, S; Weber, M; Weller, RA; Weyhenmeyer, GA; Whitewood, R; Wiese, DN; Wijffels, SE; Wilber, AC; Wild, JD; Willett, KM; Willis, JK; Wolken, G; Wong, T; Wood, EF; Woolway, RI; Wouters, B; Xue, Y; Yin, XG; Yu, L; Zambrano, E; Zhang, HM; Zhang, PQ; Zhao, GG; Zhao, L; Ziemke, JR; Abernethy, R; Albanil, EA; Aldeco, LS; Aliaga-Nestares, V; Anderson, J; Armitage, C; Avalos, G; Behe, C; Bellouin, N; Bernhard, GH; Blenkinsop, S; Bolmgren, K; Bouchon, M; Campbell, EC; Castro, A; Costanza, C; Covey, C; Coy, L; Cronin, T; Cruzado, L; Daniel, R; Davletshin, SG; De La Cour, JL; Deline, P; Dewitte, B; Dhurmea, R; Dickerson, C; Domingues, R; Durre, I; Eakin, CM; Farmer, J; Fauchald, P; Geiger, EF; Gomez, AM; Gugliemin, M; Hansen, K; Helfrich, S; Hemming, DL; Heron, SF; Heuzé, C; Horstkotte, T; Hubert, D; Hueuzé, C; Ibrahim, MM; Isaac, V; Jacobs, SJ; Jeffries, MO; Karaköylü, EM; Khan, MS; Ladd, C; Lavado-Casimiro, W; Lee, SE; Lee, TC; Li, BL; Li, T; López, LA; Luthcke, S; Marcellin, V; Marín, D; Marsh, BL; Martin, A; Martínez, AG; Martínez-Sánchez, O; Meijers, AJS; Miller, B; Moat, B; Mochizuki, Y; Mosquera-Vásquez, K; Mostafa, AE; Nielsen-Gammon, JW; Noll, B; Osborne, E; Pastor, SMA; Paulik, C; Peltier, A; Pinzon, J; Po-Chedley, S; Polashenski, C; Purkey, SG; Quispe, N; Rakotoarimalala, C; Richardson, AD; Ricker, R; Rodriguez, CE; Rösner, B; Roth, DM; Rutishäuser, T; Sasgen, L; Sayad, TA; Scanlon, T; Schenzinger, V; Silow, E; Skirving, WJ; Sofieva, V; Sparks, TH; Spillane, S; Stanitski, DM; Stengel, M; Stephenson, K; Strong, AE; Sutton, AJ; Takahashi, KS; Thackeray, SJ; Thomson, LT; Timbal, B; TImofeyev, MA; Tirak, KV; Togawa, H; Tommervik, H; Tourpali, K; Triñanes, JA; Tucker, CJ; Tye, MR; van der A, RJ; Velden, CS; Vickers, H; Webster, M; Westberry, TK; Widlansky, MJ; Wood, K; Yoon, H; York, A; Zhu, ZW; Ziel, R; Ziese, MG</t>
  </si>
  <si>
    <t>Arndt, D. S.; Blunden, J.; Hartfield, G.; Ackerman, Steven A.; Adler, Robert; Alfaro, Eric J.; Allan, Richard P.; Allan, Rob; Alves, Lincoln M.; Amador, Jorge A.; Andreassen, L. M.; Argueez, Anthony; Arndt, Derek S.; Azorin-Molina, Cesar; Baez, Julian; Bardin, M. U.; Barichivich, Jonathan; Baringer, Molly O.; Barreira, Sandra; Baxter, Stephen; Beck, H. E.; Becker, Andreas; Bedka, Kristopher M.; Bell, Gerald D.; Belmont, M.; Benedetti, Angela; Berrisford, Paul; Berry, David I.; Bhatt, U. S.; Bissolli, Peter; Bjerke, J.; Blake, Eric S.; Bosilovich, Michael G.; Boucher, Olivier; Box, J. E.; Boyer, Tim; Braathen, Geir O.; Bromwich, David H.; Brown, R.; Buehler, S.; Bulygina, Olga N.; Burgess, D.; Calderon, Blanca; Camargo, Suzana J.; Campbell, Jayaka D.; Cappelen, J.; Carrea, Laura; Carter, Brendan R.; Chambers, Don P.; Cheng, Lijing; Christiansen, Hanne H.; Christy, John R.; Chung, E. -S.; Clem, Kyle R.; Coelho, Caio A. S.; Coldewey-Egbers, Melanie; Colwell, Steve; Cooper, Owen R.; Copland, L.; Crouch, Jake; Davis, Sean M.; de Eyto, Elvira; de Jeu, Richard A. M.; de Laat, Jos; DeGasperi, Curtis L.; Degenstein, Doug; Demircan, M.; Derksen, C.; Di Girolamo, Larry; Diamond, Howard J.; Dlugokencky, Ed J.; Dohan, Kathleen; Dokulil, Martin T.; Dolman, A. Johannes; Domingues, Catia M.; Donat, Markus G.; Dong, Shenfu; Dorigo, Wouter A.; Drozdov, D. S.; Dunn, Robert J. H.; Dutton, Geoff S.; ElKharrim, M.; Elkins, James W.; Epstein, H. E.; Espinoza, Jhan C.; Famiglietti, James S.; Farrell, S.; Fausto, R. S.; Feely, Richard A.; Feng, Z.; Fenimore, Chris; Fettweis, X.; Fioletov, Vitali E.; Flemming, Johannes; Fogt, Ryan L.; Folland, Chris; Forbes, B. C.; Foster, Michael J.; Francis, S. D.; Franz, Bryan A.; Frey, Richard A.; Frith, Stacey M.; Froidevaux, Lucien; Ganter, Catherine; Gerland, S.; Gilson, John; Gobron, Nadine; Goldenberg, Stanley B.; Goni, Gustavo; Grooss, J. -U.; Gruber, Alexander; Guard, Charles; Gupta, S. K.; Gutierrez, J. M.; Haas, C.; Hagos, S.; Hahn, Sebastian; Haimberger, Leo; Hall, Brad D.; Halpert, Michael S.; Hamlington, Benjamin D.; Hanna, E.; Hanssen-Bauer, I; Harris, Ian; Heidinger, Andrew K.; Heim, Richard R., Jr.; Hendricks, S.; Hernandez, Marieta; Hernandez, Rafael; Hidalgo, Hugo G.; Ho, Shu-peng; Hobbs, William R.; Huang, Boyin; Hurst, Dale F.; Ialongo, I.; Ijampy, J. A.; Inness, Antje; Isaksen, K.; Ishii, Masayoshi; Jevrejeva, Svetlana; Jimenez, C.; Jin Xiangze; John, Viju; Johns, William E.; Johnsen, B.; Johnson, Bryan; Johnson, Gregory C.; Johnson, Kenneth S.; Jones, Philip D.; Jumaux, Guillaume; Kabidi, Khadija; Kaiser, J. W.; Kato, Seiji; Kazemi, A.; Keller, Linda M.; Kennedy, John; Kerr, Kenneth; Kholodov, A. L.; Khoshkam, Mahbobeh; Killick, Rachel; Kim, Hyungjun; Kim, S. -J.; Klotzbach, Philip J.; Knaff, John A.; Kohler, J.; Korhonen, Johanna; Korshunova, Natalia N.; Kramarova, Natalya; Kratz, D. P.; Kruger, Andries; Kruk, Michael C.; Krumpen, T.; Lakatos, M.; Lakkala, K.; Lander, Mark A.; Landschuetzer, Peter; Landsea, Chris W.; Lankhorst, Matthias; Lazzara, Matthew A.; Leuliette, Eric; L'Heureux, Michelle; Lieser, Jan L.; Lin, I-I; Liu, Hongxing; Liu, Yinghui; Locarnini, Ricardo; Loeb, Norman G.; Long, Craig S.; Lorrey, Andrew M.; Loyola, Diego; Lumpkin, Rick; Luo, Jing-Jia; Luojus, K.; Lyman, John M.; Macias-Fauria, M.; Malkova, G. V.; Manney, G.; Marchenko, S. S.; Marengo, Jose A.; Marra, John J.; Marszelewski, Wlodzimierz; Martens, B.; Martinez-Gueingla, Rodney; Massom, Robert A.; May, Linda; Mayer, Michael; Mazloff, Matthew; McBride, Charlotte; McCabe, M. F.; McCarthy, M.; McVicar, Tim R.; Mears, Carl A.; Meier, W.; Mekonnen, A.; Mengistu Tsidu, G.; Menzel, W. Paul; Merchant, Christopher J.; Meredith, Michael P.; Merrifield, Mark A.; Miralles, Diego G.; Mitchum, Gary T.; Mitro, Srkani; Monselesan, Didier; Montzka, Stephen A.; Mora, Natalie; Morice, Colin; Mote, T.; Mudryk, L.; Muehle, Jens; Mullan, A. Brett; Mueller, R.; Nash, Eric R.; Nerem, R. Steven; Newman, Louise; Newman, Paul A.; Nieto, Juan Jose; Noetzli, Jeannette; O'Neel, S.; Osborn, Tim J.; Overland, J.; Oyunjargal, Lamjav; Park, E-hyung; Pasch, Richard J.; Pascual-Ramirez, Reynaldo; Paterson, Andrew M.; Pearce, Petra R.; Pelto, Mauri S.; Perkins-Kirkpatrick, Sarah E.; Perovich, D.; Petropavlovskikh, Irina; Pezza, Alexandre B.; Phillips, C.; Phillips, David; Phoenix, G.; Pinty, Bernard; Rajeevan, Madhavan; Rayner, Darren; Raynolds, M. K.; Reagan, James; Reid, Phillip; Reimer, Christoph; Remy, Samuel; Revadekar, Jayashree V.; Richter-Menge, J.; Rimmer, Alon; Robinson, David A.; Rodell, Matthew; Romanovsky, Vladimir E.; Ronchail, Josyane; Rosenlof, Karen H.; Roth, Chris; Rusak, James A.; Sallee, Jean-Bapiste; Sanchez-Lugo, Ahira; Santee, Michelle L.; Sawaengphokhai, P.; Sayouri, Amal; Scambos, Ted A.; Schladow, S. Geoffrey; Schmid, Claudia; Schmid, Martin; Schreck, Carl J., III; Schuur, Ted; Selkirk, H. B.; Send, Uwe; Sensoy, Serhat; Sharp, M.; Shi, Lei; Shiklomanov, Nikolai I.; Shimaraeva, Svetlana V.; Siegel, David A.; Signorini, Sergio R.; Sima, Fatou; Simmons, Adrian J.; Smeed, David A.; Smeets, C. J. P. P.; Smith, Adam; Smith, Sharon L.; Soden, B.; Spence, Jaqueline M.; Srivastava, A. K.; Stackhouse, Paul W., Jr.; Stammerjohn, Sharon; Steinbrecht, Wolfgang; Stella, Jose L.; Stephenson, Tannecia S.; Strahan, Susan; Streletskiy, Dimitri A.; Sun-Mack, Sunny; Swart, Sebastiaan; Sweet, William; Tamar, Gerard; Taylor, Michael A.; Tedesco, M.; Thoman, R. L.; Thompson, L.; Thompson, Philip R.; Timmermans, M. -L.; Tobin, Skie; Trachte, Katja; Trewin, Blair C.; Trotman, Adrian R.; Tschudi, M.; van As, D.; van de Wal, R. S. W.; van der Schalie, Robin; van der Schrier, Gerard; van der Werf, Guido R.; van Meerbeeck, Cedric J.; Velicogna, I.; Verburg, Piet; Vincent, Lucie A.; Voemel, Holger; Vose, Russell S.; Wagner, Wolfgang; Walker, D. A.; Walsh, J.; Wang, Bin; Wang, Chunzai; Wang, Junhong; Wang, Lei; Wang, M.; Wang, Sheng-Hung; Wanninkhof, Rik; Watanabe, Shohei; Weber, Mark; Weller, Robert A.; Weyhenmeyer, Gesa A.; Whitewood, Robert; Wiese, David N.; Wijffels, Susan E.; Wilber, Anne C.; Wild, Jeanette D.; Willett, Kate M.; Willis, Josh K.; Wolken, G.; Wong, Takmeng; Wood, E. F.; Woolway, R. Iestyn; Wouters, B.; Xue, Yan; Yin, Xungang; Yu, Lisan; Zambrano, Eduardo; Zhang, Huai-Min; Zhang, Peiqun; Zhao, Guanguo; Zhao, Lin; Ziemke, Jerry R.; Abernethy, R.; Albanil, Encarnacion Adelina; Aldeco, Laura S.; Aliaga-Nestares, Vannia; Anderson, John; Armitage, C.; Avalos, Grinia; Behe, Carolina; Bellouin, Nicolas; Bernhard, G. H.; Blenkinsop, Stephen; Bolmgren, K.; Bouchon, Marilu; Campbell, Ethan C.; Castro, Anabel; Costanza, Carol; Covey, Curt; Coy, Lawrence; Cronin, T.; Cruzado, Luis; Daniel, Raychelle; Davletshin, S. G.; De La Cour, Jacqueline L.; Deline, P.; Dewitte, Boris; Dhurmea, R.; Dickerson, C.; Domingues, Ricardo; Durre, Imke; Eakin, C. Mark; Farmer, J.; Fauchald, P.; Geiger, Erick F.; Gomez, Andrea M.; Gugliemin, Mario; Hansen, K.; Helfrich, S.; Hemming, D. L.; Heron, Scott F.; Heuze, C.; Horstkotte, T.; Hubert, Daan; Hueuze, Celine; Ibrahim, M. M.; Isaac, Victor; Jacobs, Stephanie J.; Jeffries, Martin O.; Karakoylu, Erdem M.; Khan, M. S.; Ladd, C.; Lavado-Casimiro, Waldo; Lee, S. -E; Lee, T. C.; Li, Bailing; Li, Tim; Lopez, Luis A.; Luthcke, S.; Marcellin, Vernie; Marin, Dora; Marsh, Benjamin L.; Martin, A.; Martinez, Alejandra G.; Martinez-Sanchez, Odalys; Meijers, Andrew J. S.; Miller, Ben; Moat, Ben; Mochizuki, Y.; Mosquera-Vasquez, Kobi; Mostafa, Awatif E.; Nielsen-Gammon, John W.; Noll, Ben E.; Osborne, Emily; Pastor, Saavedra Maria Asuncion; Paulik, Christoph; Peltier, Alexandre; Pinzon, J.; Po-Chedley, S.; Polashenski, C.; Purkey, Sarah G.; Quispe, Nelson; Rakotoarimalala, C.; Richardson, A. D.; Ricker, R.; Rodriguez, Camino Ernesto; Rosner, Benjamin; Roth, David Mark; Rutishauser, T.; Sasgen, L.; Sayad, T. A.; Scanlon, T.; Schenzinger, Verena; Silow, Eugene; Skirving, William J.; Sofieva, Viktoria; Sparks, T. H.; Spillane, Sandra; Stanitski, Diane M.; Stengel, M.; Stephenson, Kimberly; Strong, Alan E.; Sutton, Adrienne J.; Takahashi, Kenneth S.; Thackeray, S. J.; Thomson, LThorsteinsson T.; Timbal, Bertrand; TImofeyev, Maxim A.; Tirak, Kyle, V; Togawa, H.; Tommervik, H.; Tourpali, Kleareti; Trinanes, Joaquin A.; Tucker, C. J.; Tye, Mari R.; van der A, Ronald J.; Velden, Christopher S.; Vickers, H.; Webster, M.; Westberry, Toby K.; Widlansky, Matthew J.; Wood, K.; Yoon, Huang; York, A.; Zhu, Zhiwei; Ziel, R.; Ziese, Markus G.</t>
  </si>
  <si>
    <t>STATE OF THE CLIMATE IN 2017</t>
  </si>
  <si>
    <t>SEA-SURFACE TEMPERATURE; MADDEN-JULIAN OSCILLATION; PACIFIC TROPICAL CYCLONE; WESTERN NORTH PACIFIC; COUPLED KELVIN WAVES; MERIDIONAL OVERTURNING CIRCULATION; EXTREME HOURLY PRECIPITATION; OUTGOING LONGWAVE RADIATION; BREWER-DOBSON CIRCULATION; HEAT-CONTENT ESTIMATION</t>
  </si>
  <si>
    <t>[Arndt, D. S.; Blunden, J.; Argueez, Anthony; Arndt, Derek S.; Boyer, Tim; Crouch, Jake; Marra, John J.; Zhang, Huai-Min; Durre, Imke] NOAA, NESDIS Natl Ctr Environm Informat, Asheville, NC 28801 USA; [Allan, Rob; Folland, Chris; John, Viju; Killick, Rachel; McCarthy, M.; Morice, Colin; Willett, Kate M.; Abernethy, R.; Hemming, D. L.] Met Off Hadley Ctr, Exeter, Devon, England; [Kerr, Kenneth] Trinidad &amp; Tobago Meteorol Serv, Piarco, Trinidad Tobago; Agence Natl Aviat Civile &amp; Meteorol, Moroni, Comoros; [Ackerman, Steven A.; Foster, Michael J.; Frey, Richard A.; Liu, Yinghui; Velden, Christopher S.] Univ Wisconsin, CIMSS, Madison, WI USA; [Adler, Robert] Univ Maryland, College Pk, MD USA; [Alfaro, Eric J.; Amador, Jorge A.; Calderon, Blanca; Mora, Natalie] Univ Costa Rica, Ctr Geophys Res, San Jose, Costa Rica; [Alfaro, Eric J.; Amador, Jorge A.; Mora, Natalie] Univ Costa Rica, Sch Phys, San Jose, Costa Rica; [Allan, Richard P.] Univ Reading, Reading, Berks, England; [Lopez, Luis A.] Inst Hidrol Meteorol &amp; Estudios Ambientales Colom, Bogota, Colombia; [Alves, Lincoln M.] Inst Nacl Pesquisas Espaciais, Ctr Ciencias Sistema Terrestre, Sao Paulo, Brazil; [Andreassen, L. M.] Norwegian Water Resources &amp; Energy Directorate, Sect Glaciers Ice &amp; Snow, Oslo, Norway; [Davletshin, S. G.] Russian Inst Hydrometeorol Informat, Obninsk, Russia; [Cooper, Owen R.; Dlugokencky, Ed J.; Montzka, Stephen A.; Rosenlof, Karen H.; Miller, Ben; Stanitski, Diane M.] NOAA OAR Earth Syst Res Lab, Boulder, CO USA; [Mostafa, Awatif E.] Egyptian Meteorol Author, Cairo Numer Weather Predict, Dept Seasonal Forecast &amp; Climate Res, Cairo, Egypt; [Azorin-Molina, Cesar] Univ Gothenburg, Dept Earth Sci, Reg Climate Grp, Gothenburg, Sweden; [Baez, Julian] Direcc Meteorol &amp; Hidrol DINAC, Asuncion, Paraguay; [Bardin, M. U.; Khoshkam, Mahbobeh] Islamic Republ Iran Meteorol Org, Tehran, Iran; [Barichivich, Jonathan] Univ Austral Chile, Inst Conservac Biodiversidad &amp; Terr, Valdivia, Chile; [Barichivich, Jonathan] Ctr Climate &amp; Resilience Res, Santiago, Chile; [Barichivich, Jonathan] Pontificia Univ Catolica Valparaiso, Inst Geog, Valparaiso, Chile; [Baringer, Molly O.; Lumpkin, Rick; Schmid, Claudia; Wanninkhof, Rik] NOAA OAR Atlantic Oceanog &amp; Meteorol Lab, Miami, FL 33149 USA; [Barreira, Sandra] Argentine Naval Hydrog Serv, Buenos Aires, DF, Argentina; [Baxter, Stephen; Bell, Gerald D.; L'Heureux, Michelle] NOAA NWS Climate Predict Ctr, College Pk, MD USA; [Beck, H. E.; Wood, E. F.] Princeton Univ, Dept Civil &amp; Environm Engn, Princeton, NJ 08536 USA; [Becker, Andreas; Ziese, Markus G.] Deutsch Wetterdienst, Global Precipitat Climatol Ctr, Offenbach, Germany; [Bedka, Kristopher M.; Kratz, D. P.; Loeb, Norman G.; Stackhouse, Paul W., Jr.; Wong, Takmeng] NASA Langley Res Ctr, Hampton, VA USA; [Westberry, Toby K.] Oregon State Univ, Corvallis, OR USA; [Belmont, M.] Seychelles Natl Meteorol Serv, Pointe Larue, Mahe, Seychelles; [Benedetti, Angela; Berrisford, Paul; Flemming, Johannes; Simmons, Adrian J.] European Ctr Medium Range Weather Forecasts, Reading, Berks, England; [Bernhard, G. H.] Biospher Instruments, San Diego, CA USA; [Berry, David I.; Smeed, David A.; Moat, Ben] Natl Oceanog Ctr, Southampton, Hants, England; Univ Buenos Aires, Fac Ciencias Exactas &amp; Nat, Dept Ciencias Atmosfera &amp; Oceanos, Buenos Aires, DF, Argentina; [Bhatt, U. S.; Kholodov, A. L.; Marchenko, S. S.; Romanovsky, Vladimir E.] Univ Alaska Fairbanks, Geophys Inst, Fairbanks, AK USA; Inst Uruguayo Meteorol, Montevideo, Uruguay; [Ricker, R.] Alfred Wegener Inst, Helmholtz Ctr Polar &amp; Marine Res, Potsdam, Germany; [Bissolli, Peter] Deutscher Wetterdienst, WMO RA VI Reg Climate Ctr Network, Offenbach, Germany; [Bjerke, J.; Fauchald, P.; Tommervik, H.] Norwegian Inst Nat Res, Tromso, Norway; [Blake, Eric S.; Landsea, Chris W.; Pasch, Richard J.] NOAA NWS Natl Hurricane Ctr, Miami, FL USA; [Bosilovich, Michael G.] NASA Goddard Space Flight Ctr, Global Modeling &amp; Assimilat Off, Greenbelt, MD USA; [Boucher, Olivier; Remy, Samuel] CNRS UPMC, Inst Pierre Simon Laplace, Paris, France; [Khan, M. S.] Inst Meteorol Cuba, Climate Ctr, Havana, Cuba; [Box, J. E.; van As, D.; Hansen, K.] Geol Survey Denmark &amp; Greenland, Copenhagen, Denmark; [Braathen, Geir O.] WMO Atmospher Environm Res Div, Geneva, Switzerland; [Phillips, David] Environm &amp; Climate Change Canada, Edmonton, AB, Canada; [Bromwich, David H.; Wang, Sheng-Hung] Ohio State Univ, Byrd Polar &amp; Climate Res Ctr, Columbus, OH USA; [Brown, R.; Mudryk, L.] Environm &amp; Climate Change Canada, Climate Res Div, Montreal, PQ, Canada; [Buehler, S.] Univ Hamburg, Hamburg, Germany; [Bulygina, Olga N.] Russian Inst Hydrometeorol Informat, Obninsk, Russia; [Burgess, D.] Geol Survey Canada, Ottawa, ON, Canada; [Camargo, Suzana J.; Tedesco, M.] Columbia Univ, Lamont Doherty Earth Observ, Palisades, NY USA; [Campbell, Jayaka D.; Stephenson, Tannecia S.; Taylor, Michael A.; Stephenson, Kimberly] Univ West Indies, Dept Phys, Kingston, Jamaica; [Cappelen, J.] Danish Meteorol Inst, Copenhagen, Denmark; RSMC La Reunion, Meteo France, La Reunion, France; [Carrea, Laura; Bellouin, Nicolas] Univ Reading, Dept Meteorol, Reading, Berks, England; [Carter, Brendan R.; Wang, M.; Wood, K.] Univ Washington, Joint Inst Study Atmosphere &amp; Ocean, Seattle, WA USA; [Carter, Brendan R.; Lyman, John M.; Overland, J.; Ladd, C.; Sutton, Adrienne J.] NOAA OAR Pacific Marine Environm Lab, Seattle, WA USA; [Chambers, Don P.; Mitchum, Gary T.] Univ S Florida, Coll Marine Sci, St Petersburg, FL USA; [Ganter, Catherine; Tobin, Skie] Bur Meteorol, Melbourne, Vic, Australia; [Cheng, Lijing] Chinese Acad Sci, Inst Atmospher Phys, Int Ctr Climate &amp; Environm Sci, Beijing, Peoples R China; [Lin, I-I] Natl Taiwan Univ, Taipei, Taiwan; [Christiansen, Hanne H.] Univ Ctr Svalbard, Dept Geol, Longyearbyen, Norway; [Christy, John R.] Univ Alabama Huntsville, Huntsville, AL USA; [Dorigo, Wouter A.; Reimer, Christoph; Wagner, Wolfgang; Scanlon, T.] Vienna Univ Technol, Dept Geodesy &amp; Geoinformat, Vienna, Austria; [Chung, E. -S.; Soden, B.] Univ Miami, Rosenstiel Sch Marine &amp; Atmospher Sci, Miami, FL USA; [Clem, Kyle R.] Victoria Univ Wellington, Sch Geography Environm &amp; Earth Sci, Wellington, New Zealand; [Coelho, Caio A. S.] CPTEC INPE, Ctr Weather Forecasts &amp; Climate Studies, Cachoeira Paulista, Brazil; [Coldewey-Egbers, Melanie; Loyola, Diego] German Aerosp Ctr DLR Oberpfaffenhofen, Wessling, Germany; [Colwell, Steve; Meredith, Michael P.; Sallee, Jean-Bapiste; Meijers, Andrew J. S.] British Antarctic Survey, Cambridge, England; [Cooper, Owen R.; Davis, Sean M.; Dutton, Geoff S.; Nerem, R. Steven; Miller, Ben] Univ Colorado Boulder, Cooperat Inst Res Environm Sci, Boulder, CO USA; [Copland, L.] Univ Ottawa, Dept Geography, Ottawa, ON, Canada; [de Eyto, Elvira] Marine Inst, Newport, Shrops, England; [de Jeu, Richard A. M.; van der Schalie, Robin; Paulik, Christoph] VanderSat BV, Haarlem, Netherlands; [de Laat, Jos; van der Schrier, Gerard; van der A, Ronald J.] Royal Netherlands Meteorol Inst KNMI, De Bilt, Netherlands; [DeGasperi, Curtis L.] King Cty Water &amp; Land Resources Div, Seattle, WA USA; [Degenstein, Doug; Roth, Chris] Univ Saskatchewan, Saskatoon, SK, Canada; [Demircan, M.; Sensoy, Serhat] Turkish State Meteorol Serv, Ankara, Turkey; [Derksen, C.] Environm &amp; Climate Change Canada, Climate Res Div, Toronto, ON, Canada; [Di Girolamo, Larry; Zhao, Guanguo] Univ Illinois, Urbana, IL USA; [Diamond, Howard J.] NOAA OAR Air Resources Lab, Silver Spring, MD USA; [Dhurmea, R.] Mauritius Meteorological Serv, Vacoas, Mauritius; [Dohan, Kathleen] Earth &amp; Space Res, Seattle, WA USA; [Dokulil, Martin T.] Univ Innsbruck, Res Inst Limnology, Mondsee, Austria; [Dolman, A. Johannes] Vrije Univ Amsterdam, Dept Earth Sci Earth &amp; Climate Cluster, Amsterdam, Netherlands; [Domingues, Catia M.] Univ Tasmania, Inst Marine &amp; Antarctic Studies, Hobart, Tas, Australia; [Domingues, Catia M.] Antarctic Climate &amp; Ecosyst Cooperat Res Ctr, Hobart, Tas, Australia; [Donat, Markus G.; Perkins-Kirkpatrick, Sarah E.] Univ New S Wales, Climate Change Res Ctr, Sydney, NSW, Australia; [Dong, Shenfu] Cooperat Inst Marine &amp; Atmospher Sci, Miami, FL USA; [Drozdov, D. S.; Malkova, G. V.] Earth Cryosphere Inst, Tumen, Russia; [Drozdov, D. S.; Malkova, G. V.] Tyumen State Oil &amp; Gas Univ, Tyumen, Russia; [ElKharrim, M.] Direction Meteorol Natl Maroc, Rabat, Morocco; [Epstein, H. E.; Dickerson, C.] Univ Virginia, Dept Environm Sci, Charlottesville, VA USA; [Espinoza, Jhan C.; Martinez, Alejandra G.; Mosquera-Vasquez, Kobi] Inst Geofisico Peru, Lima, Peru; Meteorol Dept St Maarten, St Maarten, Netherlands; [Famiglietti, James S.; Froidevaux, Lucien; Wiese, David N.; Willis, Josh K.] CALTECH, Jet Propulsion Lab, Pasadena, CA USA; [Farrell, S.; Reagan, James] Univ Maryland, Earth Syst Sci Interdiscipl Ctr, College Pk, MD USA; [Li, Bailing] Islamic Republic Iranian Meteorol, Tehran, Iran; [Fausto, R. S.] Geolog Survey Denmark &amp; Greenland, Copenhagen, Denmark; [Feng, Z.] FCSD ASGC Pacific Northwest Natl Lab, Richland, WA USA; [Fettweis, X.] Univ Liege, Liege, Belgium; Univ Alberta, Dept Renewable Resources, Edmonton, AB, Canada; [Fogt, Ryan L.] Ohio Univ, Dept Geography, Athens, OH USA; [Folland, Chris] Univ East Anglia, Sch Environm Sci, Norwich, Norfolk, England; [Folland, Chris] Univ Southern Queensland, Int Ctr Appl Climate Sci, Toowoomba, Qld, Australia; [Forbes, B. C.] Univ Lapland, Arctic Ctr, Rovaniemi, Finland; [Francis, S. D.] Nigerian Meteorol Agcy, Natl Weather Forecast &amp; Climate Res Ctr, Abuja, Nigeria; [Franz, Bryan A.; Frith, Stacey M.; Meier, W.; Newman, Paul A.; Ziemke, Jerry R.; Karakoylu, Erdem M.; Luthcke, S.; Pinzon, J.; Tucker, C. J.; Webster, M.] NASA Goddard Space Flight Ctr, Greenbelt, MD USA; [Frith, Stacey M.; Sawaengphokhai, P.; Sun-Mack, Sunny; Wilber, Anne C.] Sci Syst &amp; Appl Inc, Greenbelt, MD USA; [Gerland, S.] Norwegian Polar Res Inst, Fram Ctr, Tromso, Norway; [Gilson, John; Lankhorst, Matthias; Mazloff, Matthew; Muehle, Jens; Send, Uwe; Purkey, Sarah G.] Univ Calif San Diego, Scripps Inst Oceanog, La Jolla, CA USA; [Gobron, Nadine; Pinty, Bernard] European Commiss, Joint Res Ctr, Ispra, Italy; Japan Meteorol Agcy, Tokyo, Japan; [Vincent, Lucie A.; Whitewood, Robert; Isaac, Victor] Environm &amp; Climate Change Canada, Toronto, ON, Canada; [Grooss, J. -U.; Mueller, R.] Forschungszentrum Julich, Julich, Germany; [Guard, Charles] NOAA NWS Weather Forecast Off, Mangilao, GU USA; [Gupta, S. K.] Sci Syst &amp; Applicat Inc, Hampton, VA USA; [Gutierrez, J. M.] CSIC Univ Cantabria, Inst Fis Cantabria, Santander, Spain; [Haas, C.; Krumpen, T.] Alfred Wegener Inst, Bremerhaven, Germany; [Haas, C.] York Univ, Earth &amp; Space Sci &amp; Engn, Toronto, ON, Canada; [Hagos, S.] Pacific Northwest Natl Lab, FCSD ASGC Climate Phys Grp, Richland, WA USA; [Haimberger, Leo; Mayer, Michael; Schenzinger, Verena] Univ Vienna, Dept Meteorol &amp; Geophys, Vienna, Austria; [Hamlington, Benjamin D.] Old Dominion Univ, Ctr Coastal Phys Oceanography, Norfolk, VA USA; [Hanna, E.] Univ Sheffield, Dept Geography, Sheffield, S Yorkshire, England; [Hanssen-Bauer, I] Norwegian Meteorol Inst, Blindern, Oslo, Norway; NOAA NMFS Northeast Fisheries Sci Ctr, Woods Hole, MA USA; [Harris, Ian] Univ East Anglia, Natl Ctr Atmospheric Sci, Norwich, NY USA; [Harris, Ian; Osborn, Tim J.] Univ East Anglia, Climatic Res Unit, Sch Environm Sci, Norwich, NY USA; [Heidinger, Andrew K.] NOAA NESDIS STAR Univ Wisconsin Madison, Madison, WI USA; [Heim, Richard R., Jr.] NOAA NESDIS Natl Ctr, Asheville, NC USA; [Hendricks, S.] Alfred Wegener Inst, Bremerhaven, Germany; [Hernandez, Marieta] Climate Ctr, Inst Meteorol, Havana, Cuba; [Hernandez, Rafael] Inst Nacl Meteorol &amp; Hidrolog Venezuela, Caracas, Venezuela; [Ho, Shu-peng] Univ Corp Atmospheric Res, COSMIC Project Off, Boulder, CO USA; [Hobbs, William R.] Univ Tasmania, Antarctic Climate &amp; Ecosystems, Hobart, Tas 7001, Australia; [Wang, Junhong] SUNY Albany, Albany, NY USA; [Ialongo, I.; Luojus, K.; Sofieva, Viktoria] Finnish Meteorolog Inst, Helsinki, Finland; [Ijampy, J. A.] Nigerian Meteorol Agcy, Abuja, Nigeria; [Inness, Antje] European Ctr Medium Range, Reading, Berks, England; [Isaksen, K.] Norwegian Meteorolog Inst, Oslo, Norway; [Ishii, Masayoshi] Japan Meteorolog Agcy, Climat Res Dept, Meteorolog Res Inst, Tsukuba, Ibaraki, Japan; [Jimenez, C.] Estellus, Paris, France; [Jimenez, C.] PSL Res Univ, LERMA, Observatoire Paris, Paris, France; [Jin Xiangze; Weller, Robert A.; Yu, Lisan] Woods Hole Oceanog Inst, Woods Hole, MA USA; [John, Viju] EUMETSAT, Darmstadt, Germany; [Johns, William E.] Rosenstiel Sch Marine &amp; Atmospher Sci, Miami, FL USA; [Johnsen, B.] Norwegian Radiat Protect Authority, Osteras, Norway; [Johnson, Bryan; Petropavlovskikh, Irina] NOAA OAR Earth System Res Lab, Global Monitoring Div, Boulder, CO USA; [Johnson, Bryan; Petropavlovskikh, Irina] Univ Colorado Boulder, Boulder, CO USA; [Johnson, Kenneth S.] Monterey Bay Aquarium Res Inst, Moss Landing, CA USA; [Jones, Philip D.] Univ East Anglia, Climat Res Unit, Sch Environm Sci, Norwich, Norfolk, England; [Jumaux, Guillaume] Meteo France, Direct Interreg Ocean Indien, St Denis, Reunion, France; [Kabidi, Khadija; Sayouri, Amal] Direct Meteorolog Natl Maroc, Rabat, Morocco; [Kaiser, J. W.] Max Planck Inst Chem, Mainz, Germany; California Inst Technol, Jet Propulsion Lab, Pasadena, CA USA; [Kazemi, A.] Islamic Republic Iran Meteorolog Org, Tehran, Iran; Ethiopian Meteorolog Agcy, Addis Ababa, Ethiopia; [Keller, Linda M.; Phillips, C.] Univ Wisconsin Madison, Dept Atmospheric &amp; Oceanic Sci, Madison, WI USA; Study Environm Arctic Change SEARCH, Fairbanks, AK USA; [Walsh, J.; Wolken, G.] Univ Alaska Fairbanks, Int Arctic Res Ctr, Fairbanks, AK USA; Ctr Blue Economy, Middlebury Inst Int Studies, Monterey, CA USA; [Kim, Hyungjun] Univ Tokyo, Inst Ind Sci, Tokyo 1138654, Japan; [Kim, S. -J.] Korea Polar Res Inst, Incheon, South Korea; [Klotzbach, Philip J.] Colorado State Univ, Dept Atmospher Sci, Ft Collins, CO USA; [Knaff, John A.] NOAA NESDIS Ctr Satellite Applicat &amp; Res, Ft Collins, CO USA; [Kohler, J.] Norwegian Polar Res Inst, Tromso, Norway; [Korhonen, Johanna] Finnish Environm Inst SYKE, Freshwater Ctr, Helsinki, Finland; [Korshunova, Natalia N.] World Data Ctr, All Russian Res Inst Hydrometeorol Informat, Obninsk, Russia; [Kramarova, Natalya; Nash, Eric R.; Coy, Lawrence] NASA Goddard Space Flight Ctr, Sci Syst &amp; Applicat Inc, Greenbelt, MD USA; [Kruger, Andries; McBride, Charlotte] South African Weather Serv, Pretoria, South Africa; [Kruk, Michael C.; Yin, Xungang] NOAA NESDIS Natl Environm Informat, ERT Inc, Asheville, NC USA; [Lakatos, M.] Hungarian Meteorol Serv, Climatol Div, Budapest, Hungary; [Lakkala, K.] Finnish Meteorol Inst, Arctic Res Ctr, Sodankyla, Finland; Arctic Portal, Akureyri, Iceland; [Lander, Mark A.] Univ Guam, Mangilao, GU USA; [Landschuetzer, Peter] Max Planck Inst Meteorol, Hamburg, Germany; [Lazzara, Matthew A.; Menzel, W. Paul; Costanza, Carol] Univ Wisconsin, Space Sci &amp; Engn Ctr, Madison, WI 53706 USA; [Lazzara, Matthew A.] Madison Area Tech Coll, Dept Phys Sci, Sch Arts &amp; Sci, Madison, WI USA; [Leuliette, Eric] NOAA, NWS NCWCP Lab Satellite Altimetry, College Pk, MD USA; Open Univ, Sch Phys Sci, Fac Sci Technol Engn &amp; Math, Milton Keynes, Bucks, England; [Lieser, Jan L.] Univ Tasmania, Antarctic Climate &amp; Ecosyst Cooperat Res Ctr, Hobart, Tas, Australia; [Liu, Hongxing] Univ Cincinnati, Dept Geog, Cincinnati, OH 45221 USA; [Locarnini, Ricardo; Reagan, James; Sanchez-Lugo, Ahira; Shi, Lei; Smith, Adam; Vose, Russell S.] NOAA NESDIS Natl Ctr Environm Informat, Silver Spring, MD USA; [Long, Craig S.; Xue, Yan] NOAA NWS Natl Ctr Environm Predict, College Pk, MD USA; Colgate Univ, Dept Geog, Hamilton, NY USA; [Lorrey, Andrew M.; Mullan, A. Brett; Pearce, Petra R.; Noll, Ben E.] Natl Inst Water &amp; Atmospher Res Ltd, Auckland, New Zealand; [Luo, Jing-Jia; Reid, Phillip; Trewin, Blair C.] Australian Bur Meteorol, Melbourne, Vic, Australia; [Lyman, John M.; Merrifield, Mark A.; Thompson, Philip R.; Widlansky, Matthew J.] Univ Hawaii, Joint Inst Marine &amp; Atmospher Res, Honolulu, HI USA; [Verburg, Piet] Natl Inst Water &amp; Atmospher Res, Wellington, New Zealand; [Macias-Fauria, M.] Univ Oxford, Sch Geog &amp; Environm, Oxford, England; [Manney, G.] New Mexico Inst Mining &amp; Technol, Socorro, NM USA; [Manney, G.] NorthWest Res Ass, Socorro, NM USA; [Marengo, Jose A.] Ctr Nacl Monitoramento Alertas Desastres Nat, Cachoeira Paulista, SP, Brazil; [Marszelewski, Wlodzimierz] Nicolaus Copernicus Univ, Dept Hydrol &amp; Water Management, Torun, Poland; [Martens, B.; Miralles, Diego G.] Univ Ghent, Lab Hydrol &amp; Water Management, Ghent, Belgium; [Martinez-Gueingla, Rodney; Nieto, Juan Jose; Zambrano, Eduardo] Ctr Int Invest Fenomeno El Nino, Guayaquil, Ecuador; [Massom, Robert A.] Univ Tasmania, Antarctic Climate &amp; Ecosystems Cooperat Res Ctr, Hobart, Tas, Australia; [Massom, Robert A.] Univ Tasmania, Australian Antarctic Div, Hobart, Tas, Australia; [Osborne, Emily] NOAA, OAR Arctic Res Program, Silver Spring, MD USA; [May, Linda] Ctr Ecol &amp; Hydrol, Edinburgh, Midlothian, Scotland; [McCabe, M. F.] King Abdullah Univ Sci &amp; Technol, Div Biol &amp; Environm Sci &amp; Engn, Water Desalinat &amp; Reuse Ctr, Thuwal, Saudi Arabia; [Rayner, Darren] Natl Oceanog Ctr, Southampton, Hants, England; [Jacobs, Stephanie J.] Bur Meteorol, Melbourne, Vic, Australia; [McVicar, Tim R.] CSIRO Land &amp; Water Flagship, Canberra, ACT, Australia; [McVicar, Tim R.] Australian Capital Territory, Sydney, NSW, Australia; [McVicar, Tim R.] Australian Res Council, Ctr Excellence Climate Syst Sci, Sydney, NSW, Australia; [Mears, Carl A.] Remote Sensing Syst, Santa Rosa, CA USA; [Mekonnen, A.] North Carolina A&amp;T State Univ, Dept Energy &amp; Environm Syst, Greensboro, NC USA; [Mengistu Tsidu, G.] Botswana Int Univ Sci &amp; Technol, Dept Earth &amp; Environm Sci, Palapye, Botswana; [Mengistu Tsidu, G.] Addis Ababa Univ, Dept Phys, Addis Ababa, Ethiopia; Univ Reading, Natl Ctr Earth Observat, Reading RG6 2AH, Berks, England; [Woolway, R. Iestyn] Univ Reading, Dept Meteorol, Reading RG6 2AH, Berks, England; Earth Observing Data Ctr GmbH, Vienna, Austria; [Mitro, Srkani] Meteorol Serv Suriname, Paramaribo, Suriname; [Monselesan, Didier; Wijffels, Susan E.] CSIRO Oceans &amp; Atmos, Hobart, Tas, Australia; [Mote, T.] Univ Georgia, Dept Geog, Athens, GA 30602 USA; [Newman, Louise] Univ Tasmania, Inst Marine &amp; Antarctic Studies, SOOS Int Project Off, Hobart, Tas 7001, Australia; [Noetzli, Jeannette] WSL Inst Snow &amp; Avalanche Res, Davos, Switzerland; [O'Neel, S.] USGS, Alaska Sci Ctr, Anchorage, AK USA; [Oyunjargal, Lamjav] Natl Agcy Meteorol, Inst Meteorol &amp; Hydrol, Hydrol &amp; Environ Monitoring, Ulan Bator, Mongolia; [Park, E-hyung; Lee, S. -E] Korea Meteorol Adm, Seoul, South Korea; [Pascual-Ramirez, Reynaldo; Albanil, Encarnacion Adelina] Natl Meteorol Serv Mexico, Mexico City, DF, Mexico; [Paterson, Andrew M.; Rusak, James A.] Ontario Ministry Environ &amp; Climate Change, Dorset Environ Sci Ctr, Dorset, ON, Canada; [Sallee, Jean-Bapiste] Sorbonne Univ, LOCEAN IPSL, CNRS IRD MNHN, Paris, France; [Pelto, Mauri S.] Nichols Coll, Dudley, MA USA; [Perovich, D.; Polashenski, C.] USACE, ERDC, Cold Reg Res &amp; Engn Lab, Hanover, NH USA; [Perovich, D.; Polashenski, C.] Dartmouth Coll, Thayer Sch Eng, Hanover, NH USA; [Pezza, Alexandre B.] Greater Wellington Reg Council, Wellington, New Zealand; [Phoenix, G.] Univ Sheffield, Dept Anim &amp; Plant Sci, Sheffield S10 2TN, S Yorkshire, England; Agencia Estatal Meteorol, Santander, Spain; Cayman Isl Natl Weather Serv, Grand Cayman, Cayman Islands; Direcc Meteorol Chile, Santiago, Chile; Atmospher Sci &amp; Meteorol Res Ctr, Tehran, Iran; [Rajeevan, Madhavan] Minist Earth Sci, Earth System Sci Org, New Delhi, India; [Raynolds, M. K.; Walker, D. A.] Univ Alaska Fairbanks, Inst Arct Biol, Fairbanks, AK 99701 USA; All Russian Res Inst Hydrometeorol Informat, Obninsk, Russia; Univ Oxford, Dept Phys, Oxford OX1 2JD, England; [Reid, Phillip] CAWRC, Hobart, Tas, Australia; [Reimer, Christoph] EODC, Vienna, Austria; Victoria Univ Wellington, Wellington, New Zealand; [Revadekar, Jayashree V.] Indian Inst Trop Meteorol, Pune, Maharashtra, India; [Richter-Menge, J.] Univ Alaska Fairbanks, Fairbanks, AK USA; [Rimmer, Alon] Israel Oceanog &amp; Limnol Res, Yigal Allon Kinneret Limnol Lab, Migdal, Israel; [Robinson, David A.] Rutgers State Univ, Dept Geog, Piscataway, NJ 08855 USA; [Rodell, Matthew] NASA Goddard Space Flight Ctr, Hydrol Sci Lab, Greenbelt, MD USA; [Li, Bailing; Rosner, Benjamin] Univ Marburg, Fac Geog, Lab Climatol Remote Sensing, Marburg, Germany; [Romanovsky, Vladimir E.] Tyumen State Univ, Tyumen, Russia; [Ronchail, Josyane] Univ Paris Diderot, Lab LOCEAN IPSL, Paris, France; Stockholm Univ MISU, Dept Meteorol, Stockholm, Sweden; [Santee, Michelle L.] NASA Jet Propuls Lab, Pasadena, CA USA; Princeton Univ, Atmospher &amp; Ocean Sci Program, Princeton, NJ USA; [Scambos, Ted A.] Univ Colorado Boulder, Natl Snow &amp; Ice Data Ctr, Boulder, CO USA; [Schladow, S. Geoffrey; Watanabe, Shohei] Univ Calif Davis, Tahoe Environm Res Ctr, Davis, CA USA; [Schmid, Martin] Swiss Federal Inst Aquat Sci &amp; Technol, Eawag, Kastanienbaum, Switzerland; Univ Grenoble Alpes, Inst Geog Alpine, Grenoble, France; [Schreck, Carl J., III] N Carolina State Univ, Cooperat Inst Climate &amp; Satellites, Asheville, NC USA; [Schuur, Ted; Richardson, A. D.] No Arizona Univ, Ctr Ecosystem Sci &amp; Soc, Flagstaff, AZ 86011 USA; [Selkirk, H. B.; Strahan, Susan] NASA Goddard Space Flight Ctr, Univ Space Res Assoc, Greenbelt, MD USA; [Sharp, M.] Univ Alberta, Dept Earth &amp; Atmospher Sci, Edmonton, AB, Canada; [Shiklomanov, Nikolai I.; Streletskiy, Dimitri A.] George Washington Univ, Dept Geog, Washington, DC 20052 USA; [Shimaraeva, Svetlana V.; Silow, Eugene; TImofeyev, Maxim A.] Irkutsk State Univ, Inst Biol, Irkutsk 664003, Russia; [Siegel, David A.] Univ Calif Santa Barbara, Santa Barbara, CA USA; [Signorini, Sergio R.; Karakoylu, Erdem M.] Sci Applicat Int Corp, Beltsville, MD USA; [Sima, Fatou] Dept Water Resources, Div Meteorol, Banjul, Gambia; [Smeets, C. J. P. P.; van de Wal, R. S. W.] Univ Utrecht, Inst Marine &amp; Atmospher Res Utrecht, Utrecht, Netherlands; [Smith, Sharon L.] Nat Resources Canada, Geol Survey Canada, Ottawa, ON, Canada; [Spence, Jaqueline M.] Meteorol Serv, Kingston, Jamaica; [Srivastava, A. K.] Indian Meteorol Dept, Jaipur, Rajasthan, India; [Stammerjohn, Sharon] Univ Colorado Boulder, Inst Arctic &amp; Alpine Res, Boulder, CO USA; [Steinbrecht, Wolfgang] German Weather Serv DWD, Hohenpeissenberg, Germany; [Stella, Jose L.; Aldeco, Laura S.] Serv Meteorol Nacl, Buenos Aires, DF, Argentina; [Swart, Sebastiaan] CSIR Southern Ocean Carbon &amp; Climate Observ, Stellenbosch, South Africa; [Sweet, William] NOAA NOS Ctr Operat Oceanog Products &amp; Serv, Silver Spring, MD USA; [Tamar, Gerard] Grenada Airports Author, St Georges, Grenada; [Tedesco, M.] NASA Goddard Inst Space Studies, New York, NY USA; [Thoman, R. L.] NOAA Natl Weather Serv, Fairbanks, AK USA; [Thompson, L.] Simon Fraser Univ, Dept Earth Sci, Burnaby, BC, Canada; [Timmermans, M. -L.] Yale Univ, New Haven, CT USA; [Trinanes, Joaquin A.] Univ Santiago Compostela, Lab Syst, Technol Res Inst, Santiago De Compostela, Spain; [Trachte, Katja] Philipps Univ, Lab Climatol &amp; Remote Sensing, Marburg, Germany; [Trotman, Adrian R.; van Meerbeeck, Cedric J.] Caribbean Inst Meteorol &amp; Hydrol, Bridgetown, Barbados; [Tschudi, M.] Univ Colorado Boulder, Aerospace Engn Sci, Boulder, CO USA; Johns Hopkins Univ, Baltimore, MD USA; [van der Werf, Guido R.] Vrije Univ Amsterdam, Fac Earth &amp; Life Sci, Amsterdam, Netherlands; [Velicogna, I.] Univ Calif Irvine, Irvine, CA 92717 USA; Univ Lisbon, Inst Geog &amp; Ordenamento Territorio, P-1699 Lisbon, Portugal; [Voemel, Holger] Natl Ctr Atmospher Res, Earth Observing Lab, Boulder, CO USA; [Wang, Bin] Univ Hawaii, SOEST, Dept Meteorol, Honolulu, HI USA; [Wang, Bin] IPRC, Honolulu, HI USA; [Wang, Chunzai] South China Sea Inst Oceanol, State Key Lab Trop Oceanog, Guangzhou, Guangdong, Peoples R China; [Wang, Lei] Louisiana State Univ, Dept Geog &amp; Anthropol, Baton Rouge, LA USA; [Weber, Mark] Univ Bremen, Bremen, Germany; Uppsala Univ, Dept Ecol &amp; Genet Limnol, Uppsala, Sweden; [Wild, Jeanette D.] NOAA Climate Predict Ctr, INNOVIM, College Pk, MD USA; St Lucia Meteorol Serv, St Lucia, Qld, Australia; [Wouters, B.] Univ Bristol, Sch Geog Sci, Bristol BS8 1TH, Avon, England; [Zhang, Peiqun] Beijing Climate Ctr, Beijing, Peoples R China; [Zhao, Lin] Cold &amp; Arid Reg Environm &amp; Engn Res Inst, Lanzhou, Gansu, Peoples R China; [Ziemke, Jerry R.] Morgan State Univ, Goddard Earth Sci Technol &amp; Res, Baltimore, MD USA; [Aliaga-Nestares, Vannia; Avalos, Grinia; Castro, Anabel; Cruzado, Luis; Lavado-Casimiro, Waldo; Marin, Dora; Quispe, Nelson; Takahashi, Kenneth S.] Serv Nacl Meteorol &amp; Hidrol Peru, Lima, Peru; [Anderson, John] Hampton Univ, Dept Atmospher &amp; Planetary Sci, Hampton, VA 23668 USA; [Armitage, C.] Woodland Trust, Grantham, England; [Behe, Carolina] Inuit Circumpolar Council Alaska, Anchorage, AK USA; [Blenkinsop, Stephen] Newcastle Univ, Sch Engn, Newcastle Upon Tyne, Tyne &amp; Wear, England; [Bolmgren, K.] Swedish Univ Agr Sci, Uppsala, Sweden; [Bouchon, Marilu] Inst Mar Peru, Callao, Peru; [Campbell, Ethan C.] Univ Washington, Sch Oceanog, Seattle, WA 98195 USA; [Covey, Curt; Po-Chedley, S.] Lawrence Livermore Natl Lab, Livermore, CA USA; [Covey, Curt] US Geol Survey, 959 Natl Ctr, Reston, VA 22092 USA; [Daniel, Raychelle] Pew Charitable Trusts, Washington, DC USA; [De La Cour, Jacqueline L.; Eakin, C. Mark; Geiger, Erick F.; Gomez, Andrea M.; Heron, Scott F.; Marsh, Benjamin L.; Skirving, William J.; Strong, Alan E.; Tirak, Kyle, V] NOAA NESDIS Coral Reef Watch, College Pk, MD USA; [De La Cour, Jacqueline L.; Geiger, Erick F.; Strong, Alan E.] Global Sci &amp; Technol Inc, Greenbelt, MD USA; [Deline, P.] Univ Savoie Mont Blanc, EDYTEM Lab, Chambery, France; [Dewitte, Boris] Ctr Estudios Avanzado Zonas Aridas, Coquimbo, Chile; [Dewitte, Boris] Univ Catolica Norte, Coquimbo, Chile; [Dewitte, Boris] Lab Etud Geophys &amp; Oceanog Spatiales, Toulouse, France; [Domingues, Ricardo] Univ Miami, Cooperat Inst Marine &amp; Atmospher Studies, Miami, FL USA; [Farmer, J.] Princeton Univ, Dept Geosci, Princeton, NJ 08544 USA; [Gomez, Andrea M.] Ecosyst Sci Lab, New York, NY USA; [Gomez, Andrea M.] NOAA CREST, New York, NY USA; [Gugliemin, Mario] Insubria Univ, Dept Theoret &amp; Appl Sci, Varese, Italy; [Hartfield, G.] NOAA NWS Weather Forecast Off, Raleigh, NC USA; [Helfrich, S.] NOAA NESDIS Ctr Satellite Applicat &amp; Res, College Pk, MD USA; [Hemming, D. L.] Univ Birmingham, Birmingham Inst Forest Res, Birmingham, W Midlands, England; [Heron, Scott F.; Marsh, Benjamin L.; Skirving, William J.] ReefSense Pty Ltd, Townsville, Qld, Australia; [Heuze, C.] Univ Gothenburg, Dept Marine Sci, Gothenburg, Sweden; [Horstkotte, T.] Umea Univ, Dept Ecol &amp; Environm Sci, Umea, Sweden; [Hubert, Daan] Royal Belgian Inst Space Aeron BIRA, Brussels, Belgium; [Hueuze, Celine] Univ Gothenburg, Dept Marine Sci, Gothenburg, Sweden; [Ibrahim, M. M.; Sayad, T. A.] Al Azhar Univ, Dept Meteorol, Cairo, Egypt; [Jeffries, Martin O.] Off Naval Res, Arlington, VA USA; [Lee, T. C.] Hong Kong Observ, Hong Kong, Peoples R China; [Li, Tim] Univ Hawaii, Dept Atmospher Sci, Honolulu, HI 96822 USA; [Marcellin, Vernie] Dominica Meteorol Serv, Canefield, Dominica; [Martin, A.] Univ Oxford, Dept Zool, Oxford, England; [Martinez-Sanchez, Odalys] NOAA NWS San Juan, San Juan, PR USA; [Mochizuki, Y.; Togawa, H.] Japan Meteorol Agcy, Tokyo Climate Ctr, Tokyo, Japan; [Nielsen-Gammon, John W.] Texas A&amp;M Univ, College Stn, TX USA; [Pastor, Saavedra Maria Asuncion; Rodriguez, Camino Ernesto] Agencia Estatal Meteorol, Madrid, Spain; [Peltier, Alexandre] Meteo France Nouvelle Caledonie, Noumea, New Caledonia; [Rakotoarimalala, C.] Madagascar Meteorol Serv, Antananarivo, Madagascar; [Richardson, A. D.] No Arizona Univ, Sch Informat Comp &amp; Cyber Syst, Flagstaff, AZ USA; [Roth, David Mark] NOAA NWS Weather Predict Ctr, College Pk, MD USA; [Rutishauser, T.] Swiss Acad Arts &amp; Sci, Bern, Switzerland; [Sasgen, L.] Alfred Wegener Inst, Climate Sci Dept, Bremerhaven, Germany; [Sparks, T. H.] Coventry Univ, Coventry, W Midlands, England; [Spillane, Sandra] Irish Meteorol Serv, Met Eireann, Dublin, Ireland; [Stengel, M.] Deutsch Wetterdienst, Offenbach, Germany; [Thackeray, S. J.] Ctr Ecol &amp; Hydrol, Lancaster, England; [Thomson, LThorsteinsson T.] Iceland Meteorol Off, Reykjavik, Iceland; [Timbal, Bertrand] Singapore Meteorol Serv, Singapore, Singapore; [Tourpali, Kleareti] Aristotle Univ Thessaloniki, Thessaloniki, Greece; [Tye, Mari R.] Natl Ctr Atmospher Res, Capac Ctr Climate &amp; Weather Extremes C3WE, POB 3000, Boulder, CO 80307 USA; [Vickers, H.] Norut Northern Res Inst, Tromso, Norway; [Yoon, Huang] Univ Hawaii, Dept Oceanog, Honolulu, HI 96822 USA; [York, A.; Ziel, R.] Univ Alaska Fairbanks, Alaska Fire Sci Consortium, Int Arctic Res Ctr, Fairbanks, AK USA; [Zhu, Zhiwei] Nanjing Univ Informat Sci &amp; Technol, Nanjing, Jiangsu, Peoples R China</t>
  </si>
  <si>
    <t>National Oceanic Atmospheric Admin (NOAA) - USA; Met Office - UK; Hadley Centre; University of Wisconsin System; University of Wisconsin Madison; University System of Maryland; University of Maryland College Park; Universidad Costa Rica; Universidad Costa Rica; University of Reading; Instituto Nacional de Pesquisas Espaciais (INPE); Norwegian Water Resources &amp; Energy Directorate; Egyptian Meteorological Authority; University of Gothenburg; Universidad Austral de Chile; Pontificia Universidad Catolica de Valparaiso; National Oceanic Atmospheric Admin (NOAA) - USA; Atlantic Oceanographic &amp; Meteorological Laboratory (AOML); Princeton University; Deutscher Wetterdienst; National Aeronautics &amp; Space Administration (NASA); NASA Langley Research Center; Oregon State University; European Centre for Medium-Range Weather Forecasts (ECMWF); NERC National Oceanography Centre; University of Buenos Aires; University of Alaska System; University of Alaska Fairbanks; Helmholtz Association; Alfred Wegener Institute, Helmholtz Centre for Polar &amp; Marine Research; Deutscher Wetterdienst; Norwegian Institute Nature Research; National Oceanic Atmospheric Admin (NOAA) - USA; National Hurricane Center, NOAA; National Aeronautics &amp; Space Administration (NASA); NASA Goddard Space Flight Center; Sorbonne Universite; Universite Paris Saclay; Centre National de la Recherche Scientifique (CNRS); CNRS - National Institute for Earth Sciences &amp; Astronomy (INSU); Universite Paris Cite; Geological Survey Of Denmark &amp; Greenland; Environment &amp; Climate Change Canada; University System of Ohio; Ohio State University; Environment &amp; Climate Change Canada; University of Hamburg; Natural Resources Canada; Lands &amp; Minerals Sector - Natural Resources Canada; Geological Survey of Canada; Columbia University; University West Indies Mona Jamaica; Danish Meteorological Institute DMI; University of Reading; University of Washington; University of Washington Seattle; State University System of Florida; University of South Florida; Bureau of Meteorology - Australia; Chinese Academy of Sciences; Institute of Atmospheric Physics, CAS; National Taiwan University; University Centre Svalbard (UNIS); University of Alabama System; University of Alabama Huntsville; Technische Universitat Wien; University of Miami; Victoria University Wellington; Instituto Nacional de Pesquisas Espaciais (INPE); Helmholtz Association; German Aerospace Centre (DLR); UK Research &amp; Innovation (UKRI); Natural Environment Research Council (NERC); NERC British Antarctic Survey; University of Colorado System; University of Colorado Boulder; University of Ottawa; Royal Netherlands Meteorological Institute; University of Saskatchewan; Ministry of Forestry &amp; Water Affairs - Turkey; Environment &amp; Climate Change Canada; University of Illinois System; University of Illinois Urbana-Champaign; University of Innsbruck; Vrije Universiteit Amsterdam; University of Tasmania; Antarctic Climate &amp; Ecosystems Cooperative Research Centre (ACE CRC); University of New South Wales Sydney; Tyumen Industrial University; University of Virginia; National Aeronautics &amp; Space Administration (NASA); NASA Jet Propulsion Laboratory (JPL); California Institute of Technology; University System of Maryland; University of Maryland College Park; Geological Survey Of Denmark &amp; Greenland; University of Liege; University of Alberta; University System of Ohio; Ohio University; University of East Anglia; University of Southern Queensland; University of Lapland; National Aeronautics &amp; Space Administration (NASA); NASA Goddard Space Flight Center; Norwegian Polar Institute; University of California System; University of California San Diego; Scripps Institution of Oceanography; European Commission Joint Research Centre; EC JRC ISPRA Site; Japan Meteorological Agency; Environment &amp; Climate Change Canada; Helmholtz Association; Research Center Julich; National Oceanic Atmospheric Admin (NOAA) - USA; Science Systems and Applications Inc; Consejo Superior de Investigaciones Cientificas (CSIC); Universidad de Cantabria; CSIC - Instituto de Fisica de Cantabria (IFCA); Helmholtz Association; Alfred Wegener Institute, Helmholtz Centre for Polar &amp; Marine Research; York University - Canada; United States Department of Energy (DOE); Pacific Northwest National Laboratory; University of Vienna; Old Dominion University; University of Sheffield; Norwegian Meteorological Institute; Helmholtz Association; Alfred Wegener Institute, Helmholtz Centre for Polar &amp; Marine Research; National Center Atmospheric Research (NCAR) - USA; University of Tasmania; State University of New York (SUNY) System; State University of New York (SUNY) Albany; Finnish Meteorological Institute; Norwegian Meteorological Institute; Japan Meteorological Agency; Sorbonne Universite; Universite PSL; Observatoire de Paris; Woods Hole Oceanographic Institution; European Organisation for the Exploitation of Meteorological Satellites; University of Colorado System; University of Colorado Boulder; Monterey Bay Aquarium Research Institute; University of East Anglia; Meteo France; Max Planck Society; California Institute of Technology; National Aeronautics &amp; Space Administration (NASA); NASA Jet Propulsion Laboratory (JPL); University of Wisconsin System; University of Wisconsin Madison; University of Alaska System; University of Alaska Fairbanks; University of Tokyo; Korea Polar Research Institute (KOPRI); Colorado State University; National Oceanic Atmospheric Admin (NOAA) - USA; Norwegian Polar Institute; Finnish Environment Institute; National Aeronautics &amp; Space Administration (NASA); NASA Goddard Space Flight Center; Science Systems and Applications Inc; South African Weather Service (SAWS); Finnish Meteorological Institute; University of Guam; Max Planck Society; University of Wisconsin System; University of Wisconsin Madison; National Oceanic Atmospheric Admin (NOAA) - USA; Open University - UK; University of Tasmania; Antarctic Climate &amp; Ecosystems Cooperative Research Centre (ACE CRC); University System of Ohio; University of Cincinnati; National Oceanic Atmospheric Admin (NOAA) - USA; Colgate University; National Institute of Water &amp; Atmospheric Research (NIWA) - New Zealand; Bureau of Meteorology - Australia; University of Hawaii System; National Institute of Water &amp; Atmospheric Research (NIWA) - New Zealand; University of Oxford; New Mexico Institute of Mining Technology; Nicolaus Copernicus University; Ghent University; University of Tasmania; University of Tasmania; Australian Antarctic Division; National Oceanic Atmospheric Admin (NOAA) - USA; UK Centre for Ecology &amp; Hydrology (UKCEH); King Abdullah University of Science &amp; Technology; NERC National Oceanography Centre; Bureau of Meteorology - Australia; Commonwealth Scientific &amp; Industrial Research Organisation (CSIRO); University of North Carolina; North Carolina A&amp;T State University; Addis Ababa University; UK Research &amp; Innovation (UKRI); Natural Environment Research Council (NERC); NERC National Centre for Earth Observation; University of Reading; University of Reading; Commonwealth Scientific &amp; Industrial Research Organisation (CSIRO); University System of Georgia; University of Georgia; University of Tasmania; Swiss Federal Institutes of Technology Domain; Swiss Federal Institute for Forest, Snow &amp; Landscape Research; United States Department of the Interior; United States Geological Survey; Ministry of Nature Environment &amp;Tourism Mongolia; Korea Meteorological Administration (KMA); Institut de Recherche pour le Developpement (IRD); Sorbonne Universite; Museum National d'Histoire Naturelle (MNHN); United States Department of Defense; United States Army; U.S. Army Corps of Engineers; U.S. Army Engineer Research &amp; Development Center (ERDC); Cold Regions Research &amp; Engineering Laboratory (CRREL); Dartmouth College; University of Sheffield; Agencia Estatal de Meteorologia (AEMET); Ministry of Earth Sciences (MoES) - India; University of Alaska System; University of Alaska Fairbanks; University of Oxford; Victoria University Wellington; Ministry of Earth Sciences (MoES) - India; Indian Institute of Tropical Meteorology (IITM); University of Alaska System; University of Alaska Fairbanks; Israel Oceanographic &amp; Limnological Research Institute; Rutgers University System; Rutgers University New Brunswick; National Aeronautics &amp; Space Administration (NASA); NASA Goddard Space Flight Center; Philipps University Marburg; Tyumen State University; Universite Paris Cite; Sorbonne Universite; Stockholm University; National Aeronautics &amp; Space Administration (NASA); NASA Jet Propulsion Laboratory (JPL); Princeton University; National Oceanic Atmospheric Admin (NOAA) - USA; University of Colorado System; University of Colorado Boulder; University of California System; University of California Davis; Swiss Federal Institutes of Technology Domain; Swiss Federal Institute of Aquatic Science &amp; Technology (EAWAG); Communaute Universite Grenoble Alpes; Universite Grenoble Alpes (UGA); North Carolina State University; Northern Arizona University; National Aeronautics &amp; Space Administration (NASA); NASA Goddard Space Flight Center; Universities Space Research Association (USRA); University of Alberta; George Washington University; Irkutsk State University; University of California System; University of California Santa Barbara; Science Applications International Corporation (SAIC); Utrecht University; Natural Resources Canada; Lands &amp; Minerals Sector - Natural Resources Canada; Geological Survey of Canada; Ministry of Earth Sciences (MoES) - India; India Meteorological Department (IMD); University of Colorado System; University of Colorado Boulder; Deutscher Wetterdienst; National Aeronautics &amp; Space Administration (NASA); NASA Goddard Space Flight Center; Goddard Institute for Space Studies; National Oceanic Atmospheric Admin (NOAA) - USA; Simon Fraser University; Yale University; Universidade de Santiago de Compostela; Philipps University Marburg; University of Colorado System; University of Colorado Boulder; Johns Hopkins University; Vrije Universiteit Amsterdam; University of California System; University of California Irvine; Universidade de Lisboa; National Center Atmospheric Research (NCAR) - USA; University of Hawaii System; Chinese Academy of Sciences; South China Sea Institute of Oceanology, CAS; Louisiana State University System; Louisiana State University; University of Bremen; Uppsala University; National Oceanic Atmospheric Admin (NOAA) - USA; University of Bristol; Chinese Academy of Sciences; Cold &amp; Arid Regions Environmental &amp; Engineering Research Institute, CAS; Morgan State University; Servicio Nacional de Meteorologia Hidrologia del Peru (SENAMHI); Hampton University; Newcastle University - UK; Swedish University of Agricultural Sciences; Instituto del Mar del Peru; University of Washington; University of Washington Seattle; United States Department of Energy (DOE); Lawrence Livermore National Laboratory; United States Department of the Interior; United States Geological Survey; National Oceanic Atmospheric Admin (NOAA) - USA; National Aeronautics &amp; Space Administration (NASA); Universite Savoie Mont Blanc; Universidad Catolica del Norte; Universite de Toulouse; Universite Toulouse III - Paul Sabatier; Centre National de la Recherche Scientifique (CNRS); Institut de Recherche pour le Developpement (IRD); Laboratoire d'Etudes en Geophysique et oceanographie spatiales; University of Miami; Princeton University; National Oceanic Atmospheric Admin (NOAA) - USA; University of Insubria; National Oceanic Atmospheric Admin (NOAA) - USA; National Oceanic Atmospheric Admin (NOAA) - USA; University of Birmingham; University of Gothenburg; Umea University; University of Gothenburg; Egyptian Knowledge Bank (EKB); Al Azhar University; United States Department of Defense; United States Navy; University of Hawaii System; University of Oxford; Japan Meteorological Agency; Texas A&amp;M University System; Texas A&amp;M University College Station; Agencia Estatal de Meteorologia (AEMET); Northern Arizona University; Helmholtz Association; Alfred Wegener Institute, Helmholtz Centre for Polar &amp; Marine Research; Coventry University; Met Eireann - Ireland; UK Centre for Ecology &amp; Hydrology (UKCEH); Meteorological Service Singapore; Aristotle University of Thessaloniki; National Center Atmospheric Research (NCAR) - USA; University of Hawaii System; University of Alaska System; University of Alaska Fairbanks; Nanjing University of Information Science &amp; Technology</t>
  </si>
  <si>
    <t>Arndt, DS (corresponding author), NOAA, NESDIS Natl Ctr Environm Informat, Asheville, NC 28801 USA.</t>
  </si>
  <si>
    <t>Sofieva, Viktoria F./E-1958-2014; Landschützer, Peter/IQU-3835-2023; Klotzbach, Philip J/P-1911-2014; Adler, Robert/AHD-5560-2022; Thackeray, Stephen J/D-2415-2013; Ricker, Robert/Z-4214-2019; Baringer, Molly O/D-2277-2012; de Jeu, Richard/AAE-6922-2019; li, bai/GRJ-4913-2022; Miralles, Diego/K-8857-2013; Vose, Russell/GSI-5687-2022; Boucher, Olivier/J-5810-2012; Skirving, William J/E-7927-2011; Schmid, Claudia/D-5875-2013; McBride, Charlotte/GSI-4733-2022; McVicar, Tim R/D-8614-2011; Hobbs, Will/P-8094-2019; Dorigo, Wouter A/C-7794-2014; Strahan, Susan E/H-1965-2012; Leuliette, Eric/D-1527-2010; Davis, Sean/HGC-5795-2022; Merchant, Christopher J/E-1180-2014; Tsidu, Gizaw Mengistu/AAG-6048-2019; Eakin, C. Mark/F-5585-2010; Bhatt, Uma S/D-3674-2009; Camargo, Suzana J./C-6106-2009; Carrea, Laura/GXM-6341-2022; Silow, Eugene/C-2958-2011; Heidinger, Andrew/F-5591-2010; Timmermans, Mary-Louise/N-5983-2014; /AAP-2928-2020; Nielsen-Gammon, John W/G-9771-2012; Sweet, William V/D-4310-2019; Mazloff, Matthew/AAG-6463-2019; Famiglietti, James/G-7383-2017; Fauchald, Per/AAV-4242-2021; Tye, Mari/AAF-8901-2020; Domingues, Ricardo M/A-9842-2017; Davis, Sean/C-9570-2011; Gutiérrez, José/GSJ-1846-2022; Thompson, Philip R/H-4509-2013; Luojus, Kari/AAO-7912-2020; Soden, Brian/ABC-3659-2021; Liu, Gang/E-7921-2011; Harris, Ian C/O-7772-2014; Diamond, Howard/ABC-9877-2021; Beck, Hylke/ABD-9012-2020; Van Meerbeeck, Cedric JVC/D-1231-2010; Kaiser, Johannes W./GOP-0832-2022; Dunn, Robert/O-5910-2016; Lin, I-I/J-4695-2013; Schmid, Martin/C-3953-2009; Arguez, Anthony/I-9375-2017; Zhang, Peiqun/AAQ-5385-2020; Richardson, Andrew/F-5691-2011; Luo, Jing-Jia/T-9612-2019; Feely, Richard A./ABI-5740-2020; Willis, Josh/AGY-7817-2022; Knaff, John A./F-5599-2010; Johnson, Kenneth S/F-9742-2011; Dong, Shenfu/I-4435-2013; Loeb, Norman/ABC-7817-2021; Hubert, Daan/I-1096-2019; Steinbrecht, Wolfgang/G-6113-2010; Derksen, Chris/S-9828-2017; Trachte, Katja/M-7310-2015; Deline, Philip/AFR-6521-2022; Folland, Chris K/I-2524-2013; Takahashi, Ken/G-5321-2010; Franz, Bryan A/D-6284-2012; Zhu, Zhiwei/N-2679-2016; Reagan/ABE-6875-2020; Zhao, Lin/M-9536-2018; Lakkala, Kaisa/AAN-4342-2020; Timofeyev, Maxim/F-2071-2010; Weyhenmeyer, Gesa/Y-6135-2019; Wong, Takmeng/AHD-3210-2022; Sutton, Adrienne/C-7725-2015; Frith, Stacey/HMD-9437-2023; Swart, Sebastiaan/U-5498-2017; Arndt, Derek S/J-3022-2013; Wang, Chunzai/C-9712-2009; Bulygina, Olga/H-1251-2016; Tømmervik, Hans/AAK-7042-2021; cheng, lijing/W-2261-2017; Berry, David I/C-1268-2011; Wang, Muyin/K-4006-2014; Azorin-Molina, Cesar/IZP-9544-2023; Loyola, Diego/GYO-3213-2022; L'Heureux, Michelle L/C-7517-2013; Kramarova, Natalya A/D-2270-2014; Mote, Thomas/U-6681-2017; wilber, anne/F-6270-2011; Domingues, Catia M./A-2901-2015; Allan, Richard Philip/B-5782-2008; Carter, Brendan/AAB-1327-2021; Johnson, Gregory C/I-6559-2012; Newman, Paul A/D-6208-2012; Wagner, Wolfgang/AAC-5507-2019; Killick, Rachel/ISA-5992-2023; Gutierrez Pacherres, Jose Rodolfo/HZL-0476-2023; Stanitski, Diane M/N-1668-2017; Box, Jason E/AAE-1654-2019; Merchant, Christopher/KHY-0611-2024; SALLEE, Jean baptiste/HDO-5355-2022; Velicogna, Isabella/R-5561-2018; Dokulil, Martin/J-3464-2019; Goni, Gustavo J/D-2017-2012; Alfaro, Eric/AAV-3131-2021; Carter, Brendan/ABG-9706-2021; Trinanes, Joaquin A/B-3881-2015; Ialongo, Iolanda/E-1638-2014; Wong, Takmeng/AHD-3691-2022; Gutiérrez, José M./C-5754-2009; Sensoy, Serhat/AGI-2242-2022; Box, Jason/H-5770-2013; Muhle, Jens/GPX-3244-2022; Gruber, Alexander/ABA-3286-2020; Jones, Philip Douglas/C-8718-2009; Alves, Lincoln M/G-8894-2015; Heuzé, Céline/U-5058-2017; montzka, stephen/V-6162-2019; Azorin-Molina, Cesar/ABB-5381-2021; De La Cour, Jacqueline/E-7920-2011; Noetzli, Jeannette/ABA-4132-2020; Hidalgo, Hugo G./I-7170-2019; Dutton, Geoffrey Scott/V-9977-2019; Barichivich, Jonathan/A-2776-2010; Newman, Louise/Q-8592-2019; Ackerman, Steven A/G-1640-2011; Durre, Imke/AAU-8600-2020; Wang, JunHong/HKE-0286-2023; Hendricks, Stefan/D-5168-2011; Lumpkin, Rick/C-9615-2009; Wouters, Bert/A-5301-2017; Menzel, W. Paul/B-8306-2011; Dewitte, Boris/S-4909-2019; van de wal, roderik/D-1705-2011; Weber, Mark/F-1409-2011; Cooper, Owen/H-4875-2013; Lee, Tsz-cheung/AAW-2799-2021; van der Werf, Guido/JXY-9197-2024; Heron, Scott F/E-7928-2011; Hurst, Dale/D-1554-2016; Isaksen, Ketil/C-6493-2011; Krumpen, Thomas/D-5163-2011; Ho, shu-peng/E-5199-2019; HURST, DALE/AAC-9948-2022; Westberry, Toby/IUN-6529-2023; Hanna, Edward/W-5927-2019; Rosenlof, Karen H/B-5652-2008; Rodell, Matthew/E-4946-2012; Purkey, Sarah G/K-1983-2012; Drozdov, Dmitry S/N-4264-2018; sallée, jean-baptiste/A-5837-2010; Wouters, Bert/AAA-4254-2019; Clem, Kyle/AAG-6626-2021; Espinoza, Jhan Carlo/A-9396-2011; Bernhard, Germar/AAZ-7169-2020; Schreck, Carl J/B-8711-2011; Müller, Rolf/A-6669-2013; KIM, HYUNGJUN/I-5099-2014; Fioletov, Vitali/AAM-1044-2020; Buehler, Stefan Alexander/A-4056-2009; casimiro, lavado/A-4181-2012; Shimaraeva, Svetlana/ABC-7160-2021; McCabe, Matthew F/G-5194-2011; Mosquera, Kobi/O-6725-2019; Perkins-Kirkpatrick, Sarah E/O-5042-2015; Müller, Rolf/ABA-8213-2021; Donat, Markus/J-8331-2012; li, bz/GVR-7133-2022; Rajeevan, Madhavan Nair/ABG-8604-2021; Heim, Richard R./H-9667-2017; Newman, Louise/HNI-7544-2023; Smeed, David/B-4726-2012; Santee, MIchelle/R-5762-2019; Strong, Alan E/E-7924-2011; Selkirk, Henry B/H-2021-2012; Osborn, Timothy/E-9740-2011</t>
  </si>
  <si>
    <t>Landschützer, Peter/0000-0002-7398-3293; Ricker, Robert/0000-0001-6928-7757; Miralles, Diego/0000-0001-6186-5751; McBride, Charlotte/0000-0001-9557-7520; McVicar, Tim R/0000-0002-0877-8285; Hobbs, Will/0000-0002-2061-0899; Leuliette, Eric/0000-0002-3425-4039; Davis, Sean/0000-0001-9276-6158; Merchant, Christopher J/0000-0003-4687-9850; Camargo, Suzana J./0000-0002-0802-5160; Silow, Eugene/0000-0002-7039-3220; Mazloff, Matthew/0000-0002-1650-5850; Famiglietti, James/0000-0002-6053-5379; Tye, Mari/0000-0003-2491-1020; Davis, Sean/0000-0001-9276-6158; Thompson, Philip R/0000-0002-0875-4208; Luojus, Kari/0000-0002-4066-6005; Kaiser, Johannes W./0000-0003-3696-9123; Dunn, Robert/0000-0003-2469-5989; Lin, I-I/0000-0002-8364-8106; Richardson, Andrew/0000-0002-0148-6714; Luo, Jing-Jia/0000-0003-2181-0638; Dong, Shenfu/0000-0001-8247-8072; Hubert, Daan/0000-0002-4365-865X; Trachte, Katja/0000-0003-4269-9668; Folland, Chris K/0000-0002-3143-5918; Reagan/0000-0002-0021-6210; Zhao, Lin/0000-0003-0245-8413; Lakkala, Kaisa/0000-0003-2840-1132; Timofeyev, Maxim/0000-0002-5250-6818; Weyhenmeyer, Gesa/0000-0002-4013-2281; Sutton, Adrienne/0000-0002-7414-7035; Frith, Stacey/0000-0001-6894-0574; Arndt, Derek S/0000-0001-7698-6740; Wang, Chunzai/0000-0002-7611-0308; Tømmervik, Hans/0000-0001-7273-1695; cheng, lijing/0000-0002-9854-0392; Wang, Muyin/0000-0001-5233-4588; Domingues, Catia M./0000-0001-5100-4595; Allan, Richard Philip/0000-0003-0264-9447; Johnson, Gregory C/0000-0002-8023-4020; Wagner, Wolfgang/0000-0001-7704-6857; Killick, Rachel/0000-0001-5335-4097; Box, Jason E/0000-0003-0052-8705; Dokulil, Martin/0000-0002-6369-1457; Alfaro, Eric/0000-0001-9278-5017; Ialongo, Iolanda/0000-0002-1125-0756; Sensoy, Serhat/0000-0002-6150-6035; Box, Jason/0000-0003-0052-8705; Muhle, Jens/0000-0001-9776-3642; Gruber, Alexander/0000-0002-3280-7023; Jones, Philip Douglas/0000-0001-5032-5493; Heuzé, Céline/0000-0002-8850-5868; montzka, stephen/0000-0002-9396-0400; Noetzli, Jeannette/0000-0001-9188-6318; Hidalgo, Hugo G./0000-0003-4638-0742; Dutton, Geoffrey Scott/0000-0001-7777-9268; Newman, Louise/0000-0001-9523-8713; Hendricks, Stefan/0000-0002-1412-3146; Lumpkin, Rick/0000-0002-6690-1704; Menzel, W. Paul/0000-0001-5690-1201; van de wal, roderik/0000-0003-2543-3892; Cooper, Owen/0000-0001-7391-1161; Lee, Tsz-cheung/0000-0003-1961-2675; Hurst, Dale/0000-0002-6315-2322; Isaksen, Ketil/0000-0003-2356-5330; Krumpen, Thomas/0000-0001-6234-8756; Ho, shu-peng/0000-0002-3010-8544; HURST, DALE/0000-0002-6315-2322; Hanna, Edward/0000-0002-8683-182X; Rosenlof, Karen H/0000-0002-0903-8270; Wouters, Bert/0000-0002-1086-2435; Clem, Kyle/0000-0002-1419-2758; Espinoza, Jhan Carlo/0000-0001-7732-8504; Bernhard, Germar/0000-0002-1264-0756; KIM, HYUNGJUN/0000-0003-1083-8416; Fioletov, Vitali/0000-0002-2731-5956; casimiro, lavado/0000-0002-0051-0743; Mosquera, Kobi/0000-0003-0253-4201; Müller, Rolf/0000-0002-5024-9977; Donat, Markus/0000-0002-0608-7288; Rajeevan, Madhavan Nair/0000-0002-3000-2459; Smeed, David/0000-0003-1740-1778; Selkirk, Henry B/0000-0001-9431-5385; Osborn, Timothy/0000-0001-8425-6799</t>
  </si>
  <si>
    <t>China National Key RD Program [2017YFA0603802, 2015CB453201]; NSFC [41630423]; NSF [AGS-1643297]; Natural Environment Research Council [NE/J02080X/1, NE/J020451/1] Funding Source: researchfish; NordForsk [76413] Funding Source: researchfish; NERC [NE/J02080X/1, NE/J020451/1] Funding Source: UKRI</t>
  </si>
  <si>
    <t>China National Key RD Program; NSFC(National Natural Science Foundation of China (NSFC)); NSF(National Science Foundation (NSF)); Natural Environment Research Council(UK Research &amp; Innovation (UKRI)Natural Environment Research Council (NERC)); NordForsk(NordForsk); NERC(UK Research &amp; Innovation (UKRI)Natural Environment Research Council (NERC))</t>
  </si>
  <si>
    <t>The Editor wishes to thank all the authors for their timely contributions, and the internal and external reviewers and document editors for their thoughtful and constructive comments. The following grants (China National Key R&amp;D Program 2017YFA0603802 and 2015CB453201, NSFC grant 41630423, NSF grant AGS-1643297) are acknowledged.</t>
  </si>
  <si>
    <t>S1</t>
  </si>
  <si>
    <t>S310</t>
  </si>
  <si>
    <t>HE8TX</t>
  </si>
  <si>
    <t>WOS:000453721600001</t>
  </si>
  <si>
    <t>Day, PB; Stuart-Smith, RD; Edgar, GJ; Bates, AE</t>
  </si>
  <si>
    <t>Day, Paul B.; Stuart-Smith, Rick D.; Edgar, Graham J.; Bates, Amanda E.</t>
  </si>
  <si>
    <t>Species' thermal ranges predict changes in reef fish community structure during 8 years of extreme temperature variation</t>
  </si>
  <si>
    <t>DIVERSITY AND DISTRIBUTIONS</t>
  </si>
  <si>
    <t>functional traits; ocean climate; resilience; Species Temperature Index; thermal niche; warming</t>
  </si>
  <si>
    <t>CLIMATE-CHANGE; EVOLUTIONARY RESPONSES; ROTTNEST ISLAND; MARINE; SHIFTS; ABUNDANCE; TRAITS; RECRUITMENT; ORGANISMS; PREDATION</t>
  </si>
  <si>
    <t>Aim: To assess whether observed thermal bounds in species' latitudinal ranges (i.e., realized thermal niches) can be used to predict patterns of occurrence and abundance changes observed during a marine heatwave, relative to other important life history and functional traits. Location: Rottnest Island, Western Australia. Methods: A time series of standardized quantitative surveys of reef fishes spanning 8years of pronounced ocean temperature change is used to test whether accurate predictions on shifts in species occupancy and abundance are possible using species traits. Results: Species-level responses in occurrence and abundance were closely related to the mid-point of their realized thermal niche, more so than body size, range size or trophic level. Most of the species that disappeared from survey counts during the heatwave were characterized by geographic ranges that did not extend to latitudes with temperatures equivalent to the ocean temperature peak during the heatwave. We thus find support for the hypothesis that current distribution limits are set directly or indirectly by temperature and are highly responsive to ocean temperature variability. Main conclusions: Our study shows that reef fish community structure can change very quickly when exposed to extreme thermal anomalies, in directions predicted from the realized thermal niche of the species present. Such predictions can thus identify species that will be most responsive to changing ocean climate. Continued warming, coupled with periodic extreme heat events, may lead to the loss of ecosystem services and ecological functions, as mobile species relocate to more hospitable climes, while less mobile species may head towards extinction.</t>
  </si>
  <si>
    <t>[Day, Paul B.; Stuart-Smith, Rick D.; Edgar, Graham J.] Univ Tasmania, Inst Marine &amp; Antarctic Studies, Hobart, Tas, Australia; [Bates, Amanda E.] Mem Univ, Ocean Sci Ctr, Logy Bay, NF, Canada</t>
  </si>
  <si>
    <t>University of Tasmania; Memorial University Newfoundland</t>
  </si>
  <si>
    <t>Day, PB (corresponding author), Univ Tasmania, Inst Marine &amp; Antarctic Studies, Hobart, Tas, Australia.</t>
  </si>
  <si>
    <t>paul@carijoa.com</t>
  </si>
  <si>
    <t>Edgar, Graham/AAY-3797-2020; Stuart-Smith, Rick D/M-1829-2013; Bates, Amanda E./ABD-6874-2021; Stuart-Smith, Rick/I-5214-2019</t>
  </si>
  <si>
    <t>Edgar, Graham/0000-0003-0833-9001; Stuart-Smith, Rick D/0000-0002-8874-0083; Bates, Amanda E./0000-0002-0198-4537; Stuart-Smith, Rick/0000-0002-8874-0083; Day, Paul/0000-0003-2024-7310</t>
  </si>
  <si>
    <t>Department for Planning and Infrastructure, Perth, Western Australia Coastwest Grant [201291]; Natural Resource Management Program, State NRM Program Grants, Government of Western Australia [14126]</t>
  </si>
  <si>
    <t>Department for Planning and Infrastructure, Perth, Western Australia Coastwest Grant; Natural Resource Management Program, State NRM Program Grants, Government of Western Australia</t>
  </si>
  <si>
    <t>Department for Planning and Infrastructure, Perth 6000, Western Australia Coastwest Grant, Grant/Award Number: 201291; Natural Resource Management Program, State NRM Program Grants, Government of Western Australia, Grant/Award Number: 14126</t>
  </si>
  <si>
    <t>1366-9516</t>
  </si>
  <si>
    <t>1472-4642</t>
  </si>
  <si>
    <t>DIVERS DISTRIB</t>
  </si>
  <si>
    <t>Divers. Distrib.</t>
  </si>
  <si>
    <t>10.1111/ddi.12753</t>
  </si>
  <si>
    <t>GM5SJ</t>
  </si>
  <si>
    <t>WOS:000438200700001</t>
  </si>
  <si>
    <t>Trathan, PN; Warwick-Evans, V; Hinke, JT; Young, EF; Murphy, EJ; Carneiro, APB; Dias, MP; Kovacs, KM; Lowther, AD; Godo, OR; Kokubun, N; Kim, JH; Takahashi, A; Santos, M</t>
  </si>
  <si>
    <t>Trathan, P. N.; Warwick-Evans, V; Hinke, J. T.; Young, E. F.; Murphy, E. J.; Carneiro, A. P. B.; Dias, M. P.; Kovacs, K. M.; Lowther, A. D.; Godo, O. R.; Kokubun, N.; Kim, J. H.; Takahashi, A.; Santos, M.</t>
  </si>
  <si>
    <t>Managing fishery development in sensitive ecosystems: identifying penguin habitat use to direct management in Antarctica</t>
  </si>
  <si>
    <t>ECOSPHERE</t>
  </si>
  <si>
    <t>Antarctic krill; chinstrap penguins; ecosystem management; habitat models; krill fishery; krill flux; krill surplus hypothesis; ocean currents</t>
  </si>
  <si>
    <t>KRILL EUPHAUSIA-SUPERBA; SOUTHERN-OCEAN; MARINE ECOSYSTEMS; ATLANTIC SECTOR; BALEEN WHALES; PENINSULA; VARIABILITY; POPULATIONS; ABUNDANCE; GEORGIA</t>
  </si>
  <si>
    <t>In the Southern Ocean, the at-sea distributions of most predators of Antarctic krill are poorly known, primarily because tracking studies have only been undertaken on a restricted set of species, and then only at a limited number of sites. For chinstrap penguins, one of the most abundant krill predators breeding across the Antarctic Peninsula, we show that habitat models developed utilizing the distance from the colony and the bearing to the shelf-edge, adjusting for the at-sea density of Pygoscelis penguins from other colonies, can be used to predict, with a high level of confidence, the at-sea distribution of chinstrap penguins from untracked colonies during the breeding season. Comparison of predicted penguin distributions with outputs from a high-resolution oceanographic model shows that chinstrap penguins prefer nearshore habitats, over shallow bathymetry, with slow-flowing waters, but that they sometimes also travel to areas beyond the edge of the continental shelf where the faster-flowing waters of the Coastal Current or the fronts of the Antarctic Circumpolar Current occur. In the slow-moving shelf waters, large penguin colonies may lead to krill depletion during incubation and chick-rearing periods when penguins are acting as central place foragers. The habitats used by chinstrap penguins are also locations preferentially used by the commercial krill fishery, one of the last under-developed marine capture fisheries anywhere on the planet. As it develops, this fishery has the potential to compete with chinstrap penguins and other natural krill predators. Scaling our habitat models by chinstrap penguin population data demonstrates where overlap with the fishery is likely to be most important. Our results suggest that a better understanding of krill retention and krill depletion in areas used by natural predators and by the krill fishery are needed, and that risk management strategies for the fishery should include assessment of how krill movement can satisfy the demands of both natural predators and the fishery across a range of spatial and temporal scales. Such information will help regional management authorities better understand how plausible ecosystem-based management frameworks could be developed to ensure sustainable co-existence of the fishery and competing natural predators.</t>
  </si>
  <si>
    <t>[Trathan, P. N.; Warwick-Evans, V; Young, E. F.; Murphy, E. J.] British Antarctic Survey, Madingley Rd, Cambridge CB3 0ET, England; [Hinke, J. T.] NOAA, Antarctic Ecosyst Res Div, Southwest Fisheries Sci Ctr, Natl Marine Fisheries Serv, 8901 La Jolla Shores Dr, La Jolla, CA 92037 USA; [Carneiro, A. P. B.; Dias, M. P.] BirdLife Int, David Attenbomugh Bldg,Pembroke St, Cambridge CB2 3Q7, England; [Kovacs, K. M.; Lowther, A. D.] Norwegian Polar Res Inst, Fram Ctr, Postbox 6606 Langnes, N-9296 Tromso, Norway; [Godo, O. R.] Inst Marine Res, 5817 POB 1870, Bergen, Norway; [Kokubun, N.; Takahashi, A.] Natl Inst Polar Res, 10-3 Midori Cho, Tokyo 1908518, Japan; [Kim, J. H.] Korea Polar Res Inst, 26 Songdomirae Ro, Incheon 406840, South Korea; [Santos, M.] Inst Antartico Argentino, Dept Biol Predadores Tope, 25 Mayo 1143,B1650CSP San Martin, Buenos Aires, DF, Argentina</t>
  </si>
  <si>
    <t>UK Research &amp; Innovation (UKRI); Natural Environment Research Council (NERC); NERC British Antarctic Survey; National Oceanic Atmospheric Admin (NOAA) - USA; BirdLife International; Norwegian Polar Institute; Institute of Marine Research - Norway; Research Organization of Information &amp; Systems (ROIS); National Institute of Polar Research (NIPR) - Japan; Korea Polar Research Institute (KOPRI); Instituto Antartico Argentino</t>
  </si>
  <si>
    <t>Trathan, PN (corresponding author), British Antarctic Survey, Madingley Rd, Cambridge CB3 0ET, England.</t>
  </si>
  <si>
    <t>pnt@bas.ac.uk</t>
  </si>
  <si>
    <t>murphy, eugene/GZL-1620-2022; , Jefferson/AAG-1702-2021; Carneiro, Ana Paula/IQT-6077-2023; Lowther, Andrew/T-2511-2019; Dias, Maria P./D-1331-2012</t>
  </si>
  <si>
    <t>, Jefferson/0000-0002-3600-1414; Lowther, Andrew/0000-0003-4294-3157; Dias, Maria P./0000-0002-7281-4391; Takahashi, Akinori/0000-0002-9868-0408; Young, Emma/0000-0002-7069-6109; , Ana/0000-0003-0573-7549</t>
  </si>
  <si>
    <t>CCAMLR CEMP Fund; WWF-UK [GB095701]; Pew Charitable Trust; Research Council of Norway; Darwin Plus [DPLUS009, DPLUS054]; UK Foreign and Commonwealth Office; Norwegian Polar Institute; NERC [bas0100033, bas0100035] Funding Source: UKRI</t>
  </si>
  <si>
    <t>CCAMLR CEMP Fund; WWF-UK; Pew Charitable Trust; Research Council of Norway(Research Council of Norway); Darwin Plus; UK Foreign and Commonwealth Office; Norwegian Polar Institute; NERC(UK Research &amp; Innovation (UKRI)Natural Environment Research Council (NERC))</t>
  </si>
  <si>
    <t>We thank Wayne Trivelpiece and Sue Trivelpiece for initiating penguin studies at Cape Shirreff and Admiralty Bay. We also thank the CCAMLR CEMP Fund, Darwin Plus (DPLUS009 and DPLUS054), and WWF-UK (GB095701) for supporting this project. The UK Foreign and Commonwealth Office funded the oceanographic model development which used the ARCHER UK National Supercomputing Service (http://www.archer.ac.uk); J.M. van Wessem provided RACMO output. MPD and APBC were supported by the Pew Charitable Trust. KMK and ADL were funded by the Norwegian Polar Institute and the Research Council of Norway. The authors declare no conflict of interest. We thank Andrew Constable and anonymous referees for constructive review comments that helped us improve the manuscript.</t>
  </si>
  <si>
    <t>2150-8925</t>
  </si>
  <si>
    <t>Ecosphere</t>
  </si>
  <si>
    <t>e02392</t>
  </si>
  <si>
    <t>10.1002/ecs2.2392</t>
  </si>
  <si>
    <t>GY1FT</t>
  </si>
  <si>
    <t>WOS:000448271400030</t>
  </si>
  <si>
    <t>Bakenhus, I; Dlugosch, L; Giebel, HA; Beardsley, C; Simon, M; Wietz, M</t>
  </si>
  <si>
    <t>Bakenhus, Insa; Dlugosch, Leon; Giebel, Helge-Ansgar; Beardsley, Christine; Simon, Meinhard; Wietz, Matthias</t>
  </si>
  <si>
    <t>Distinct biogeographic patterns of bacterioplankton composition and single-cell activity between the subtropics and Antarctica</t>
  </si>
  <si>
    <t>HETEROTROPHIC PICOPLANKTON PRODUCTION; FERTILIZED PHYTOPLANKTON BLOOM; BACTERIAL GROUPS; SOUTHERN-OCEAN; CONTINENTAL-SHELF; MARINE BACTERIAL; ATLANTIC SECTOR; ROSEOBACTER RCA; NORTH-SEA; DIVERSITY</t>
  </si>
  <si>
    <t>Bacterial biogeography and activity in the Southern Ocean are poorly understood to date. Here, we applied CARD-FISH to quantify bacterial community structure from the subtropics to Antarctica between 10 degrees W and 10 degrees E, covering four biogeographic provinces with distinct environmental properties. In addition, incorporation of radiolabeled glucose, amino acids and leucine via MAR-FISH served to quantify the contribution to substrate turnover by selected bacterial groups. SAR11, Bacteroidetes, Gammaproteobacteria and the Roseobacter group accounted for the majority of the bacterial community (52%-88% of DAPI-stained cells) but showed little distributional variation between provinces. In contrast, taxonomic subclades Polaribacter, NS5, NS2b (Bacteroidetes) as well as RCA (Roseobacter group) featured marked geographic variation, illustrated by NMDS and coefficients of variation. Roseobacter (specifically RCA) and Gammaproteobacteria constituted considerable fractions of cells incorporating glucose and amino acids respectively. Bacteroidetes had generally lower activities, but Polaribacter accounted for a major fraction of biomass production at one station near the Antarctic ice shelf. In conclusion, distributional patterns at finer taxonomic level and highest substrate turnover by less abundant taxa highlight the importance of taxonomic subclades in marine carbon fluxes, contributing to the understanding of functional bacterial biogeography in the Southern Ocean.</t>
  </si>
  <si>
    <t>[Bakenhus, Insa; Dlugosch, Leon; Giebel, Helge-Ansgar; Beardsley, Christine; Simon, Meinhard; Wietz, Matthias] Inst Chem &amp; Biol Marine Environm, Oldenburg, Germany; [Beardsley, Christine] Carl von Ossietzky Univ Oldenburg, European Med Sch, D-26129 Oldenburg, Germany</t>
  </si>
  <si>
    <t>Carl von Ossietzky Universitat Oldenburg</t>
  </si>
  <si>
    <t>Wietz, M (corresponding author), Inst Chem &amp; Biol Marine Environm, Oldenburg, Germany.</t>
  </si>
  <si>
    <t>matthias.wietz@uni-oldenburg.de</t>
  </si>
  <si>
    <t>Wietz, Matthias/H-3303-2019</t>
  </si>
  <si>
    <t>Wietz, Matthias/0000-0002-9786-3026; Dlugosch, Leon/0000-0003-3108-3024; Giebel, Helge-Ansgar/0000-0002-9452-0810</t>
  </si>
  <si>
    <t>Collaborative Research Centre Roseobacter from German Research Foundation (DFG) [TRR51]; German Research Foundation (DFG) [WI3888/1-2]</t>
  </si>
  <si>
    <t>Collaborative Research Centre Roseobacter from German Research Foundation (DFG)(German Research Foundation (DFG)); German Research Foundation (DFG)(German Research Foundation (DFG))</t>
  </si>
  <si>
    <t>We thank the crew and scientists of RV Polarstern for excellent support during the cruise, in particular Birgit Kurzel and Mascha Wurst for technical assistance. This work was supported by the Collaborative Research Centre Roseobacter (TRR51) and grant WI3888/1-2 (to MW), both from German Research Foundation (DFG).</t>
  </si>
  <si>
    <t>10.1111/1462-2920.14383</t>
  </si>
  <si>
    <t>WOS:000445184600030</t>
  </si>
  <si>
    <t>Clark, MS; Thorne, MAS; King, M; Hipperson, H; Hoffman, JI; Peck, LS</t>
  </si>
  <si>
    <t>Clark, Melody S.; Thorne, Michael A. S.; King, Michelle; Hipperson, Helen; Hoffman, Joseph I.; Peck, Lloyd S.</t>
  </si>
  <si>
    <t>Life in the intertidal: Cellular responses, methylation and epigenetics</t>
  </si>
  <si>
    <t>FUNCTIONAL ECOLOGY</t>
  </si>
  <si>
    <t>Antarctic; antioxidants; cytoskeleton; glutathionylation; methylation-sensitive amplified polymorphism (MSAP); Nacella concinna; pentose shunt pathway; reactive oxygen species</t>
  </si>
  <si>
    <t>NACELLA-CONCINNA; SHELL MORPHOLOGY; ANTARCTIC LIMPET; HEAT-STRESS; ADAPTATION; CONSEQUENCES; EXPRESSION; PLASTICITY; TOLERANCE; CONGENERS</t>
  </si>
  <si>
    <t>1. Phenotypic plasticity is essential for the persistence of organisms under changing environmental conditions but the control of the relevant cellular mechanisms including which genes are involved and the regulation of those genes remains unclear. One way to address this issue is to evaluate links between gene expression, methylation and phenotype using transplantation and common garden experiments within genetically homogeneous populations. 2. This approach was taken using the Antarctic limpet Nacella concinna. In this species, two distinct phenotypes are associated with the intertidal and subtidal zones. The in situ gene expression and methylation profiles of intertidal and subtidal cohorts were directly compared before and after reciprocal transplantation as well as after a common garden acclimation to aquarium conditions for 9 months. 3. Expression profiles showed significant modulation of cellular metabolism to habitat zone with the intertidal profile characterised by transcription modules for antioxidant production, DNA repair and the cytoskeleton reflecting the need to cope with continually fluctuating and stressful conditions including wave action, UV irradiation and desiccation. 4. Transplantation had an effect on gene expression. The subtidal animals transplanted to the intertidal zone modified their gene expression patterns towards that of an intertidal profile. In contrast, many of the antioxidant genes were still differentially expressed in the intertidal animals several weeks after transplantation into the relatively benign subtidal zone. 5. Furthermore, a core of genes involved in antioxidation was still preferentially expressed in intertidal animals at the end of the common garden experiment. Thus, acclimation in an aquarium tank for 9 months did not completely erase the intertidal gene expression profile. 6. Significant methylation differences were measured between intertidal and subtidal animals from the wild and after transplantation, which were reduced on common garden acclimation. This suggests that epigenetic factors play an important role in physiological flexibility associated with environmental niche.</t>
  </si>
  <si>
    <t>[Clark, Melody S.; Thorne, Michael A. S.; King, Michelle; Peck, Lloyd S.] British Antarctic Survey, Nat Environm Res Council, Cambridge, England; [Hipperson, Helen] Univ Sheffield, Dept Anim &amp; Plant Sci, NERC Biomol Anal Facil, Sheffield, S Yorkshire, England; [Hoffman, Joseph I.] Univ Bielefeld, Dept Anim Behav, Bielefeld, Germany</t>
  </si>
  <si>
    <t>UK Research &amp; Innovation (UKRI); Natural Environment Research Council (NERC); NERC British Antarctic Survey; UK Research &amp; Innovation (UKRI); Natural Environment Research Council (NERC); University of Sheffield; University of Bielefeld</t>
  </si>
  <si>
    <t>Clark, MS (corresponding author), British Antarctic Survey, Nat Environm Res Council, Cambridge, England.</t>
  </si>
  <si>
    <t>mscl@bas.ac.uk</t>
  </si>
  <si>
    <t>Clark, Melody/D-7371-2014; Hoffman, Joseph/K-7725-2012</t>
  </si>
  <si>
    <t>Clark, Melody/0000-0002-3442-3824; Thorne, Michael/0000-0001-7759-612X; Hipperson, Helen/0000-0001-7872-105X; Hoffman, Joseph/0000-0001-5895-8949</t>
  </si>
  <si>
    <t>Natural Environment Research Council [NBAF842]; NERC [NE/J007501/1, NBAF010001, bas0100036, NBAF010003] Funding Source: UKRI</t>
  </si>
  <si>
    <t>Natural Environment Research Council, Grant/Award Number: NBAF842</t>
  </si>
  <si>
    <t>0269-8463</t>
  </si>
  <si>
    <t>1365-2435</t>
  </si>
  <si>
    <t>FUNCT ECOL</t>
  </si>
  <si>
    <t>Funct. Ecol.</t>
  </si>
  <si>
    <t>10.1111/1365-2435.13077</t>
  </si>
  <si>
    <t>GP2HY</t>
  </si>
  <si>
    <t>WOS:000440651400008</t>
  </si>
  <si>
    <t>Humble, E; Dasmahapatra, KK; Martinez-Barrio, A; Gregorio, I; Forcada, J; Polikeit, AC; Goldsworthy, SD; Goebel, ME; Kalinowski, J; Wolf, JBW; Hoffman, JI</t>
  </si>
  <si>
    <t>Humble, Emily; Dasmahapatra, Kanchon K.; Martinez-Barrio, Alvaro; Gregorio, Ines; Forcada, Jaume; Polikeit, Ann-Christin; Goldsworthy, Simon D.; Goebel, Michael E.; Kalinowski, Jorn; Wolf, Jochen B. W.; Hoffman, Joseph, I</t>
  </si>
  <si>
    <t>RAD Sequencing and a Hybrid Antarctic Fur Seal Genome Assembly Reveal Rapidly Decaying Linkage Disequilibrium, Global Population Structure and Evidence for Inbreeding</t>
  </si>
  <si>
    <t>G3-GENES GENOMES GENETICS</t>
  </si>
  <si>
    <t>PacBio sequencing; RAD sequencing; comparative genomics; single nucleotide polymorphism (SNP); linkage disequilibrium (LD); population structure; genomic inbreeding coefficient</t>
  </si>
  <si>
    <t>SINGLE-NUCLEOTIDE POLYMORPHISMS; MALE REPRODUCTIVE SUCCESS; ARCTOCEPHALUS-GAZELLA; SNP DISCOVERY; CONSERVATION IMPLICATIONS; DEMOGRAPHIC HISTORY; GENETIC-STRUCTURE; R-PACKAGE; HETEROZYGOSITY; DEPRESSION</t>
  </si>
  <si>
    <t>Recent advances in high throughput sequencing have transformed the study of wild organisms by facilitating the generation of high quality genome assemblies and dense genetic marker datasets. These resources have the potential to significantly advance our understanding of diverse phenomena at the level of species, populations and individuals, ranging from patterns of synteny through rates of linkage disequilibrium (LD) decay and population structure to individual inbreeding. Consequently, we used PacBio sequencing to refine an existing Antarctic fur seal (Arctocephalus gazella) genome assembly and genotyped 83 individuals from six populations using restriction site associated DNA (RAD) sequencing. The resulting hybrid genome comprised 6,169 scaffolds with an N50 of 6.21 Mb and provided clear evidence for the conservation of large chromosomal segments between the fur seal and dog (Canis lupus familiaris). Focusing on the most extensively sampled population of South Georgia, we found that LD decayed rapidly, reaching the background level by around 400 kb, consistent with other vertebrates but at odds with the notion that fur seals experienced a strong historical bottleneck. We also found evidence for population structuring, with four main Antarctic island groups being resolved. Finally, appreciable variance in individual inbreeding could be detected, reflecting the strong polygyny and site fidelity of the species. Overall, our study contributes important resources for future genomic studies of fur seals and other pinnipeds while also providing a clear example of how high throughput sequencing can generate diverse biological insights at multiple levels of organization.</t>
  </si>
  <si>
    <t>[Humble, Emily; Gregorio, Ines; Polikeit, Ann-Christin; Hoffman, Joseph, I] Univ Bielefeld, Dept Anim Behav, Postfach 100131, D-33501 Bielefeld, Germany; [Humble, Emily; Forcada, Jaume; Hoffman, Joseph, I] British Antarctic Survey, Madingley Rd, Cambridge CB3 OET, England; [Dasmahapatra, Kanchon K.] Univ York, Dept Biol, York YO10 5DD, N Yorkshire, England; [Martinez-Barrio, Alvaro; Wolf, Jochen B. W.] Uppsala Univ, Sci Life Labs, Uppsala, Sweden; [Martinez-Barrio, Alvaro] Uppsala Univ, Dept Cell &amp; Mol Biol, Uppsala, Sweden; [Goldsworthy, Simon D.] South Australian Res &amp; Dev Inst, 2 Hamra Ave, West Beach, SA 5024, Australia; [Goebel, Michael E.] NOAA, Antarctic Ecosyst Res Div, SWFSC, NMFS, La Jolla, CA 92037 USA; [Kalinowski, Jorn] Univ Bielefeld, CeBiTec, Ctr Biotechnol, Univ Str 27, D-33615 Bielefeld, Germany; [Wolf, Jochen B. W.] Ludwig Maximilians Univ Munchen, Fac Biol, Div Evolutionary Biol, Planegg Martinstried, Germany; [Wolf, Jochen B. W.] Uppsala Univ, Dept Evolutionary Biol, Uppsala, Sweden</t>
  </si>
  <si>
    <t>University of Bielefeld; UK Research &amp; Innovation (UKRI); Natural Environment Research Council (NERC); NERC British Antarctic Survey; University of York - UK; Uppsala University; Uppsala University; South Australian Research &amp; Development Institute (SARDI); National Oceanic Atmospheric Admin (NOAA) - USA; University of Bielefeld; University of Munich; Uppsala University</t>
  </si>
  <si>
    <t>Humble, E (corresponding author), Univ Bielefeld, Dept Anim Behav, Postfach 100131, D-33501 Bielefeld, Germany.</t>
  </si>
  <si>
    <t>emily.lhumble@gmail.com</t>
  </si>
  <si>
    <t>Forcada, Jaume/GYU-0677-2022; Dasmahapatra, Kanchon/AAT-3179-2021; Wolf, Jochen B. W./U-2243-2017; Hoffman, Joseph/K-7725-2012</t>
  </si>
  <si>
    <t>Wolf, Jochen B. W./0000-0002-2958-5183; Dasmahapatra, Kanchon Kumar/0000-0002-2840-7019; Goldsworthy, Simon/0000-0003-4988-9085; Hoffman, Joseph/0000-0001-5895-8949; Gregorio, Ines/0000-0002-2855-529X</t>
  </si>
  <si>
    <t>U.S. Marine Mammal Protection Act permit [16074]; Deutsche Forschungsgemeinschaft [HO 5122/3-1]; SFG TRR [212]; Swedish Research Council FORMAS [231-2012-450]; Natural Environment Research Council; Natural Environment Research Council [NE/K012886/1]; Knut and Alice Wallenberg Foundation as part of the National Bioinformatics Infrastructure Sweden at SciLifeLab; NERC [NE/K012886/1, bas0100035] Funding Source: UKRI</t>
  </si>
  <si>
    <t>U.S. Marine Mammal Protection Act permit; Deutsche Forschungsgemeinschaft(German Research Foundation (DFG)); SFG TRR; Swedish Research Council FORMAS(Swedish Research Council Formas); Natural Environment Research Council(UK Research &amp; Innovation (UKRI)Natural Environment Research Council (NERC)); Natural Environment Research Council(UK Research &amp; Innovation (UKRI)Natural Environment Research Council (NERC)); Knut and Alice Wallenberg Foundation as part of the National Bioinformatics Infrastructure Sweden at SciLifeLab; NERC(UK Research &amp; Innovation (UKRI)Natural Environment Research Council (NERC))</t>
  </si>
  <si>
    <t>We thank the British Antarctic Survey's field assistants on Bird Island for the collection of tissue samples and David Vendrami and Martin Stoffel for useful discussions about SNP filtering. We would like to acknowledge Anika Winkler who carried out the Illumina sequencing. We would also like to thank Rene Malenfant and one anonymous reviewer for their helpful comments. Samples from Cape Shirreff, South Shetland Islands were collected under U.S. Marine Mammal Protection Act permit #16074. This work contributes to the Ecosystems project of the British Antarctic Survey, Natural Environmental Research Council, and is part of the Polar Science for Planet Earth Program. This project was funded by a Deutsche Forschungsgemeinschaft standard grant (HO 5122/3-1) and was part of the SFG TRR 212 (NC3). It was also supported by the Swedish Research Council FORMAS (231-2012-450) as well as by core funding from the Natural Environment Research Council to the British Antarctic Survey's Ecosystems Program. KKD was supported by the Natural Environment Research Council (grant NE/K012886/1) and AMB was supported by the Knut and Alice Wallenberg Foundation as part of the National Bioinformatics Infrastructure Sweden at SciLifeLab.</t>
  </si>
  <si>
    <t>OXFORD UNIV PRESS INC</t>
  </si>
  <si>
    <t>CARY</t>
  </si>
  <si>
    <t>JOURNALS DEPT, 2001 EVANS RD, CARY, NC 27513 USA</t>
  </si>
  <si>
    <t>2160-1836</t>
  </si>
  <si>
    <t>G3-GENES GENOM GENET</t>
  </si>
  <si>
    <t>G3-Genes Genomes Genet.</t>
  </si>
  <si>
    <t>10.1534/g3.118.200171</t>
  </si>
  <si>
    <t>GO8HH</t>
  </si>
  <si>
    <t>Green Accepted, Green Published, gold, Green Submitted</t>
  </si>
  <si>
    <t>WOS:000440327400017</t>
  </si>
  <si>
    <t>Huber, BT; MacLeod, KG; Watkins, DK; Coffin, MF</t>
  </si>
  <si>
    <t>Huber, Brian T.; MacLeod, Kenneth G.; Watkins, David K.; Coffin, Millard F.</t>
  </si>
  <si>
    <t>The rise and fall of the Cretaceous Hot Greenhouse climate</t>
  </si>
  <si>
    <t>GLOBAL AND PLANETARY CHANGE</t>
  </si>
  <si>
    <t>Cretaceous Hot Greenhouse; Foraminiferal stable isotopes; Volcanic outgassing; pCO(2) proxies; Greenhouse glacier hypothesis; Southern high latitudes</t>
  </si>
  <si>
    <t>SEA-DRILLING-PROJECT; STABLE ISOTOPIC EVIDENCE; DEEP-OCEAN CIRCULATION; DECCAN VOLCANISM; SOUTHERN-OCEAN; PLANKTONIC-FORAMINIFERA; APTIAN/ALBIAN BOUNDARY; SURFACE-TEMPERATURE; KERGUELEN PLATEAU; CARBON ISOTOPES</t>
  </si>
  <si>
    <t>A compilation of foraminiferal stable isotope measurements from southern high latitude (SHL) deep-sea sites provides a novel perspective important for understanding Earth's paleotemperature and paleoceanographic changes across the rise and fall of the Cretaceous Hot Greenhouse climate and the subsequent Paleogene climatic optimum. Both new and previously published results are placed within an improved chronostratigraphic framework for southern South Atlantic and southern Indian Ocean sites. Sites studied were located between 58 degrees and 65 degrees S paleolatitude and were deposited at middle to upper bathyal paleodepths. Oxygen isotope records suggest similar trends in both bottom and surface water temperatures in the southern sectors of the South Atlantic and in the Indian Ocean basins. Warm conditions were present throughout the Albian, extreme warmth existed during the Cretaceous Thermal Maximum (early-mid-Turonian) through late Santonian, and long-term cooling began in the Campanian and culminated in Cretaceous temperature minima during the Maastrichtian. Gradients between surface and seafloor delta O-18 and delta C-13 values were unusually high throughout the 11.5 m.y. of extreme warmth during the Turonian-early Campanian, but these vertical gradients nearly disappeared by the early Maastrichtian. In absolute terms, paleotemperature estimates that use standard assumptions for pre-glacial seawater suggest sub-Antarctic bottom waters were &gt;= 21 degrees C and sub-Antarctic surface waters were &gt;= 27 degrees C during the Turonian, values warmer than published climate models support. Alternatively, estimated temperatures can be reduced to the upper limits of model results through freshening of high latitude waters but only if there were enhanced precipitation of water with quite low delta O-18 values. Regardless, Turonian planktonic delta O-18 values are similar to 1.5%0 lower than minimum values reported for the Paleocene-Eocene Thermal Maximum (PETM) from the same region, a difference which corresponds to Turonian surface temperatures similar to 6 degrees C warmer than peak PETM temperatures if Turonian and Paleocene temperatures are estimated using the same assumptions. It is likely that warm oceans surrounding and penetrating interior Antarctica (given higher relative sea level) prevented growth of Antarctic ice sheets at all but the highest elevations from the late Aptian through late Campanian; however, Maastrichtian temperatures may have been cool enough to allow growth of small, ephemeral ice sheets. The standard explanation for the sustained warmth during Cretaceous Hot Greenhouse climate invokes higher atmospheric CO2 levels from volcanic outgassing, but correlation among temperature estimates, proxy estimates of pCO(2), and intervals of high fluxes of both mafic and silicic volcanism are mostly poor. This comparison demonstrates that the relative timing between events and their putative consequences need to be better constrained to test and more fully understand relationships among volcanism, pCO(2), temperature ocean circulation, Earth's biota and the carbon cycle.</t>
  </si>
  <si>
    <t>[Huber, Brian T.] Smithsonian Inst, Dept Paleobiol, MRC 121, Washington, DC 20013 USA; [MacLeod, Kenneth G.] Univ Missouri, Dept Geol Sci, Columbia, MO 65211 USA; [Watkins, David K.] Univ Nebraska, Dept Earth &amp; Atmospher Sci, Lincoln, NE 68588 USA; [Coffin, Millard F.] Univ Tasmania, Inst Marine &amp; Antarctic Studies, Private Bag 129, Hobart, Tas 7001, Australia; [Coffin, Millard F.] Univ Maine, Sch Earth &amp; Climate Sci, Orono, ME 04469 USA; [Coffin, Millard F.] Woods Hole Oceanog Inst, Woods Hole, MA 02543 USA</t>
  </si>
  <si>
    <t>Smithsonian Institution; Smithsonian National Museum of Natural History; University of Missouri System; University of Missouri Columbia; University of Nebraska System; University of Nebraska Lincoln; University of Tasmania; University of Maine System; University of Maine Orono; Woods Hole Oceanographic Institution</t>
  </si>
  <si>
    <t>Huber, BT (corresponding author), Smithsonian Inst, Dept Paleobiol, MRC 121, Washington, DC 20013 USA.</t>
  </si>
  <si>
    <t>huberb@si.edu; MacLeodK@missouri.edu; dwatkins1@unl.edu; Mike.Coffin@utas.edu.au</t>
  </si>
  <si>
    <t>Watkins, David/AAJ-2571-2021; MacLeod, Kenneth/GWU-8940-2022; MacLeod, Kenneth Gillies/C-4042-2017; Coffin, Millard F/H-4619-2011</t>
  </si>
  <si>
    <t>MacLeod, Kenneth Gillies/0000-0002-6016-0837; Coffin, Millard F/0000-0001-9960-0038</t>
  </si>
  <si>
    <t>Smithsonian National Museum of Natural History; National Science Foundation [NSF-OCE 1261586]</t>
  </si>
  <si>
    <t>Smithsonian National Museum of Natural History(Smithsonian InstitutionSmithsonian National Museum of Natural History); National Science Foundation(National Science Foundation (NSF))</t>
  </si>
  <si>
    <t>We thank Morgan Dickie and Raquel Bryant (both formally undergraduate interns at the NMNH) for their assistance with foraminiferal sample picking, Shannon Haynes (formally at the University of Missouri) for help with stable isotope analyses and JoAnn Selmer for help with SEM imaging, and Nicky Wright (Australian National University) for calculating mid-ocean ridge magma fluxes, and Jo Whittaker (University of Tasmania) for preparing plate reconstructions. The International Ocean Discovery Program and core repositories at the Kochi Core Center (Kochi University) and Gulf Coast Repository (Texas A&amp;M University) are thanked for providing samples analyzed in this study. Funding from the Smithsonian National Museum of Natural History and the National Science Foundation (NSF-OCE 1261586) helped support this research. This work benefitted from insightful comments and suggestions from two anonymous reviewers.</t>
  </si>
  <si>
    <t>0921-8181</t>
  </si>
  <si>
    <t>1872-6364</t>
  </si>
  <si>
    <t>GLOBAL PLANET CHANGE</t>
  </si>
  <si>
    <t>Glob. Planet. Change</t>
  </si>
  <si>
    <t>10.1016/j.gloplacha.2018.04.004</t>
  </si>
  <si>
    <t>GM6XS</t>
  </si>
  <si>
    <t>WOS:000438322900001</t>
  </si>
  <si>
    <t>Wing, SR; Leichter, JJ; Wing, LC; Stokes, D; Genovese, SJ; McMullin, RM; Shatova, OA</t>
  </si>
  <si>
    <t>Wing, Stephen R.; Leichter, James J.; Wing, Lucy C.; Stokes, Dale; Genovese, Sal J.; McMullin, Rebecca M.; Shatova, Olya A.</t>
  </si>
  <si>
    <t>Contribution of sea ice microbial production to Antarctic benthic communities is driven by sea ice dynamics and composition of functional guilds</t>
  </si>
  <si>
    <t>Antarctica; climate change; food web; organic matter; sea ice; sea ice algae</t>
  </si>
  <si>
    <t>PARTICULATE ORGANIC-MATTER; MCMURDO SOUND; ROSS SEA; FOOD-WEB; INORGANIC CARBON; TROPHIC POSITION; OCEAN ECOSYSTEM; STABLE-ISOTOPES; ROCK WALLS; DELTA-C-13</t>
  </si>
  <si>
    <t>Organic matter produced by the sea ice microbial community (SIMCo) is an important link between sea ice dynamics and secondary production in near-shore food webs of Antarctica. Sea ice conditions in McMurdo Sound were quantified from time series of MODIS satellite images for Sept. 1 through Feb. 28 of 2007-2015. A predictable sea ice persistence gradient along the length of the Sound and evidence for a distinct change in sea ice dynamics in 2011 were observed. We used stable isotope analysis (delta C-13 and delta N-15) of SIMCo, suspended particulate organic matter (SPOM) and shallow water (10-20m) macroinvertebrates to reveal patterns in trophic structure of, and incorporation of organic matter from SIMCo into, benthic communities at eight sites distributed along the sea ice persistence gradient. Mass-balance analysis revealed distinct trophic architecture among communities and large fluxes of SIMCo into the near-shore food web, with the estimates ranging from 2 to 84% of organic matter derived from SIMCo for individual species. Analysis of patterns in density, and biomass of macroinvertebrate communities among sites allowed us to model net incorporation of organic matter from SIMCo, in terms of biomass per unit area (g/m(2)), into benthic communities. Here, organic matter derived from SIMCo supported 39 to 71 per cent of total biomass. Furthermore, for six species, we observed declines in contribution of SIMCo between years with persistent sea ice (2008-2009) and years with extensive sea ice breakout (2012-2015). Our data demonstrate the vital role of SIMCo in ecosystem function in Antarctica and strong linkages between sea ice dynamics and near-shore secondary productivity. These results have important implications for our understanding of how benthic communities will respond to changes in sea ice dynamics associated with climate change and highlight the important role of shallow water macroinvertebrate communities as sentinels of change for the Antarctic marine ecosystem.</t>
  </si>
  <si>
    <t>[Wing, Stephen R.; Wing, Lucy C.; Genovese, Sal J.; McMullin, Rebecca M.; Shatova, Olya A.] Univ Otago, Dept Marine Sci, Dunedin, New Zealand; [Leichter, James J.; Stokes, Dale] Univ Calif San Diego, Scripps Inst Oceanog, La Jolla, CA 92093 USA</t>
  </si>
  <si>
    <t>University of Otago; University of California System; University of California San Diego; Scripps Institution of Oceanography</t>
  </si>
  <si>
    <t>Wing, SR (corresponding author), Univ Otago, Dept Marine Sci, Dunedin, New Zealand.</t>
  </si>
  <si>
    <t>steve.wing@otago.ac.nz</t>
  </si>
  <si>
    <t>Farquhar, Justin/F-6225-2010; Wing, Lucy/B-8833-2019</t>
  </si>
  <si>
    <t>Farquhar, Justin/0000-0002-5818-5082; Wing, Lucy/0000-0001-8681-6147; Wing, Stephen/0000-0003-3536-5627</t>
  </si>
  <si>
    <t>Antarctica New Zealand; Royal Society of New Zealand's Marsden Fund; University of Otago Graduate Research School; Scripps Institution of Oceanography; University of California San Diego Academic Senate</t>
  </si>
  <si>
    <t>Antarctica New Zealand; Royal Society of New Zealand's Marsden Fund(Royal Society of New ZealandMarsden Fund (NZ)); University of Otago Graduate Research School; Scripps Institution of Oceanography(University of California System); University of California San Diego Academic Senate</t>
  </si>
  <si>
    <t>10.1111/gcb.14291</t>
  </si>
  <si>
    <t>GL6HK</t>
  </si>
  <si>
    <t>WOS:000437284700031</t>
  </si>
  <si>
    <t>Vanstreels, RET; Yabsley, MJ; Swanepoel, L; Stevens, KL; Carpenter-Kling, T; Ryan, PG; Pistorius, PA</t>
  </si>
  <si>
    <t>Vanstreels, Ralph E. T.; Yabsley, Michael J.; Swanepoel, Liandrie; Stevens, Kim L.; Carpenter-Kling, Tegan; Ryan, Peter G.; Pistorius, Pierre A.</t>
  </si>
  <si>
    <t>Molecular characterization and lesions associated with Diomedenema diomedeae (Aproctoidea: Desmidocercidae) from grey-headed albatrosses (Thalassarche chrysostoma) on Subantarctic Marion Island</t>
  </si>
  <si>
    <t>INTERNATIONAL JOURNAL FOR PARASITOLOGY-PARASITES AND WILDLIFE</t>
  </si>
  <si>
    <t>Air sac; Mortality; Nematoda; Respiratory; Seabird; Subantarctic</t>
  </si>
  <si>
    <t>SEABIRDS; TRENDS</t>
  </si>
  <si>
    <t>The Prince Edward Islands are Subantarctic islands in the southwest Indian Ocean that are of global importance as seabird nesting sites, and are breeding grounds for five species of albatrosses (Procellariiformes: Diomedeidae). In March-April 2016 numerous chicks of one of these species, the grey-headed albatross (Thalassarche chrysostoma), were found dead at colonies on Marion Island (46 degrees 57'S 37 degrees 42'E), the larger of the two Prince Edward Islands. Affected chicks were weak, prostrated, apathetic, had drooping wings, and many eventually died while sitting on the nest. Five carcasses were necropsied, and samples were obtained for pathological and parasitological analysis. Four chicks appeared to have died from starvation, and one died due to air-sac helminthiasis, with extensive hemorrhage in the air sacs and multifocal pyogranulomatous air-sacculitis. The air sac parasites were identified as Diomedenema diomedeae (Aproctoidea: Desmidocercidae). Phylogenetic analysis of the nuclear 18S rRNA gene and mitochondrial COI gene confirmed that D. diomedeae belongs to the suborder Spirurina and showed that it is most closely related to the Diplotriaenidae (superfamily Diplotriaenoidea), a family of parasites that infect the air sacs and subcutaneous tissues of a variety of bird species. To our knowledge this is the first record of the occurrence of a nematode in the respiratory tract of an albatross and the first study to provide DNA sequences for a species of the superfamily Aproctoidea.</t>
  </si>
  <si>
    <t>[Vanstreels, Ralph E. T.; Carpenter-Kling, Tegan; Pistorius, Pierre A.] Nelson Mandela Univ, Inst Coastal &amp; Marine Res, Marine Apex Predator Res Unit MAPRU, Port Elizabeth, South Africa; [Vanstreels, Ralph E. T.; Carpenter-Kling, Tegan; Pistorius, Pierre A.] Nelson Mandela Univ, Dept Zool, FitzPatrick Inst African Ornithol, DST NRF Ctr Excellence, Port Elizabeth, South Africa; [Yabsley, Michael J.] Univ Georgia, Warnell Sch Forestry &amp; Nat Resources, Athens, GA 30602 USA; [Yabsley, Michael J.; Swanepoel, Liandrie] Univ Georgia, Coll Vet Med, Dept Populat Hlth, Southeastern Cooperat Wildlife Dis Study, Athens, GA USA; [Stevens, Kim L.; Ryan, Peter G.] Univ Cape Town, DST NRF Ctr Excellence, FitzPatrick Inst African Ornithol, Cape Town, South Africa</t>
  </si>
  <si>
    <t>Nelson Mandela University; Nelson Mandela University; National Research Foundation - South Africa; University System of Georgia; University of Georgia; University System of Georgia; University of Georgia; University of Cape Town; National Research Foundation - South Africa</t>
  </si>
  <si>
    <t>Vanstreels, RET (corresponding author), Nelson Mandela Univ, Dept Zool, POB 77000, ZA-6031 Port Elizabeth, South Africa.</t>
  </si>
  <si>
    <t>, Ralph ET Vanstreels/H-8029-2015</t>
  </si>
  <si>
    <t>Carpenter-Kling, Tegan/0000-0001-8449-2409; Pistorius, Pierre/0000-0001-6561-7069; ihsan, inas/0009-0008-6832-5123; Yabsley, Michael/0000-0003-2452-5015; Swanepoel, Liandrie/0000-0002-6515-9608</t>
  </si>
  <si>
    <t>National Research Foundation (NRF) through the South African National Antarctic Programme (SANAP); Southeastern Cooperative Wildlife Disease Study</t>
  </si>
  <si>
    <t>We are grateful to Stefan and Janine Schoombie, Christiaan W. Brink, Jessie Berndt, Azwianewi Makhado, Bruce Dyer, Renata Hurtado, Katie Moon, Martha Brandao, Claudio Arroyo, Luciano Bugalho, Sandara Sguario and Jose Luiz Catao-Dias for their direct and indirect contributions. This study was supported by the National Research Foundation (NRF) through the South African National Antarctic Programme (SANAP), and by state and federal supporters of the Southeastern Cooperative Wildlife Disease Study.</t>
  </si>
  <si>
    <t>2213-2244</t>
  </si>
  <si>
    <t>INT J PARASITOL-PAR</t>
  </si>
  <si>
    <t>Int. J. Parasitol.-Parasit. Wildl.</t>
  </si>
  <si>
    <t>10.1016/j.ijppaw.2018.04.002</t>
  </si>
  <si>
    <t>Ecology; Parasitology</t>
  </si>
  <si>
    <t>Environmental Sciences &amp; Ecology; Parasitology</t>
  </si>
  <si>
    <t>GN1VB</t>
  </si>
  <si>
    <t>WOS:000438781400006</t>
  </si>
  <si>
    <t>Yuan, XJ; Kaplan, MR; Cane, MA</t>
  </si>
  <si>
    <t>Yuan, Xiaojun; Kaplan, Michael R.; Cane, Mark A.</t>
  </si>
  <si>
    <t>The Interconnected Global Climate System-A Review of Tropical-Polar Teleconnections</t>
  </si>
  <si>
    <t>ANTARCTIC SEA-ICE; NINO-SOUTHERN-OSCILLATION; MADDEN-JULIAN OSCILLATION; LEVEL PRESSURE VARIABILITY; EL-NINO; NORTH-ATLANTIC; ATMOSPHERIC CIRCULATION; SPLIT JET; HEMISPHERE CIRCULATION; DECADAL VARIABILITY</t>
  </si>
  <si>
    <t>This paper summarizes advances in research on tropical-polar teleconnections, made roughly over the last decade. Elucidating El Nino-Southern Oscillation (ENSO) impacts on high latitudes has remained an important focus along different lines of inquiry. Tropical to polar connections have also been discovered at the intraseasonal time scale, associated with Madden-Julian oscillations (MJOs). On the time scale of decades, changes in MJO phases can result in temperature and sea ice changes in the polar regions of both hemispheres. Moreover, the long-term changes in SST of the western tropical Pacific, tropical Atlantic, and North Atlantic Ocean have been linked to the rapid winter warming around the Antarctic Peninsula, while SST changes in the central tropical Pacific have been linked to the warming in West Antarctica. Rossby wave trains emanating from the tropics remain the key mechanism for tropical and polar teleconnections from intraseasonal to decadal time scales. ENSO-related tropical SST anomalies affect higher-latitude annular modes by modulating mean zonal winds in both the subtropics and midlatitudes. Recent studies have also revealed the details of the interactions between the Rossby wave and atmospheric circulations in high latitudes. We also review some of the hypothesized connections between the tropics and poles in the past, including times when the climate was fundamentally different from present day especially given a larger-than-present-day global cryosphere. In addition to atmospheric Rossby waves forced from the tropics, large polar temperature changes and amplification, in part associated with variability in orbital configuration and solar irradiance, affected the low-high-latitude connections.</t>
  </si>
  <si>
    <t>[Yuan, Xiaojun; Kaplan, Michael R.; Cane, Mark A.] Columbia Univ, Lamont Doherty Earth Observ, Palisades, NY 10964 USA</t>
  </si>
  <si>
    <t>Columbia University</t>
  </si>
  <si>
    <t>Yuan, XJ (corresponding author), Columbia Univ, Lamont Doherty Earth Observ, Palisades, NY 10964 USA.</t>
  </si>
  <si>
    <t>xyuan@ldeo.columbia.edu</t>
  </si>
  <si>
    <t>Yuan, Xiaojun/AAI-7770-2020; Cane, Mark A/I-8086-2012; Kaplan, Michael R/D-4720-2011</t>
  </si>
  <si>
    <t>Cane, Mark/0000-0001-5408-2388; Yuan, Xiaojun/0000-0002-6530-1619</t>
  </si>
  <si>
    <t>NSF [PLR-1443444, EAR-0902363]; Climate Center of Lamont-Doherty Earth Observatory; NASA GISS; LDEO Director's Office</t>
  </si>
  <si>
    <t>NSF(National Science Foundation (NSF)); Climate Center of Lamont-Doherty Earth Observatory; NASA GISS(National Aeronautics &amp; Space Administration (NASA)); LDEO Director's Office</t>
  </si>
  <si>
    <t>The authors gratefully acknowledge the Climate Center of Lamont-Doherty Earth Observatory and NASA GISS, and LDEO Director's Office for their generous support of the mini-conference Connecting the Tropics to Polar Regions,'' which motivated the authors to write this paper. Yuan is supported by NSF Grant PLR-1443444 and Kaplan acknowledges NSF EAR-0902363. This is LDEO contribution number 8197.</t>
  </si>
  <si>
    <t>10.1175/JCLI-D-16-0637.1</t>
  </si>
  <si>
    <t>GN2SB</t>
  </si>
  <si>
    <t>WOS:000438848800001</t>
  </si>
  <si>
    <t>Joyce, W; Egginton, S; Farrell, AP; Crockett, EL; O'Brien, KM; Axelsson, M</t>
  </si>
  <si>
    <t>Joyce, William; Egginton, Stuart; Farrell, Anthony P.; Crockett, Elizabeth L.; O'Brien, Kristin M.; Axelsson, Michael</t>
  </si>
  <si>
    <t>Exploring nature's natural knockouts: in vivo cardiorespiratory performance of Antarctic fishes during acute warming</t>
  </si>
  <si>
    <t>Cardiac output; Heart rate; Stroke volume; ECG; Warming; Sympathovagal balance</t>
  </si>
  <si>
    <t>HEMOGLOBIN-FREE FISH; CHAENOCEPHALUS-ACERATUS; RAINBOW-TROUT; NOTOTHENIOID FISHES; CARDIAC-PERFORMANCE; THERMAL TOLERANCE; OXYGEN-TRANSPORT; CLIMATE-CHANGE; HEART-RATE; TEMPERATURE</t>
  </si>
  <si>
    <t>We tested the hypothesis that blackfin icefish (Chaenocephalus aceratus), one of the six species in the family Channichthyidae (the icefishes) that do not express haemoglobin and myoglobin, lack regulatory cardiovascular flexibility during acute warming and activity. The experimental protocols were designed to optimize the surgical protocol and minimize stress. First, minimally invasive heart rate (f(H)) measurements were made during a thermal ramp until cardiac failure in C. aceratus and compared with those from the closely related red-blooded black rockcod (Notothenia coriiceps). Then, integrative cardiovascular adjustments were more extensively studied using flow probes and intravascular catheters in C. aceratus during acute warming (from 0 to 8 degrees C) at rest and after imposed activity. Chaenocephalus aceratus had a lower routine f H than N. coriiceps (9 beats min(-1) versus 14 beats min(-1)) and a lower peak f(H )during acute warming (38 beats min' versus 55 beats min(-1)) with a similar cardiac breakpoint temperature (13 and 14 degrees C, respectively). Routine cardiac output ((Q) over dot) for C. aceratus at similar to 0 degrees C was much lower (26.6 ml min(-1) kg(-1)) than previously reported, probably because fish in the present study had a low f(H) (12 beats min(-1)) indicative of a high routine vagal tone and low stress. Chaenocephalus aceratus increased oxygen consumption during acute warming and with activity. Correspondingly, (Q) over dot increased considerably (maximally 86.3 ml min(-1) kg(-1)), as did vascular conductance (5-fold). Thus, unlike earlier suggestions, these data provide convincing evidence that icefish can mount a well-developed cardiovascular regulation of heart rate, cardiac output and vascular conductance, and this regulatory capacity provides flexibility during acute warming.</t>
  </si>
  <si>
    <t>[Joyce, William] Aarhus Univ, Dept Zoophysiol, DK-8000 Aarhus C, Denmark; [Egginton, Stuart] Univ Leeds, Sch Biomed Sci, Leeds LS2 9JT, W Yorkshire, England; [Farrell, Anthony P.] Univ British Columbia, Dept Zool, Vancouver, BC, Canada; [Farrell, Anthony P.] Univ British Columbia, Fac Land &amp; Food Syst, Vancouver, BC, Canada; [Crockett, Elizabeth L.] Ohio Univ, Dept Biol Sci, Athens, OH 45701 USA; [O'Brien, Kristin M.] Univ Alaska Fairbanks, Inst Arctic Biol, Fairbanks, AK 99775 USA; [Axelsson, Michael] Univ Gothenburg, Dept Biol &amp; Environm Sci, S-413990 Gothenburg, Sweden</t>
  </si>
  <si>
    <t>Aarhus University; University of Leeds; University of British Columbia; University of British Columbia; University System of Ohio; Ohio University; University of Alaska System; University of Alaska Fairbanks; University of Gothenburg</t>
  </si>
  <si>
    <t>Axelsson, M (corresponding author), Univ Gothenburg, Dept Biol &amp; Environm Sci, S-413990 Gothenburg, Sweden.</t>
  </si>
  <si>
    <t>michael.axelsson@bioenv.gu.se</t>
  </si>
  <si>
    <t>Joyce, William/U-7093-2019; Axelsson, Michael/D-1412-2009</t>
  </si>
  <si>
    <t>Joyce, William/0000-0002-3782-1641; Axelsson, Michael/0000-0002-7839-3233; Egginton, Stuart/0000-0002-3084-9692</t>
  </si>
  <si>
    <t>National Science Foundation [ANT 1341602, ANT 1341663]; Swedish Research council (Vetenskapsradet) [2015-05286]; Swedish Research Council [2015-05286] Funding Source: Swedish Research Council</t>
  </si>
  <si>
    <t>National Science Foundation(National Science Foundation (NSF)); Swedish Research council (Vetenskapsradet)(Swedish Research Council); Swedish Research Council(Swedish Research Council)</t>
  </si>
  <si>
    <t>Funding was provided by grants from the National Science Foundation (ANT 1341602 to E.L.C. and ANT 1341663 to K.M.O.) and the Swedish Research council (Vetenskapsradet; grant 2015-05286)</t>
  </si>
  <si>
    <t>jeb183160</t>
  </si>
  <si>
    <t>10.1242/jeb.183160</t>
  </si>
  <si>
    <t>WOS:000441894200018</t>
  </si>
  <si>
    <t>Iwasa-Arai, T; Serejo, CS; Siciliano, S; Ott, PH; Freire, AS; Elwen, S; Crespo, EA; Colosio, AC; Carvalho, VL; Rodríguez-Rey, GT</t>
  </si>
  <si>
    <t>Iwasa-Arai, Tammy; Serejo, Cristiana S.; Siciliano, Salvatore; Ott, Paulo H.; Freire, Andrea S.; Elwen, Simon; Crespo, Enrique A.; Colosio, Adriana C.; Carvalho, Vitor L.; Rodriguez-Rey, Ghennie T.</t>
  </si>
  <si>
    <t>The host-specific whale louse (Cyamus boopis) as a potential tool for interpreting humpback whale (Megaptera novaeangliae) migratory routes</t>
  </si>
  <si>
    <t>JOURNAL OF EXPERIMENTAL MARINE BIOLOGY AND ECOLOGY</t>
  </si>
  <si>
    <t>Ectoparasite; Cyamidae; Southern Hemisphere; COI; Whale lice; Genetic structure</t>
  </si>
  <si>
    <t>MITOCHONDRIAL-DNA DIVERSITY; POPULATION-STRUCTURE; EUBALAENA-AUSTRALIS; SITE FIDELITY; ATLANTIC; MOVEMENTS; BRAZIL</t>
  </si>
  <si>
    <t>The whale louse Cyamus boopis is a host specific amphipod that parasitizes humpback whales (Megaptera novaeangliae) across the world. Humpback whales from the Southern Hemisphere are currently separated into seven breeding stocks, each with its own migration route to/from Antarctic waters. The aim of this study was to determine the population structure of C. boopis from the Southern Hemisphere using cytochrome oxydase I sequences, and compare it to that of its host species found in previous studies. High haplotype and nucleotide diversities in C. boopis were observed, and the populations from western south Atlantic (WSA: Brazil + Argentina - Breeding stock A) and western south Pacific (WSP: Australia - Breeding stock E) did not show any significant difference but were differentiated from populations of eastern south Atlantic (ESA: Namibia - Breeding stock B) and the north Pacific. The genetic homogeneity between WSA and WSP populations, might reveal a higher genetic transfer within the Southern Hemisphere, since the feeding grounds of whales which are distributed throughout the circumpolar Southern Ocean could allow inter-mixing of individuals from different breeding populations during the feeding season. The present data reinforces that population dynamics of humpback whales seem more complex than stable migration routes, which could have implications for both management of the species and cultural transmissions of behaviours.</t>
  </si>
  <si>
    <t>[Iwasa-Arai, Tammy] Univ Fed Rio de Janeiro, Programa Posgrad Zool, Museu Nacl, BR-20940040 Rio De Janeiro, RJ, Brazil; [Iwasa-Arai, Tammy; Serejo, Cristiana S.] Univ Fed Rio de Janeiro, Lab Carcinol, Dept Invertebrados, Museu Nacl, BR-20940040 Rio de Janeiro, RJ, Brazil; [Siciliano, Salvatore] Fiocruz MS, Inst Oswaldo Cruz, Pavilhao Mourisco Sala 122,Av Brasil 4365, BR-21040900 Rio De Janeiro, RJ, Brazil; [Siciliano, Salvatore] Grupo Estudos Mamiferos Marinhos Regiao Lagos, Pavilhao Mourisco Sala 122,Av Brasil 4365, BR-21040900 Rio De Janeiro, RJ, Brazil; [Ott, Paulo H.] Univ Estadual Rio Grande do Sul UERGS, Lab Biodiversidade &amp; Conservacao, Unidade Litoral Norte, BR-95520000 Osorio, RS, Brazil; [Ott, Paulo H.] Grp Estudos Mamiferos Aquat Rio Grande do Sul GEM, BR-95560000 Torres, RS, Brazil; [Freire, Andrea S.] Univ Fed Santa Catarina, Dept Ecol &amp; Zool, Lab Crustaceos &amp; Plancton, BR-88040900 Florianopolis, SC, Brazil; [Elwen, Simon] Univ Pretoria, Mammal Res Inst, Dept Zool &amp; Entomol, Sea Search Res &amp; Conservat NPC, 4 Bath Rd, ZA-7945 Cape Town, South Africa; [Crespo, Enrique A.] Univ Patagonia, Ctr Nacl Patagon, Marine Mammal Lab, CONICET, RA-9120 Puerto Madryn, Chubut, Argentina; [Colosio, Adriana C.] Inst Baleia Jubarte, Rua Barao Rio Branco 125, BR-45900000 Caravelas, BA, Brazil; [Carvalho, Vitor L.] Assoc Pesquisa &amp; Preservacao Ecossistemas Aquat A, Ctr Reabilitacao Mamiferos Marinhos, Av Pintor Joao Figueiredo S-N, BR-61627250 Caucaia, CE, Brazil; [Rodriguez-Rey, Ghennie T.] Univ Fed Rio de Janeiro, Inst Biol, Dept Genet, Lab Biodiversidade Mol, BR-21941590 Rio De Janeiro, RJ, Brazil; [Rodriguez-Rey, Ghennie T.] Univ Caldas, Dept Ciencias Biol, Cl 65 26-10, Manizales, Colombia</t>
  </si>
  <si>
    <t>Universidade Federal do Rio de Janeiro; Universidade Federal do Rio de Janeiro; Fundacao Oswaldo Cruz; Universidade Estadual do Rio Grande do Sul (UERGS); Universidade Federal de Santa Catarina (UFSC); University of Pretoria; Centro Nacional Patagonico (CENPAT); Consejo Nacional de Investigaciones Cientificas y Tecnicas (CONICET); Universidade Federal do Rio de Janeiro; Universidad de Caldas</t>
  </si>
  <si>
    <t>Iwasa-Arai, T (corresponding author), Univ Fed Rio de Janeiro, Programa Posgrad Zool, Museu Nacl, BR-20940040 Rio De Janeiro, RJ, Brazil.</t>
  </si>
  <si>
    <t>tammy@grad.ufsc.br; andrea.freire@ufsc.br; kike@cenpat-conicet.gob.ar; adriana.colosio@baleiajubarte.org.br; vitorluz@yahoo.com.br; gtrodriguezr@gmail.com</t>
  </si>
  <si>
    <t>Siciliano, Salvatore/ABD-3352-2020; Siciliano, Salvatore/GPC-8650-2022; Rodriguez, Ghennie/HDO-2057-2022; Siciliano, Salvatore/H-7670-2015; Freire, Andrea S/J-6226-2018; Serejo, Cristiana Silveira/C-8152-2013; Freire, Andrea/AAQ-9863-2021; Ott, Paulo Henrique/IWE-1400-2023</t>
  </si>
  <si>
    <t>Freire, Andrea S/0000-0001-6280-7254; Elwen, Simon/0000-0002-7467-6121; Siciliano, Salvatore/0000-0002-0124-8070; Iwasa-Arai, Tammy/0000-0002-3654-8671</t>
  </si>
  <si>
    <t>Conselho Nacional de Desenvolvimento Cientifico e Tecnologico (CNPq) [131865/2015-3]</t>
  </si>
  <si>
    <t>Conselho Nacional de Desenvolvimento Cientifico e Tecnologico (CNPq)(Conselho Nacional de Desenvolvimento Cientifico e Tecnologico (CNPQ))</t>
  </si>
  <si>
    <t>This work was supported by a scholarship from Conselho Nacional de Desenvolvimento Cientifico e Tecnologico (CNPq) (131865/2015-3).</t>
  </si>
  <si>
    <t>0022-0981</t>
  </si>
  <si>
    <t>1879-1697</t>
  </si>
  <si>
    <t>J EXP MAR BIOL ECOL</t>
  </si>
  <si>
    <t>J. Exp. Mar. Biol. Ecol.</t>
  </si>
  <si>
    <t>10.1016/j.jembe.2018.05.001</t>
  </si>
  <si>
    <t>Ecology; Marine &amp; Freshwater Biology</t>
  </si>
  <si>
    <t>GL2BI</t>
  </si>
  <si>
    <t>WOS:000436917600006</t>
  </si>
  <si>
    <t>Montiel, F; Squire, VA; Doble, M; Thomson, J; Wadhams, P</t>
  </si>
  <si>
    <t>Montiel, F.; Squire, V. A.; Doble, M.; Thomson, J.; Wadhams, P.</t>
  </si>
  <si>
    <t>Attenuation and Directional Spreading of Ocean Waves During a Storm Event in the Autumn Beaufort Sea Marginal Ice Zone</t>
  </si>
  <si>
    <t>pancake ice; ocean waves; attenuation rate; directional spreading; field observations</t>
  </si>
  <si>
    <t>PANCAKE; SPECTRA; MODEL; PROPAGATION; DISSIPATION; DECLINE; SWELL; FIELD</t>
  </si>
  <si>
    <t>This paper investigates the attenuation and directional spreading of large amplitude waves traveling through pancake ice. Directional spectral density is analyzed from in situ wave buoy data collected during a 3-day storm event in October 2015 in the Beaufort Sea. Two proxy metrics for wave amplitude obtained from energy density spectra, namely, spectral amplitude and significant wave height, are used to track the waves as they propagate along transects through the array of buoys in the predominantly pancake ice field. Two types of wave buoys are used in the analysis and compared, exhibiting significant differences in the wave energy density and directionality estimates. Although exponential decay is observed predominantly, one of the two buoy types indicates a potential positive correlation between wave energy density and the occurrence of linear wave decay, as opposed to exponential decay, in accord with recent observations in the Antarctic marginal ice zone. Factors affecting the validity of this observation are discussed. An empirical power law with exponent 2.2 is also found to hold between the exponential attenuation coefficient and wave frequency. The directional content of the wave spectrum appears to decrease consistently along the wave transects, confirming that wave energy is being dissipated by the pancake ice as opposed to being scattered by ice cakes. Plain Language Summary Ocean waves in the Arctic Ocean are becoming increasingly energetic as a result of the retreating sea ice caused by climate change. Very little is known of the physical processes governing the interactions between ocean waves in sea ice, however, mainly due to the lack of field data measuring the underlying physics. Here we analyze a data set acquired by a collection of wave measuring devices in the Beaufort Sea over a 3-day period in October 2015, as part of a large experimental program funded by the the U.S. Office of Naval Research. This period coincided with a storm event with waves up to 5m high. We analyzed the attenuation of such large waves as well as smaller amplitude waves due to the sea ice cover, which mainly consisted of pancake ice. We found that large waves as well as long waves attenuate much more slowly than small waves and short waves. In particular, the more energetic the waves the more likely they are to decay linearly, as opposed to exponentially, with distance, which is in agreement with a similar observation made in the Southern Ocean in 2012. Possible processes causing this effect are discussed in the paper.</t>
  </si>
  <si>
    <t>[Montiel, F.; Squire, V. A.] Univ Otago, Dept Math &amp; Stat, Dunedin, New Zealand; [Doble, M.] Polar Sci Ltd, Appin, Scotland; [Thomson, J.] Univ Washington, Appl Phys Lab, Civil &amp; Environm Engn, Seattle, WA 98105 USA; [Wadhams, P.] Univ Cambridge, Dept Appl Math &amp; Theoret Phys, Cambridge, England</t>
  </si>
  <si>
    <t>University of Otago; University of Washington; University of Washington Seattle; University of Cambridge</t>
  </si>
  <si>
    <t>Montiel, F (corresponding author), Univ Otago, Dept Math &amp; Stat, Dunedin, New Zealand.</t>
  </si>
  <si>
    <t>fmontiel@maths.otago.ac.nz</t>
  </si>
  <si>
    <t>Doble, Martin J/A-9915-2012; Thomson, Jim/C-7610-2012</t>
  </si>
  <si>
    <t>Doble, Martin/0000-0001-8185-6510; Thomson, Jim/0000-0002-8929-0088; Squire, Vernon/0000-0002-5570-3446</t>
  </si>
  <si>
    <t>Office of Naval Research [N00014-131-0279, N00014-131-0284, N00014-131-0290]; New Zealand Ministry of Business, Innovation and Employment through the Deep South National Science Challenge [C01X1445]; Isaac Newton Institute for Mathematical Sciences; EPSRC [EP/K032208/1]; EPSRC [EP/R014604/1, EP/K032208/1] Funding Source: UKRI; New Zealand Ministry of Business, Innovation &amp; Employment (MBIE) [C01X1445] Funding Source: New Zealand Ministry of Business, Innovation &amp; Employment (MBIE)</t>
  </si>
  <si>
    <t>Office of Naval Research(Office of Naval Research); New Zealand Ministry of Business, Innovation and Employment through the Deep South National Science Challenge; Isaac Newton Institute for Mathematical Sciences; EPSRC(UK Research &amp; Innovation (UKRI)Engineering &amp; Physical Sciences Research Council (EPSRC)); EPSRC(UK Research &amp; Innovation (UKRI)Engineering &amp; Physical Sciences Research Council (EPSRC)); New Zealand Ministry of Business, Innovation &amp; Employment (MBIE)(New Zealand Ministry of Business, Innovation and Employment (MBIE))</t>
  </si>
  <si>
    <t>The data analyzed in this study can be accessed from http://www.apl.washington.edu/arcticseastate, under the Data tab. The authors are grateful to all the project team members who contributed to the design of the wave buoys, the collection of the data during the Sea State voyage, and the initial processing of the data. The Matlab codes and data files created for the analysis reported here can be accessed through https://www.maths.otago.ac.nz/fmontiel/Data. The authors would like to thank Sunkun Cheng and Hayley Shen for their assistance at the initial stage of the data set analysis, as well as the rest of the Sea State DRI team for constructive discussions that have improved the paper. The authors acknowledge funding from Office of Naval Research, awards N00014-131-0279 (Montiel and Squire), N00014-131-0284 (Thomson), and N00014-131-0290 (Doble and Wadhams). First author Montiel further acknowledges support from the New Zealand Ministry of Business, Innovation and Employment through the Deep South National Science Challenge (contract C01X1445). V. A. S. also thanks the Isaac Newton Institute for Mathematical Sciences for support and hospitality during the program The Mathematics of Sea Ice Phenomena when some of the research reported in this paper was undertaken, supported by EPSRC grant EP/K032208/1.</t>
  </si>
  <si>
    <t>10.1029/2018JC013763</t>
  </si>
  <si>
    <t>WOS:000445188900052</t>
  </si>
  <si>
    <t>Lone, A; Shah, R; Dey, R; Ghadi, P; Nuruzzama, M; Rehman, A</t>
  </si>
  <si>
    <t>Lone, Aasif Mohmad; Shah, Rayees Ahmad; Dey, Rikee; Ghadi, Pooja; Nuruzzama, Mohammad; Rehman, Abdur</t>
  </si>
  <si>
    <t>Report on Quantitative Reconstruction and Numerical Methods for Analysis of Past Climate Variability Using Diatoms</t>
  </si>
  <si>
    <t>[Lone, Aasif Mohmad; Shah, Rayees Ahmad] Anna Univ Chennai, Dept Geol, Chennai 600025, Tamil Nadu, India; [Dey, Rikee] Birbal Sahni Inst Paleosci, Lucknow 226007, Uttar Pradesh, India; [Ghadi, Pooja; Nuruzzama, Mohammad] Natl Ctr Antarctic &amp; Ocean Res, Vasco Da Gama 403804, Goa, India; [Rehman, Abdur] PRL Ahmedabad, Ahmadabad 380009, Gujarat, India</t>
  </si>
  <si>
    <t>Anna University; Anna University Chennai; Department of Science &amp; Technology (India); Birbal Sahni Institute of Palaeobotany (BSIP); Ministry of Earth Sciences (MoES) - India; National Centre for Polar and Ocean Research (NCPOR); Department of Space (DoS), Government of India; Physical Research Laboratory - India</t>
  </si>
  <si>
    <t>Lone, A (corresponding author), Anna Univ Chennai, Dept Geol, Chennai 600025, Tamil Nadu, India.</t>
  </si>
  <si>
    <t>geoaasif@gmail.com; shahrayees04@gmail.com; rikeedey@gmail.com; ghadip6@gmail.com; mohammadnuruzzama@gmail.com; rabdur709@gmail.com</t>
  </si>
  <si>
    <t>Lone, Aasif Mohmad/AAA-2772-2021; Rahman, Abdur/IAN-1727-2023</t>
  </si>
  <si>
    <t>Lone, Aasif Mohmad/0000-0002-1517-2038; Rahman, Abdur/0000-0001-6135-154X; Shah, Rayees Ahmad/0000-0002-3052-6391</t>
  </si>
  <si>
    <t>10.1007/s12594-018-0966-y</t>
  </si>
  <si>
    <t>GQ3VR</t>
  </si>
  <si>
    <t>WOS:000441596000017</t>
  </si>
  <si>
    <t>West, R; Johnson, V; Yeh, IC; Thomas, Z; Mendelowitz, E; Berg, L</t>
  </si>
  <si>
    <t>West, Ruth; Johnson, Violet; Yeh, I. Chen; Thomas, Zach; Mendelowitz, Eitan; Berg, Lars</t>
  </si>
  <si>
    <t>INSTRUMENT | One Antarctic Night</t>
  </si>
  <si>
    <t>LEONARDO</t>
  </si>
  <si>
    <t>[West, Ruth; Johnson, Violet; Yeh, I. Chen; Thomas, Zach] Univ North Texas, XREZ Art Sci Lab, Denton, TX 76203 USA; [Mendelowitz, Eitan] Mt Holyoke Coll, S Hadley, MA 01075 USA</t>
  </si>
  <si>
    <t>University of North Texas System; University of North Texas Denton; Mount Holyoke College</t>
  </si>
  <si>
    <t>West, R (corresponding author), Univ North Texas, XREZ Art Sci Lab, Denton, TX 76203 USA.</t>
  </si>
  <si>
    <t>ruth.west@unt.edu; violetijohnson89@gmail.com; yeherics@gmail.com; zthomas.music@gmail.com; emendelo@mtholyoke.edu; lars@larsberg.net</t>
  </si>
  <si>
    <t>U.S. National Endowment for the Arts [15-5400-7043]; BenQ America Corporation</t>
  </si>
  <si>
    <t>U.S. National Endowment for the Arts; BenQ America Corporation</t>
  </si>
  <si>
    <t>INSTRUMENT vertical bar One Antarctic Night is supported in part by an award from the U.S. National Endowment for the Arts (15-5400-7043) and by BenQ America Corporation. We thank Lifan Wang and Lingzhi Wang of Texas A&amp;M and the Beijing Astronomical Observatory for their generous consultation and support of this art-science installation. We thank the Antarctic Survey Telescope array and PI Lifan Wang for making available AST3-1 data. We thank Roger Malina, University of Texas. Dallas, for his generous consultation in astrophysics and art-science, and his support of this work. We thank astronomer Jason Young, Mount Holyoke College, for his generous consultation and assistance. We thank Stella Kafka, astronomer and director, American Association of Variable Star Observers, for her generous consultation. This artwork made use of the VizieR catalog access tool, CDS, Strasbourg, France. The original description of the VizieR service was published in A&amp;AS 143, 23. This work has made use of data from the European Space Agency (ESA) mission Gaia (&lt; www.cosmos.esa.int/gaia &gt;), processed by the Gaia Data Processing and Analysis Consortium (DPAC, &lt; www.cosmos.esa.int/web/gaia/dpac/consortium &gt;). Funding for the DPAC has been provided by national institutions, in particular the institutions participating in the Gaia Multilateral Agreement.</t>
  </si>
  <si>
    <t>MIT PRESS</t>
  </si>
  <si>
    <t>ONE ROGERS ST, CAMBRIDGE, MA 02142-1209 USA</t>
  </si>
  <si>
    <t>0024-094X</t>
  </si>
  <si>
    <t>1530-9282</t>
  </si>
  <si>
    <t>Leonardo</t>
  </si>
  <si>
    <t>Art</t>
  </si>
  <si>
    <t>GP9TG</t>
  </si>
  <si>
    <t>WOS:000441258700026</t>
  </si>
  <si>
    <t>Krzeminska, M; Kuklinski, P</t>
  </si>
  <si>
    <t>Krzeminska, Malgorzata; Kuklinski, Piotr</t>
  </si>
  <si>
    <t>Biodiversity patterns of rock encrusting fauna from the shallow sublittoral of the Admiralty Bay</t>
  </si>
  <si>
    <t>Biodiversity; Bryozoa; Encrusting fauna; Admiralty bay; Antarctic; Glacial fiord; Sedimentation; Sublittoral</t>
  </si>
  <si>
    <t>KING-GEORGE-ISLAND; SOUTH SHETLAND ISLANDS; GLACIAL FJORD; SIGNY ISLAND; BENTHIC INVERTEBRATES; EPIFAUNAL COMMUNITIES; SPATIAL COMPETITION; ADELAIDE ISLAND; NEARSHORE ZONE; MARTEL-INLET</t>
  </si>
  <si>
    <t>The Antarctic sublittoral is one of the most demanding habitat for polar bottom-dwelling organisms, as the disturbance of this zone is highly intense. Rapid changes in the marine environment, such as increases in atmosphere and surface water temperatures, can cause dramatic changes in biodiversity, especially in glacial fjords affected by heavy melt water inputs from the retreating glaciers. In such areas, rocks are often an important support for local diversity, providing habitats for a number of encrusting organisms. Thus, understanding the patterns of diversity of shallow rock encrusting fauna and factors controlling it are particularly important. The structure and diversity patterns of rock encrusting fauna were examined from four ecologically contrasting sites in the shallow sublittoral (6-20 m) of Admiralty Bay (King George Island). The results revealed a rich and abundant encrusting community with bryozoans and polychaetes outcompeting representatives of other fauna such as foraminifera and porifera. Spatial variability in species composition, as well as biological parameters, revealed the trend of encrusting assemblages declining towards the inner fjord areas - strongly affected by high sediment input (species richness: 13.3 +/- 1.2, and abundance: 68,932.99 +/- 11,915.98 individuals m(-2) +/- standard error). In contrast, at sites more open to the central basin, a peak of biological parameters was observed (24.8 +/- 1.4 and 297,360.9 +/- 30,314,72, respectively). We suggest that increased sedimentation was the major factor structuring the encrusting assemblages in Ezcurra Inlet, masking the influence of other parameters, such as food and light availability, which are important for the distribution of epifauna. Thus, if the increasing intensity of glacial processes will continue in the upcoming years, the diversity of the encrusting fauna in the shallow sublittoral could dramatically decrease.</t>
  </si>
  <si>
    <t>[Krzeminska, Malgorzata; Kuklinski, Piotr] Polish Acad Sci, Inst Oceanol, Dept Ecol, Powstancow Warszawy 55, PL-81712 Sopot, Poland; [Kuklinski, Piotr] Nat Hist Museum, Dept Zool, Cromwell Rd, London SW7 5BD, England</t>
  </si>
  <si>
    <t>Polish Academy of Sciences; Institute of Oceanology of the Polish Academy of Sciences; Natural History Museum London</t>
  </si>
  <si>
    <t>Krzeminska, M (corresponding author), Polish Acad Sci, Inst Oceanol, Dept Ecol, Powstancow Warszawy 55, PL-81712 Sopot, Poland.</t>
  </si>
  <si>
    <t>mkrzeminska@iopan.gda.pl; kuki@iopan.gda.pl</t>
  </si>
  <si>
    <t>Krzeminska, Malgorzata/0000-0001-7823-1253; Kuklinski, Piotr/0000-0002-1507-215X</t>
  </si>
  <si>
    <t>Polish National Science Center grant [2012/07/N/NZ8/01281, 2016/23/B/ST10/01936]</t>
  </si>
  <si>
    <t>Polish National Science Center grant</t>
  </si>
  <si>
    <t>This work was supported by the Polish National Science Center grant (2012/07/N/NZ8/01281) to MK and (2016/23/B/ST10/01936) to PK.</t>
  </si>
  <si>
    <t>10.1016/j.marenvres.2018.03.016</t>
  </si>
  <si>
    <t>WOS:000436911600019</t>
  </si>
  <si>
    <t>Reed, S; Clark, M; Thompson, R; Hughes, KA</t>
  </si>
  <si>
    <t>Reed, Sarah; Clark, Marlon; Thompson, Richard; Hughes, Kevin A.</t>
  </si>
  <si>
    <t>Microplastics in marine sediments near Rothera Research Station, Antarctica</t>
  </si>
  <si>
    <t>Microplastics; Sediment; Antarctic; Peninsula; Pollution Protocol on Environmental Protection to the; Antarctic Treaty; Human impact</t>
  </si>
  <si>
    <t>ROSS SEA</t>
  </si>
  <si>
    <t>Antarctica and surrounding waters are often considered pristine, but may be subject to local pollution from tourism, fishing and governmental research programme activities. In particular, the quantification of micro plastic pollution within the Antarctic Treaty area (south of latitude 60 degrees S) has received little attention. We examined microplastic particle concentrations in sediment samples from 20 locations up to 7 km from Rothera Research Station. The highest concentrations of microplastic (&lt; 5 particles 10 ml(-1)) were recorded in sediment collected near the station sewage treatment plant outfall. The concentrations were similar to levels recorded in shallow and deep sea marine sediments outside Antarctica. The detected microplastics had characteristics similar to those commonly produced by clothes washing. We recommend further research on microplastics around Antarctic stations to inform policy discussions and the development of appropriate management responses.</t>
  </si>
  <si>
    <t>[Reed, Sarah; Clark, Marlon; Hughes, Kevin A.] British Antarctic Survey, Nat Environm Res Council, Madingley Rd, Cambridge CB3 0ET, England; [Reed, Sarah] Scottish Assoc Marine Sci, Scottish Marine Inst, Oban PA37 1QA, Argyll, Scotland; [Clark, Marlon; Thompson, Richard] Univ Plymouth, Davy Bldg, Plymouth PL4 8AA, Devon, England</t>
  </si>
  <si>
    <t>UK Research &amp; Innovation (UKRI); Natural Environment Research Council (NERC); NERC British Antarctic Survey; UHI Millennium Institute; University of Plymouth</t>
  </si>
  <si>
    <t>Hughes, KA (corresponding author), British Antarctic Survey, Nat Environm Res Council, Madingley Rd, Cambridge CB3 0ET, England.</t>
  </si>
  <si>
    <t>Thompson, Richard C/J-8879-2014; Hughes, Kevin/JVZ-0793-2024</t>
  </si>
  <si>
    <t>Thompson, Richard/0000-0003-2262-6621</t>
  </si>
  <si>
    <t>British Antarctic Survey Environmental Office; University of Plymouth; NERC [bas010011, bas0100036] Funding Source: UKRI</t>
  </si>
  <si>
    <t>British Antarctic Survey Environmental Office; University of Plymouth; NERC(UK Research &amp; Innovation (UKRI)Natural Environment Research Council (NERC))</t>
  </si>
  <si>
    <t>This paper contributes to the British Antarctic Survey (BAS) Polar Science for Planet Earth (PSPE) Biodiversity, Evolution and Adaptation programme and the Environment Office Long Term Monitoring and Survey (EO-LTMS) project. This work was supported by the British Antarctic Survey Environmental Office and The University of Plymouth. The Rothera Research Station Marine Team is thanked for assistance with sample collection and Laura Gerrish of the BAS Mapping and Geographic Information Centre (MAGIC) for map preparation. We acknowledge the useful comments of two anonymous reviews in the improvement of this manuscript.</t>
  </si>
  <si>
    <t>10.1016/j.marpolbul.2018.05.068</t>
  </si>
  <si>
    <t>WOS:000441853600048</t>
  </si>
  <si>
    <t>Vecchi, M; Newton, ILG; Cesari, M; Rebecchi, L; Guidetti, R</t>
  </si>
  <si>
    <t>Vecchi, Matteo; Newton, Irene L. G.; Cesari, Michele; Rebecchi, Lorena; Guidetti, Roberto</t>
  </si>
  <si>
    <t>The Microbial Community of Tardigrades: Environmental Influence and Species Specificity of Microbiome Structure and Composition</t>
  </si>
  <si>
    <t>MICROBIAL ECOLOGY</t>
  </si>
  <si>
    <t>Endosymbiont; Microbiome; Rickettsiales; Symbiosis; Tardigrada</t>
  </si>
  <si>
    <t>HORIZONTAL GENE-TRANSFER; LIFE-TARSE MISSION; LOW-EARTH-ORBIT; HYPSIBIUS-DUJARDINI; PHYLOGENETIC SIGNAL; GENOME ASSEMBLIES; MODEL ORGANISMS; GUT MICROBIOTA; EVOLUTION; EUTARDIGRADA</t>
  </si>
  <si>
    <t>Symbiotic associations of metazoans with bacteria strongly influence animal biology since bacteria are ubiquitous and virtually no animal is completely free from them. Tardigrades are micrometazoans famous for their ability to undergo ametabolic states (cryptobiosis) but very little information is available on potential microbial associations. We characterized the microbiomes of six limnoterrestrial tardigrade species belonging to several phylogenetic lines in tandem with the microbiomes of their respective substrates. The experimental design enabled us to determine the effects of both the environment and the host genetic background on the tardigrade microbiome; we were able to define the microbial community of the same species sampled from different environments, and the communities of different species from the same environment. Our 16S rRNA gene amplicon approach indicated that the tardigrade microbiome is species-specific and well differentiated from the environment. Tardigrade species showed a much lower microbial diversity compared to their substrates, with only one significant exception. Forty-nine common OTUs (operational taxonomic units) were classified into six bacterial phyla, while four common OTUs were unclassified and probably represent novel bacterial taxa. Specifically, the tardigrade microbiome appears dominated by Proteobacteria and Bacteroidetes. Some OTUs were shared between different species from geographically distant samples, suggesting the associated bacteria may be widespread. Putative endosymbionts of tardigrades from the order Rickettsiales were identified. Our results indicated that like all other animals, tardigrades have their own microbiota that is different among species, and its assembly is determined by host genotype and environmental influences.</t>
  </si>
  <si>
    <t>[Vecchi, Matteo; Cesari, Michele; Rebecchi, Lorena; Guidetti, Roberto] Univ Modena &amp; Reggio Emilia, Dept Life Sci, Via Campi 213-D, I-41125 Modena, Italy; [Newton, Irene L. G.] Indiana Univ, Dept Biol, Jordan Hall 221,1001 E 3rd St, Bloomington, IN 47405 USA</t>
  </si>
  <si>
    <t>Universita di Modena e Reggio Emilia; Indiana University System; Indiana University Bloomington</t>
  </si>
  <si>
    <t>Vecchi, M (corresponding author), Univ Modena &amp; Reggio Emilia, Dept Life Sci, Via Campi 213-D, I-41125 Modena, Italy.</t>
  </si>
  <si>
    <t>matteo.vecchi@unimore.it</t>
  </si>
  <si>
    <t>Cesari, Michele/AAS-4964-2020; Newton, Irene/H-5939-2019; Vecchi, Matteo/GLT-3828-2022; Rebecchi, Lorena/E-1653-2015</t>
  </si>
  <si>
    <t>Cesari, Michele/0000-0001-8857-3791; Newton, Irene/0000-0002-7118-0374; Vecchi, Matteo/0000-0002-7995-6827; Rebecchi, Lorena/0000-0001-5610-806X</t>
  </si>
  <si>
    <t>Italian Programma Nazionale Ricerche in Antartide (PNRA)-Ministero dell'Istruzione dell'Universita e della Ricerca (MIUR) as part of the project Evolutive and phylogeographic history of Antarctic organisms and responses by ecosystems to climatic and env [PdR 2013 B1/01]; Bando per il finanziamento di azioni di mobilita nell'ambito del Programma di collaborazione scientifica e culturale dell'Universita degli Studi di Modena e Reggio Emilia con Universita straniere convenzionate-2016 (University of Modena and Reggio Emilia</t>
  </si>
  <si>
    <t>Italian Programma Nazionale Ricerche in Antartide (PNRA)-Ministero dell'Istruzione dell'Universita e della Ricerca (MIUR) as part of the project Evolutive and phylogeographic history of Antarctic organisms and responses by ecosystems to climatic and env; Bando per il finanziamento di azioni di mobilita nell'ambito del Programma di collaborazione scientifica e culturale dell'Universita degli Studi di Modena e Reggio Emilia con Universita straniere convenzionate-2016 (University of Modena and Reggio Emilia</t>
  </si>
  <si>
    <t>This research was supported by the Italian Programma Nazionale Ricerche in Antartide (PNRA)-Ministero dell'Istruzione dell'Universita e della Ricerca (MIUR) as part of the project Evolutive and phylogeographic history of Antarctic organisms and responses by ecosystems to climatic and environmental changings (PdR 2013 B1/01) and by the Bando per il finanziamento di azioni di mobilita nell'ambito del Programma di collaborazione scientifica e culturale dell'Universita degli Studi di Modena e Reggio Emilia con Universita straniere convenzionate-2016 (University of Modena and Reggio Emilia, Modena, Italy).</t>
  </si>
  <si>
    <t>0095-3628</t>
  </si>
  <si>
    <t>1432-184X</t>
  </si>
  <si>
    <t>MICROB ECOL</t>
  </si>
  <si>
    <t>Microb. Ecol.</t>
  </si>
  <si>
    <t>10.1007/s00248-017-1134-4</t>
  </si>
  <si>
    <t>Ecology; Marine &amp; Freshwater Biology; Microbiology</t>
  </si>
  <si>
    <t>Environmental Sciences &amp; Ecology; Marine &amp; Freshwater Biology; Microbiology</t>
  </si>
  <si>
    <t>GO1QA</t>
  </si>
  <si>
    <t>WOS:000439727300016</t>
  </si>
  <si>
    <t>Peings, Y</t>
  </si>
  <si>
    <t>Peings, Yannick</t>
  </si>
  <si>
    <t>The atmospheric response to sea-ice loss</t>
  </si>
  <si>
    <t>AMPLIFICATION; MODELS</t>
  </si>
  <si>
    <t>The coincident reduction of Arctic sea ice with increasing mid-latitude wintertime extremes has motivated much research on Arctic-mid-latitude linkages. A new study reveals that projected Antarctic sea-ice loss could also impact the Southern Hemisphere mid-latitudes through perturbations to the strength and position of the westerly winds.</t>
  </si>
  <si>
    <t>[Peings, Yannick] Univ Calif Irvine, Dept Earth Syst Sci, Irvine, CA 92697 USA</t>
  </si>
  <si>
    <t>Peings, Y (corresponding author), Univ Calif Irvine, Dept Earth Syst Sci, Irvine, CA 92697 USA.</t>
  </si>
  <si>
    <t>ypeings@uci.edu</t>
  </si>
  <si>
    <t>10.1038/s41558-018-0243-5</t>
  </si>
  <si>
    <t>GO7YY</t>
  </si>
  <si>
    <t>WOS:000440299200012</t>
  </si>
  <si>
    <t>Hurd, CL; Lenton, A; Tilbrook, B; Boyd, PW</t>
  </si>
  <si>
    <t>Hurd, Catriona L.; Lenton, Andrew; Tilbrook, Bronte; Boyd, Philip W.</t>
  </si>
  <si>
    <t>Current understanding and challenges for oceans in a higher-CO2 world</t>
  </si>
  <si>
    <t>CARBONATE CHEMISTRY; ACIDIFICATION; PH; RESPONSES; IMPACTS; GROWTH; CO2; PHYTOPLANKTON; VULNERABILITY; MECHANISMS</t>
  </si>
  <si>
    <t>Ocean acidification is a global phenomenon, but it is overlaid by pronounced regional variability modulated by local physics, chemistry and biology. Recognition of its multifaceted nature and the interplay of acidification with other ocean drivers has led to international and regional initiatives to establish observation networks and develop unifying principles for biological responses. There is growing awareness of the threat presented by ocean acidification to ecosystem services and the socio-economic consequences are becoming increasingly apparent and quantifiable. In this higher-CO2 world, future challenges involve better design and rigorous testing of adaptation, mitigation and intervention options to offset the effects of ocean acidification at scales ranging from local to regional.</t>
  </si>
  <si>
    <t>[Hurd, Catriona L.; Boyd, Philip W.] Univ Tasmania, Inst Marine &amp; Antarctic Studies, Hobart, Tas, Australia; [Lenton, Andrew; Tilbrook, Bronte] CSIRO Oceans &amp; Atmosphere, Hobart, Tas, Australia; [Lenton, Andrew; Tilbrook, Bronte; Boyd, Philip W.] Univ Tasmania, Antarctic Climate &amp; Ecosyst Cooperat Res Ctr, Hobart, Tas, Australia</t>
  </si>
  <si>
    <t>University of Tasmania; Commonwealth Scientific &amp; Industrial Research Organisation (CSIRO); University of Tasmania; Antarctic Climate &amp; Ecosystems Cooperative Research Centre (ACE CRC)</t>
  </si>
  <si>
    <t>Hurd, CL (corresponding author), Univ Tasmania, Inst Marine &amp; Antarctic Studies, Hobart, Tas, Australia.</t>
  </si>
  <si>
    <t>catriona.hurd@utas.edu.au</t>
  </si>
  <si>
    <t>Tilbrook, Bronte/W-4007-2019; Boyd, Philip/J-7624-2014; Lenton, Andrew/D-2077-2012; Hurd, Catriona/J-2411-2013</t>
  </si>
  <si>
    <t>Tilbrook, Bronte/0000-0001-9385-3827; Boyd, Philip/0000-0001-7850-1911; Lenton, Andrew/0000-0001-9437-8896; Hurd, Catriona/0000-0001-9965-4917</t>
  </si>
  <si>
    <t>Australian Research Council's Special Research Initiative for Antarctic Gateway Partnership [SR140300001]; Australian Research Council (Laureate Fellowship) [FL160100131]; Antarctic Climate and Ecosystem Co-operative Research Centre</t>
  </si>
  <si>
    <t>Australian Research Council's Special Research Initiative for Antarctic Gateway Partnership(Australian Research Council); Australian Research Council (Laureate Fellowship)(Australian Research Council); Antarctic Climate and Ecosystem Co-operative Research Centre</t>
  </si>
  <si>
    <t>We acknowledge the sponsors and participants of the 4th International Symposium on the Ocean in a High CO2 World and the 3rd Global Ocean Acidification Observing Network workshop that helped define the research needs and directions. This project was supported under Australian Research Council's Special Research Initiative for Antarctic Gateway Partnership (Project ID SR140300001). P.W.B. acknowledges support from the Australian Research Council (Laureate Fellowship FL160100131). B.T. and P.W.B were supported by Antarctic Climate and Ecosystem Co-operative Research Centre.</t>
  </si>
  <si>
    <t>10.1038/s41558-018-0211-0</t>
  </si>
  <si>
    <t>WOS:000440299200017</t>
  </si>
  <si>
    <t>Fraser, CI; Morrison, AK; Hogg, AM; Macaya, EC; van Sebille, E; Ryan, PG; Padovan, A; Jack, C; Valdivia, N; Waters, JM</t>
  </si>
  <si>
    <t>Fraser, Ceridwen, I; Morrison, Adele K.; Hogg, Andrew McC; Macaya, Erasmo C.; van Sebille, Erik; Ryan, Peter G.; Padovan, Amanda; Jack, Cameron; Valdivia, Nelson; Waters, Jonathan M.</t>
  </si>
  <si>
    <t>Antarctica's ecological isolation will be broken by storm-driven dispersal and warming</t>
  </si>
  <si>
    <t>SOUTHERN; TRANSPORT; BARRIERS; SEA; VARIABILITY; TRACKING; TOOL</t>
  </si>
  <si>
    <t>Antarctica has long been considered biologically isolated'. Global warming will make parts of Antarctica more habitable for invasive taxa, yet presumed barriers to dispersal-especially the Southern Ocean's strong, circumpolar winds, ocean currents and fronts-have been thought to protect the region from non-anthropogenic colonizations from the north(1,2). We combine molecular and oceanographic tools to directly test for biological dispersal across the Southern Ocean. Genomic analyses reveal that rafting keystone kelps recently travelled &gt;20,000 km and crossed several ocean-front 'barriers' to reach Antarctica from mid-latitude source populations. High-resolution ocean circulation models, incorporating both mesoscale eddies and wave-driven Stokes drift, indicate that such Antarctic incursions are remarkably frequent and rapid. Our results demonstrate that storm-forced surface waves and ocean eddies can dramatically enhance oceanographic connectivity for drift particles in surface layers, and show that Antarctica is not biologically isolated. We infer that Antarctica's long-standing ecological differences have been the result of environmental extremes that have precluded the establishment of temperate-adapted taxa, but that such taxa nonetheless frequently disperse to the region. Global warming thus has the potential to allow the establishment of diverse new species-including keystone kelps that would drastically alter ecosystem dynamics-even without anthropogenic introductions.</t>
  </si>
  <si>
    <t>[Fraser, Ceridwen, I; Padovan, Amanda] Australian Natl Univ, Fenner Sch Environm &amp; Soc, Acton, ACT, Australia; [Morrison, Adele K.; Hogg, Andrew McC] Australian Natl Univ, Res Sch Earth Sci, Acton, ACT, Australia; [Morrison, Adele K.; Hogg, Andrew McC] Australian Natl Univ, ARC Ctr Excellence Climate Extremes, Acton, ACT, Australia; [Macaya, Erasmo C.] Univ Concepcion, Dept Oceanog, Concepcion, Chile; [Macaya, Erasmo C.; Valdivia, Nelson] Ctr FONDAP Invest Dinam Ecosistemas Marinos Altas, Santiago, Chile; [van Sebille, Erik] Univ Utrecht, Inst Marine &amp; Atmospher Res, Utrecht, Netherlands; [Ryan, Peter G.] Univ Cape Town, Percy FitzPatrick Inst African Ornithol, Rondebosch, South Africa; [Jack, Cameron] Australian Natl Univ, John Curtin Sch Med Res, ANU Bioinformat Consultancy, Acton, ACT, Australia; [Valdivia, Nelson] Univ Austral Chile, Fac Ciencias, Inst Ciencias Marinas &amp; Limnol, Valdivia, Chile; [Waters, Jonathan M.] Univ Otago, Dept Zool, Dunedin, New Zealand</t>
  </si>
  <si>
    <t>Australian National University; Australian National University; Australian National University; Universidad de Concepcion; Utrecht University; University of Cape Town; Australian National University; John Curtin School of Medical Research; Universidad Austral de Chile; University of Otago</t>
  </si>
  <si>
    <t>Fraser, CI (corresponding author), Australian Natl Univ, Fenner Sch Environm &amp; Soc, Acton, ACT, Australia.</t>
  </si>
  <si>
    <t>ceridwen.fraser@gmail.com</t>
  </si>
  <si>
    <t>van Sebille, Erik/F-6781-2010; Hogg, Andy McC./A-7553-2011; Macaya, Erasmo C/B-8651-2011; Waters, Jonathan/B-4983-2009; Jack, Cameron/AHC-8380-2022; Hogg, Andy/AAZ-8733-2021; Morrison, Adele/C-1774-2012; Valdivia, Nelson/C-3613-2009</t>
  </si>
  <si>
    <t>Hogg, Andy McC./0000-0001-5898-7635; Waters, Jonathan/0000-0002-1514-7916; Hogg, Andy/0000-0001-5898-7635; Jack, Cameron/0000-0002-0330-075X; Macaya, Erasmo C./0000-0002-9878-483X; Fraser, Ceridwen/0000-0002-6918-8959; Morrison, Adele/0000-0002-9904-4980; van Sebille, Erik/0000-0003-2041-0704; Valdivia, Nelson/0000-0002-5394-2072</t>
  </si>
  <si>
    <t>Australian Research Council [DE140101715, FT170100281, DE170100184]; Fondap-IDEAL grant from CONICYT-Chile [15150003]; Australian Research Council [FT170100281, DE170100184, DE140101715] Funding Source: Australian Research Council</t>
  </si>
  <si>
    <t>Australian Research Council(Australian Research Council); Fondap-IDEAL grant from CONICYT-Chile; Australian Research Council(Australian Research Council)</t>
  </si>
  <si>
    <t>We thank J. Lee and F. le Bouard for assistance with at-sea observations, and the Antarctic Circumpolar Expedition and Swiss Polar Institute for facilitating the surveys. We thank A. McGaughran and W. Blanchard for analytical advice. Kelp samples used in analyses included some specimens collected by others-see acknowledgments in ref.31. The oceanographic modelling was undertaken on the National Computational Infrastructure in Canberra, Australia, which is supported by the Australian Commonwealth Government. The research was funded by Australian Research Council grants to C.I.F. (DE140101715 and FT170100281) and A.K.M. (DE170100184), and Fondap-IDEAL grant 15150003 from CONICYT-Chile to E.C.M. and N.V.</t>
  </si>
  <si>
    <t>10.1038/s41558-018-0209-7</t>
  </si>
  <si>
    <t>WOS:000440299200020</t>
  </si>
  <si>
    <t>Benavent-González, A; Delgado-Baquerizo, M; Fernández-Brun, L; Singh, BK; Maestre, FT; Sancho, LG</t>
  </si>
  <si>
    <t>Benavent-Gonzalez, Alberto; Delgado-Baquerizo, Manuel; Fernandez-Brun, Laura; Singh, Brajesh K.; Maestre, Fernando T.; Sancho, Leopoldo G.</t>
  </si>
  <si>
    <t>Identity of plant, lichen and moss species connects with microbial abundance and soil functioning in maritime Antarctica</t>
  </si>
  <si>
    <t>PLANT AND SOIL</t>
  </si>
  <si>
    <t>Antarctic vegetation; Bacteria; Fungi; qPCR; Soil enzyme activities</t>
  </si>
  <si>
    <t>SPRINGTIME OZONE DEPLETION; BIOCRUST-FORMING LICHENS; ULTRAVIOLET-B RADIATION; SOUTH SHETLAND ISLANDS; VICTORIA-LAND; ECOSYSTEM MULTIFUNCTIONALITY; DESCHAMPSIA-ANTARCTICA; LIVINGSTON ISLAND; ENZYME-ACTIVITIES; TENGGER DESERT</t>
  </si>
  <si>
    <t>Background and aims We lack studies evaluating how the identity of plant, lichen and moss species relates to microbial abundance and soil functioning on Antarctica. If species identity is associated with soil functioning, distributional changes of key species, linked to climate change, could significantly affect Antarctic soil functioning. Methods We evaluated how the identity of six Antarctic plant, lichen and moss species relate to a range of soil attributes (C, N and P cycling), microbial abundance and structure in Livingston Island, Maritime Antarctica. We used an effect size metric to predict the association between species (vs. bare soil) and the measured soil attributes. Results We observed species-specific effects of the plant and biocrust species on soil attributes and microbial abundance. Phenols, phosphatase and beta-D-cellobiosidase activities were the most important attributes characterizing the observed patterns. We found that the evaluated species positively correlated with soil nutrient availability and microbial abundance vs. bare soil. Conclusions We provide evidence, from a comparative study, that plant and biocrust identity is associated with different levels of soil functioning and microbial abundance in Maritime Antarctica. Our results suggest that changes in the spatial distribution of these species linked to climate change could potentially entail changes in the functioning of Antarctic terrestrial ecosystems.</t>
  </si>
  <si>
    <t>[Benavent-Gonzalez, Alberto; Sancho, Leopoldo G.] Univ Complutense Madrid, Dept Biol Vegetal 2, Fac Farm, Pz Ramon y Cajal S-N, E-28040 Madrid, Spain; [Delgado-Baquerizo, Manuel] Univ Colorado, Cooperat Inst Res Environm Sci, Boulder, CO 80309 USA; [Delgado-Baquerizo, Manuel; Fernandez-Brun, Laura; Maestre, Fernando T.] Univ Rey Juan Carlos, Escuela Super Ciencias Expt &amp; Tecnol, Dept Biol &amp; Geol Fis &amp; Quim Inorgan, Mostoles 28933, Spain; [Singh, Brajesh K.] Western Sydney Univ, Hawkesbury Inst Environm, Penrith, NSW 2751, Australia; [Singh, Brajesh K.] Univ Western Sydney, Global Ctr Land Based Innovat, Bldg L9,Locked Bag 1797, Penrith, NSW 2751, Australia</t>
  </si>
  <si>
    <t>Complutense University of Madrid; University of Colorado System; University of Colorado Boulder; Universidad Rey Juan Carlos; Western Sydney University; Western Sydney University</t>
  </si>
  <si>
    <t>Benavent-González, A (corresponding author), Univ Complutense Madrid, Dept Biol Vegetal 2, Fac Farm, Pz Ramon y Cajal S-N, E-28040 Madrid, Spain.</t>
  </si>
  <si>
    <t>alberban@ucm.es</t>
  </si>
  <si>
    <t>Delgado-Baquerizo, Manuel/L-3653-2017; Singh, Brajesh/R-6321-2019; Maestre, Fernando T./A-6825-2008; DELGADO-BAQUERIZO, MANUEL/GLS-0346-2022; SANCHO, LEOPOLDO/G-9120-2015</t>
  </si>
  <si>
    <t>Delgado-Baquerizo, Manuel/0000-0002-6499-576X; Singh, Brajesh/0000-0003-4413-4185; Maestre, Fernando T./0000-0002-7434-4856; DELGADO-BAQUERIZO, MANUEL/0000-0002-6499-576X; BENAVENT GONZALEZ, ALBERTO/0000-0002-3374-8379; SANCHO, LEOPOLDO/0000-0002-4751-7475</t>
  </si>
  <si>
    <t>Spanish Ministerio de Economia y Competitividad [CTM2015-64728-C2-1-R, CTM2012-38222-CO2-01, CGL2013-44661-R, EEBB-I-15-09187]; European Research Council (BIODESERT project, ERC Grant) [647038]; FPI from Spanish Ministerio de Economia y Competitividad [BES-2013-062945]; Marie Sklodowska-Curie Actions of the Horizon 2020 Framework Program under REA [702057]; BES (MUSGONET) [LRA17\1193]; Australian Research Council [DP170104634]; European Research Council (ERC) [647038] Funding Source: European Research Council (ERC)</t>
  </si>
  <si>
    <t>Spanish Ministerio de Economia y Competitividad(Spanish Government); European Research Council (BIODESERT project, ERC Grant); FPI from Spanish Ministerio de Economia y Competitividad; Marie Sklodowska-Curie Actions of the Horizon 2020 Framework Program under REA; BES (MUSGONET); Australian Research Council(Australian Research Council); European Research Council (ERC)(European Research Council (ERC)Spanish Government)</t>
  </si>
  <si>
    <t>We thank the reviewers and editor of this article for their constructive and precise comments. We also thank Victoria Ochoa, Beatriz Gozalo and Chanda Trivedi for their kind assistance through laboratory work and Jasmine Grinyer for revising the English of this manuscript. We thank Jose Manuel Blanquer, the B.I.O. Hesperides crew and the Spanish Antarctic Base JCI team for their support during the field campaign. This research was supported by grants from the Spanish Ministerio de Economia y Competitividad (CTM2015-64728-C2-1-R, CTM2012-38222-CO2-01 and CGL2013-44661-R) and the European Research Council (BIODESERT project, ERC Grant agreement no 647038). ABG was supported by FPI (BES-2013-062945) and short stay (EEBB-I-15-09187) grants from Spanish Ministerio de Economia y Competitividad. MDB is supported from the Marie Sklodowska-Curie Actions of the Horizon 2020 Framework Program H2020-MSCA-IF-2016 under REA grant agreement no 702057 and from the BES (MUSGONET) grant agreement no LRA17\1193. BKS work is supported by the Australian Research Council (DP170104634).</t>
  </si>
  <si>
    <t>0032-079X</t>
  </si>
  <si>
    <t>1573-5036</t>
  </si>
  <si>
    <t>PLANT SOIL</t>
  </si>
  <si>
    <t>Plant Soil</t>
  </si>
  <si>
    <t>10.1007/s11104-018-3721-7</t>
  </si>
  <si>
    <t>Agronomy; Plant Sciences; Soil Science</t>
  </si>
  <si>
    <t>Agriculture; Plant Sciences</t>
  </si>
  <si>
    <t>GO1YU</t>
  </si>
  <si>
    <t>WOS:000439759200004</t>
  </si>
  <si>
    <t>Schaafsma, FL; Cherel, Y; Flores, H; van Franeker, JA; Lea, MA; Raymond, B; van de Putte, AP</t>
  </si>
  <si>
    <t>Schaafsma, Fokje L.; Cherel, Yves; Flores, Hauke; van Franeker, Jan Andries; Lea, Mary-Anne; Raymond, Ben; van de Putte, Anton P.</t>
  </si>
  <si>
    <t>Review: the energetic value of zooplankton and nekton species of the Southern Ocean</t>
  </si>
  <si>
    <t>KRILL EUPHAUSIA-SUPERBA; FATTY-ACID-COMPOSITION; EASTERN WEDDELL SEA; WESTERN ROSS SEA; ANTARCTIC KRILL; BIOCHEMICAL-COMPOSITION; PROXIMATE COMPOSITION; CHEMICAL-COMPOSITION; NOTOTHENIOID FISH; MCMURDO-SOUND</t>
  </si>
  <si>
    <t>Understanding the energy flux through food webs is important for estimating the capacity of marine ecosystems to support stocks of living resources. The energy density of species involved in trophic energy transfer has been measured in a large number of small studies, scattered over a 40-year publication record. Here, we reviewed energy density records of Southern Ocean zooplankton, nekton and several benthic taxa, including previously unpublished data. Comparing measured taxa, energy densities were highest in myctophid fishes (ranging from 17.1 to 39.3 kJ g(-1) DW), intermediate in crustaceans (7.1 to 25.3 kJ g(-1) DW), squid (16.2 to 24.0 kJ g(-1) DW) and other fish families (14.8 to 29.9 kJ g(-1) DW), and lowest in jelly fish (10.8 to 18.0 kJ g(-1) DW), polychaetes (9.2 to 14.2 kJ g(-1) DW) and chaetognaths (5.0-11.7 kJ g(-1) DW). Data reveals differences in energy density within and between species related to size, age and other life cycle parameters. Important taxa in Antarctic food webs, such as copepods, squid and small euphausiids, remain under-sampled. The variability in energy density of Electrona antarctica was likely regional rather than seasonal, although for many species with limited data it remains difficult to disentangle regional and seasonal variability. Models are provided to estimate energy density more quickly using a species' physical parameters. It will become increasingly important to close knowledge gaps to improve the ability of bioenergetic and food web models to predict changes in the capacity of Antarctic ecosystems to support marine life.</t>
  </si>
  <si>
    <t>[Schaafsma, Fokje L.; van Franeker, Jan Andries] Wageningen Marine Res, Ankerpk 27, NL-1781 AG Den Helder, Netherlands; [Cherel, Yves] CNRS, Ctr Etud Biol Chize, UMR 7372, F-79360 Villiers En Bois, France; [Cherel, Yves] Univ La Rochelle, F-79360 Villiers En Bois, France; [Flores, Hauke] Helmholtz Zentrum Polar &amp; Meeresforsch, Alfred Wegener Inst, Handeshafen 12, D-27570 Bremerhaven, Germany; [Lea, Mary-Anne; Raymond, Ben] Univ Tasmania, Inst Marine &amp; Antarctic Studies, 20 Castray Esplanade, Hobart, Tas 7004, Australia; [Raymond, Ben] Dept Environm &amp; Energy, Australian Antarctic Div, 203 Channel Highway, Kingston, Tas 7050, Australia; [Raymond, Ben] Univ Tasmania, Antarctic &amp; Climate Ecosyst Cooperat Res Ctr, Private Bag 80, Hobart, Tas 7001, Australia; [van de Putte, Anton P.] Royal Belgian Inst Nat Sci, Vautierstr 29, B-1000 Brussels, Belgium</t>
  </si>
  <si>
    <t>Wageningen University &amp; Research; Centre National de la Recherche Scientifique (CNRS); CNRS - Institute of Ecology &amp; Environment (INEE); La Rochelle Universite; Helmholtz Association; Alfred Wegener Institute, Helmholtz Centre for Polar &amp; Marine Research; University of Tasmania; Australian Antarctic Division; Antarctic Climate &amp; Ecosystems Cooperative Research Centre (ACE CRC); University of Tasmania; Royal Belgian Institute of Natural Sciences</t>
  </si>
  <si>
    <t>Schaafsma, FL (corresponding author), Wageningen Marine Res, Ankerpk 27, NL-1781 AG Den Helder, Netherlands.</t>
  </si>
  <si>
    <t>fokje.schaafsma@wur.nl</t>
  </si>
  <si>
    <t>Flores, Hauke/ABD-1888-2020; Van de Putte, Anton/S-3729-2019; Lea, Mary-Anne/E-9054-2013</t>
  </si>
  <si>
    <t>Flores, Hauke/0000-0003-1617-5449; Van de Putte, Anton/0000-0003-1336-5554; Schaafsma, Fokje/0000-0002-8945-2868; Lea, Mary-Anne/0000-0001-8318-9299</t>
  </si>
  <si>
    <t>Netherlands Organisation for Scientific Research (NWO) [ALW 866.13.009]; Belgian Science Policy Office (BELSPO) [FR/36/AN1/AntABIS]; [AWI-PS81_01]; [AWI-PS89_02]</t>
  </si>
  <si>
    <t>Netherlands Organisation for Scientific Research (NWO)(Netherlands Organization for Scientific Research (NWO)); Belgian Science Policy Office (BELSPO)(Belgian Federal Science Policy Office); ;</t>
  </si>
  <si>
    <t>Antarctic research by Wageningen Marine Research is commissioned by the Netherlands Ministry of Agriculture, Nature and Food Quality (LNV) under its Statutory Research Task Nature &amp; Environment WOT-04-009-047.04. The Netherlands Polar Programme (NPP), managed by the Netherlands Organisation for Scientific Research (NWO) funded this research under project nr. ALW 866.13.009. This study was furthermore conducted under the Helmholtz Association Research Programme Polar regions And Coasts in the changing Earth System II (PACES II), Topic 1, WP 5 as part of the Helmholtz Association Young Investigators Group Iceflux: Ice-ecosystem carbon flux in polar oceans (VH-NG-800). Logistics for Antarctic field work on Polarstern were provided under expedition Grants no: AWI-PS81_01 (WISKY) and AWI-PS89_02. This is a contribution of the SCAR Antarctic Biodiversity Platform (http://www.biodiversity.aq), funded by the Belgian Science Policy Office (BELSPO, contract no FR/36/AN1/AntABIS).</t>
  </si>
  <si>
    <t>10.1007/s00227-018-3386-z</t>
  </si>
  <si>
    <t>GN6OB</t>
  </si>
  <si>
    <t>WOS:000439208300002</t>
  </si>
  <si>
    <t>Liu, NY; Brooks, CM</t>
  </si>
  <si>
    <t>Liu, Nengye; Brooks, Cassandra M.</t>
  </si>
  <si>
    <t>China's changing position towards marine protected areas in the Southern Ocean: Implications for future Antarctic governance</t>
  </si>
  <si>
    <t>China; Southern Ocean; Antarctica; Marine protected area</t>
  </si>
  <si>
    <t>INTERNATIONAL-LAW; SCIENCE; MANAGEMENT</t>
  </si>
  <si>
    <t>The paper first briefly describes the negotiation process of Marine Protected Areas (MPAs) in the Southern Ocean. Then it examines China's changing position towards the establishment of a Ross Sea MPA, as proposed by the United States and New Zealand in the Commission for Conservation of Antarctic Marine Living Resources. Finally, the paper explores how China's position towards or against Southern Ocean MPAs implies China's future role in Antarctic governance.</t>
  </si>
  <si>
    <t>[Liu, Nengye] Univ Adelaide, Adelaide Law Sch, Adelaide, SA 5005, Australia; [Brooks, Cassandra M.] Univ Colorado, Environm Studies Program, 397 UCB, Boulder, CO 80309 USA</t>
  </si>
  <si>
    <t>University of Adelaide; University of Colorado System; University of Colorado Boulder</t>
  </si>
  <si>
    <t>Liu, NY (corresponding author), Univ Adelaide, Adelaide Law Sch, Adelaide, SA 5005, Australia.</t>
  </si>
  <si>
    <t>nengye.liu@adelaide.edu.au</t>
  </si>
  <si>
    <t>Brooks, Cassandra/0000-0002-1397-0394; /0000-0002-2995-5017</t>
  </si>
  <si>
    <t>10.1016/j.marpol.2018.05.011</t>
  </si>
  <si>
    <t>WOS:000438659600021</t>
  </si>
  <si>
    <t>Imae, N; Yamaguchi, A; Kimura, M</t>
  </si>
  <si>
    <t>Imae, N.; Yamaguchi, A.; Kimura, M.</t>
  </si>
  <si>
    <t>RECENT CLASSIFICATION OF NIPR ANTARCTIC METEORITES.</t>
  </si>
  <si>
    <t>81st Annual Meeting of the Meteoritical-Society</t>
  </si>
  <si>
    <t>JUL 22-27, 2018</t>
  </si>
  <si>
    <t>Moscow, RUSSIA</t>
  </si>
  <si>
    <t>[Imae, N.; Yamaguchi, A.; Kimura, M.] Natl Inst Polar Res, 10-3 Midori Cho, Tachikawa, Tokyo 1908518, Japan; [Imae, N.; Yamaguchi, A.] SOKENDAI, 10-3 Midori Cho, Tachikawa, Tokyo 1908518, Japan</t>
  </si>
  <si>
    <t>Research Organization of Information &amp; Systems (ROIS); National Institute of Polar Research (NIPR) - Japan</t>
  </si>
  <si>
    <t>GM5VR</t>
  </si>
  <si>
    <t>WOS:000438212400114</t>
  </si>
  <si>
    <t>Bulat, SA; Bulat, ES; Grokhovsky, VI; Muftakhetdinova, RF; Kolunin, RN; Tselmovich, VA; Sekatski, SK; Smirnov, AA; Ekaykin, AA; Petit, JR</t>
  </si>
  <si>
    <t>Bulat, S. A.; Bulat, E. S.; Grokhovsky, V. I.; Muftakhetdinova, R. F.; Kolunin, R. N.; Tselmovich, V. A.; Sekatski, S. K.; Smirnov, A. A.; Ekaykin, A. A.; Petit, J-R.</t>
  </si>
  <si>
    <t>SEARCH FOR ANTARCTIC MICROMETEORITES IN BLUE ICE FIELD, LOMONOSOV MOUNTAINS, VOLTAT MASSIVE, QUEEN MAUD LAND, EAST ANTARCTICA</t>
  </si>
  <si>
    <t>[Bulat, S. A.; Bulat, E. S.] NRC KI PNPI, Gatchina 350000, Leningrad Regio, Russia; [Bulat, S. A.; Grokhovsky, V. I.; Muftakhetdinova, R. F.; Kolunin, R. N.] Ural Fed Univ, Ekaterinburg 620002, Russia; [Tselmovich, V. A.] IFZ RAS, GO Borok, Borok 152742, Yaroslavl Regio, Russia; [Muftakhetdinova, R. F.; Sekatski, S. K.; Smirnov, A. A.] Ecole Polytech Fed Lausanne, IPHYS, LPMV, BSP 408, CH-1015 Lausanne, Switzerland; [Ekaykin, A. A.] AARI, St Petersburg 199397, Russia; [Petit, J-R.] UGA, CNRS, IRD, Grenoble INP,IGE, F-38000 Grenoble, France</t>
  </si>
  <si>
    <t>Ural Federal University; Swiss Federal Institutes of Technology Domain; Ecole Polytechnique Federale de Lausanne; Arctic &amp; Antarctic Research Institute; Centre National de la Recherche Scientifique (CNRS); Institut de Recherche pour le Developpement (IRD); Communaute Universite Grenoble Alpes; Universite Grenoble Alpes (UGA); Institut National Polytechnique de Grenoble</t>
  </si>
  <si>
    <t>bulat@omrb.pnpi.spb.ru; grokh47@mail.ru; tselm@mail.ru; serguei.sekatski@epfl.ch; ekaykin@aari.ru; jean-robert.petit@univ-grenoble-alpes.fr</t>
  </si>
  <si>
    <t>Grokhovsky, Victor I/B-4388-2014; Smirnov, Alexey Sergeevich/AAB-2521-2020</t>
  </si>
  <si>
    <t>Smirnov, Alexey Sergeevich/0000-0001-5361-8232</t>
  </si>
  <si>
    <t>WOS:000438212400033</t>
  </si>
  <si>
    <t>Engrand, C; Dartois, E; Duprat, J; Charon, E; Leroux, H; Le Guillou, C; Bernard, S; Benzerara, K; Swaraj, S; Belkhou, R; Delauche, L; Godard, M; Augé, B</t>
  </si>
  <si>
    <t>Engrand, C.; Dartois, E.; Duprat, J.; Charon, E.; Leroux, H.; Le Guillou, C.; Bernard, S.; Benzerara, K.; Swaraj, S.; Belkhou, R.; Delauche, L.; Godard, M.; Auge, B.</t>
  </si>
  <si>
    <t>COMPOSITION OF ULTRACARBONACEOUS ANTARCTIC MICROMETEORITES (UCAMMS). COMPARISON WITH ROSETTA/COSIMA ANALYSES.</t>
  </si>
  <si>
    <t>COMPONENT; DUST</t>
  </si>
  <si>
    <t>[Engrand, C.; Duprat, J.; Delauche, L.; Godard, M.; Auge, B.] Univ Paris Saclay, Univ Paris Sud, CSNSM, CNRS, F-91405 Orsay, France; [Dartois, E.] Univ Paris Saclay, Univ Paris Sud, ISMO, CNRS, F-91400 Orsay, France; [Charon, E.] Univ Paris Saclay, CEA Saclay, NIMBE, CEA,CNRS, F-91191 Gif Sur Yvette, France; [Leroux, H.; Le Guillou, C.] Univ Lille 1, UMET, F-59650 Villeneuve Dascq, France; [Bernard, S.; Benzerara, K.] Sorbonne Univ, CNRS, MNHN, IMPMC, 4 Pl Jussieu, F-75005 Paris, France; [Swaraj, S.; Belkhou, R.] HERMES Beamline, Synchrotron SOLEIL, Saclay St Aubin, France</t>
  </si>
  <si>
    <t>Universite Paris Saclay; Universite Paris Cite; Centre National de la Recherche Scientifique (CNRS); Centre National de la Recherche Scientifique (CNRS); Universite Paris Cite; Universite Paris Saclay; Universite Paris Cite; Universite Paris Saclay; Centre National de la Recherche Scientifique (CNRS); CEA; Universite de Lille; Museum National d'Histoire Naturelle (MNHN); Centre National de la Recherche Scientifique (CNRS); Institut de Recherche pour le Developpement (IRD); Sorbonne Universite; SOLEIL Synchrotron</t>
  </si>
  <si>
    <t>cecile.engrand@csnsm.in2p3.fr</t>
  </si>
  <si>
    <t>Charon, Emeline/O-7617-2018; Charon, Emeline/AAH-1468-2020; Godard, Marie/H-6451-2011; Le Guillou, Corentin/D-4982-2013; Benzerara, Karim/J-1532-2016</t>
  </si>
  <si>
    <t>Charon, Emeline/0000-0003-2034-9528; Godard, Marie/0000-0002-7276-4021; Benzerara, Karim/0000-0002-0553-0137</t>
  </si>
  <si>
    <t>WOS:000438212400072</t>
  </si>
  <si>
    <t>Merouane, S; Günther, S; Chitarra, O; Stenzel, O; Hilchenbach, M; Engrand, C; Tarcea, N</t>
  </si>
  <si>
    <t>Merouane, S.; Guenther, S.; Chitarra, O.; Stenzel, O.; Hilchenbach, M.; Engrand, C.; Tarcea, N.</t>
  </si>
  <si>
    <t>INVESTIGATION OF ANTARCTIC METEORITES AND SELECTED CARBONACEOUS CHONDRITES BY RAMAN SPECTROSCOPY, ELECTRON MICROSCOPY AND MASS SPECTROMETRY</t>
  </si>
  <si>
    <t>MICROMETEORITES</t>
  </si>
  <si>
    <t>[Merouane, S.; Guenther, S.; Chitarra, O.; Stenzel, O.; Hilchenbach, M.] Max Planck Inst Sonnensyst Forsch, Justus von Liebig Weg 3, D-37077 Gottingen, Germany; [Guenther, S.] Georg August Univ Gottingen, Geowissensch Zentrum, Goldschmidstr 3, D-37077 Gottingen, Germany; [Chitarra, O.] Univ Paris Saclay, 15 Rue Georges Clemenceau, F-91400 Orsay, France; [Engrand, C.] Univ Paris Saclay, CSNSM, CNRS, IN2P3, Bat 104, F-91405 Orsay, France; [Tarcea, N.] Friedrich Schiller Univ Jena, Helmholtzweg 4, D-07743 Jena, Germany</t>
  </si>
  <si>
    <t>Max Planck Society; University of Gottingen; Universite Paris Cite; Universite Paris Saclay; Universite Paris Saclay; Centre National de la Recherche Scientifique (CNRS); CNRS - National Institute of Nuclear and Particle Physics (IN2P3); Universite Paris Cite; Friedrich Schiller University of Jena</t>
  </si>
  <si>
    <t>meroua-ne@mps.mpg.de</t>
  </si>
  <si>
    <t>Günther, Sebastian/JPX-5386-2023</t>
  </si>
  <si>
    <t>Günther, Sebastian/0000-0003-0173-7314</t>
  </si>
  <si>
    <t>WOS:000438212400205</t>
  </si>
  <si>
    <t>Greenwood, RC; Barrat, JA; Miller, MF; Anand, M; Dauphas, N; Franchi, IA; Sillard, P; Starkey, NA</t>
  </si>
  <si>
    <t>Greenwood, R. C.; Barrat, J-A; Miller, M. F.; Anand, M.; Dauphas, N.; Franchi, I. A.; Sillard, P.; Starkey, N. A.</t>
  </si>
  <si>
    <t>OXYGEN ISOTOPE EVIDENCE FOR A HIGH-ENERGY MOON-FORMING GIANT IMPACT AND EARLY DELIVERY OF EARTH'S WATER.</t>
  </si>
  <si>
    <t>ORIGIN</t>
  </si>
  <si>
    <t>[Greenwood, R. C.; Miller, M. F.; Anand, M.; Franchi, I. A.; Starkey, N. A.] Open Univ, Planetary &amp; Space Sci, Milton Keynes MK7 6AA, Bucks, England; [Barrat, J-A] Univ Bretagne Occidentale, Brest, France; [Miller, M. F.] British Antarctic Survey, Cambridge CB3 0ET, England; [Anand, M.] Nat Hist Museum, London SW7 5BD, England; [Dauphas, N.] Univ Chicago, Origins Lab, Chicago, IL 60637 USA; [Sillard, P.] Ctr Rech Econ &amp; Stat, F-91120 Palaiseau, France</t>
  </si>
  <si>
    <t>Open University - UK; Universite de Bretagne Occidentale; UK Research &amp; Innovation (UKRI); Natural Environment Research Council (NERC); NERC British Antarctic Survey; Natural History Museum London; University of Chicago</t>
  </si>
  <si>
    <t>r.c.green-wood@open.ac.uk</t>
  </si>
  <si>
    <t>Anand, Mahesh/E-9259-2013; Sillard, Patrick/IZP-9379-2023; Miller, Martin F./AFL-7337-2022; Barrat, Jean-Alix/C-8416-2017</t>
  </si>
  <si>
    <t>Miller, Martin F./0000-0002-7735-0098;</t>
  </si>
  <si>
    <t>WOS:000438212400089</t>
  </si>
  <si>
    <t>Guan, Y; Haran, M; Pollard, D</t>
  </si>
  <si>
    <t>Guan, Yawen; Haran, Murali; Pollard, David</t>
  </si>
  <si>
    <t>Inferring ice thickness from a glacier dynamics model and multiple surface data sets</t>
  </si>
  <si>
    <t>ENVIRONMETRICS</t>
  </si>
  <si>
    <t>25th Annual International Conference of the International-Environmetrics-Society (TIES)</t>
  </si>
  <si>
    <t>NOV 22-25, 2015</t>
  </si>
  <si>
    <t>United Arab Emirates Univ, Al Ain, U ARAB EMIRATES</t>
  </si>
  <si>
    <t>United Arab Emirates Univ</t>
  </si>
  <si>
    <t>Gaussian process; glacier dynamics; hierarchical Bayes; ice sheet; Markov chain Monte Carlo; West Antarctic ice sheet</t>
  </si>
  <si>
    <t>GROUNDING-LINE RETREAT; DIFFERENTIAL-EQUATIONS; PARAMETER-ESTIMATION; WEST ANTARCTICA; THWAITES; SHEET; TOPOGRAPHY; GREENLAND; STREAMS</t>
  </si>
  <si>
    <t>The future behavior of the West Antarctic Ice Sheet (WAIS) may have a major impact on future climate. For instance, ice sheet melt may contribute significantly to global sea-level rise. Understanding the current state of the WAIS is therefore of great interest. The WAIS is drained by fast-flowing glaciers, which are major contributors to ice loss. Hence, understanding the stability and dynamics of glaciers is critical for predicting the future of the ice sheet. Glacier dynamics are driven by the interplay between the topography, temperature, and basal conditions beneath the ice. A glacier dynamics model describes the interactions between these processes. We develop a hierarchical Bayesian model that integrates multiple ice-sheet surface data sets with a glacier dynamics model. Our approach allows us to (a) infer important parameters describing the glacier dynamics, (b) learn about ice sheet thickness, and (c) account for errors in the observations and the model. Because we have relatively dense and accurate ice thickness data from the Thwaites Glacier in West Antarctica, we use these data to validate the proposed approach. The long-term goal of this work is to have a general model that may be used to study multiple glaciers in the Antarctic.</t>
  </si>
  <si>
    <t>[Guan, Yawen; Haran, Murali] Penn State Univ, Dept Stat, University Pk, PA 16802 USA; [Pollard, David] Penn State Univ, Earth &amp; Environm Syst Inst,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</si>
  <si>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</si>
  <si>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Haran, M (corresponding author), Penn State Univ, Dept Stat, University Pk, PA 16802 USA.</t>
  </si>
  <si>
    <t>muh10@psu.edu</t>
  </si>
  <si>
    <t>Guan, Yawen/0000-0003-4563-1263</t>
  </si>
  <si>
    <t>National Science Foundation [NSF-DMS- 1418090, NSF/OCE/FESD 1202632, NSF/OPP/ANT 1341394]; Network for Sustainable Climate Risk Management [GEO1240507]; NSF Statistical Methods in the Atmospheric Sciences Network [1106862, 1106974, 1107046]; Division Of Mathematical Sciences; Direct For Mathematical &amp; Physical Scien [1106974, 1418090, 1107046, 1106862] Funding Source: National Science Foundation</t>
  </si>
  <si>
    <t>National Science Foundation(National Science Foundation (NSF)); Network for Sustainable Climate Risk Management; NSF Statistical Methods in the Atmospheric Sciences Network; Division Of Mathematical Sciences; Direct For Mathematical &amp; Physical Scien(National Science Foundation (NSF)NSF - Directorate for Mathematical &amp; Physical Sciences (MPS))</t>
  </si>
  <si>
    <t>National Science Foundation, Grant/Award Number: NSF-DMS- 1418090, NSF/OCE/FESD 1202632, and NSF/OPP/ANT 1341394; Network for Sustainable Climate Risk Management, Grant/Award Number: GEO1240507; NSF Statistical Methods in the Atmospheric Sciences Network, Grant/Award Number: 1106862, 1106974, and 1107046</t>
  </si>
  <si>
    <t>1180-4009</t>
  </si>
  <si>
    <t>1099-095X</t>
  </si>
  <si>
    <t>Environmetrics</t>
  </si>
  <si>
    <t>AUG-SEP</t>
  </si>
  <si>
    <t>e2460</t>
  </si>
  <si>
    <t>10.1002/env.2460</t>
  </si>
  <si>
    <t>Environmental Sciences; Mathematics, Interdisciplinary Applications; Statistics &amp; Probability</t>
  </si>
  <si>
    <t>Environmental Sciences &amp; Ecology; Mathematics</t>
  </si>
  <si>
    <t>GM8QP</t>
  </si>
  <si>
    <t>WOS:000438498000007</t>
  </si>
  <si>
    <t>Cornacchia, I; Brandano, M; Raffi, I; Tomassetti, L; Flores, I</t>
  </si>
  <si>
    <t>Cornacchia, Irene; Brandano, Marco; Raffi, Isabella; Tomassetti, Laura; Flores, Isabella</t>
  </si>
  <si>
    <t>The Eocene-Oligocene transition in the C-isotope record of the carbonate successions in the Central Mediterranean</t>
  </si>
  <si>
    <t>C-cycle; Carbonate ramp; Cenozoic; Majella; Massignano</t>
  </si>
  <si>
    <t>ANTARCTIC GLACIATION; SOUTHERN-OCEAN; CALCAREOUS NANNOFOSSILS; ICE-SHEET; MIOCENE; APENNINES; EVOLUTION; FACIES; CIRCULATION; MARGIN</t>
  </si>
  <si>
    <t>The Eocene-Oligocene transition marks a fundamental step in the evolution of the modern climate. This climate change and the consequent major oceanic reorganisation affected the global carbon cycle, whose dynamics across this crucial interval are far from being clearly understood. In this work, the upper Eocene to lower Oligocene delta C-13(Carb) and delta C-13(TOC) records of a shallow-water and a hemipelagic carbonate settings within the Central Mediterranean area have been studied and discussed. The shallow-water carbon isotope signal has been analysed in the northern portion of the Apula Platform, cropping out in the Majella Mountain, Central Apennines (Santo Spirito Formation). A coeval Umbria-Marche basinal succession has been investigated in the Massignano section (Conero area, Central Italy). The purposes of this work are: to discriminate between the global and the local (Mediterranean) signature of C-isotope record during the Oi-1 event, to correlate the regional C-isotope signal with the global record, and to evaluate the carbon cycle dynamics across the greenhouse-icehouse transition through the integration of complementary records (shallow-water vs pelagic settings, delta C-13(Carb) vs delta C-13(TOC)). The upper Eocene carbon isotope record of the analysed successions matches with the global signal. The overall trend shows a decrease of the delta C-13(Carb) and a contemporary increase of the delta C-13(TOC). The decoupling of the two curves is consistent with a reduced fractionation effect by primary producers that characterised the interval between the Middle Eocene Climatic Optimum and the onset of the Oi-1 event. However, regional factors superimposed the global signal. In fact, the upper Eocene basinal delta C-13(TOC) record is marked by short-term negative spikes, which possibly represent times of higher productivity triggered by the westward subtropical Eocene Neo-tethys current entering from the Arabian-Eurasian gateway. On the contrary, the shallow-water record does not display these short-term productivity pulses. A change in the carbonate factory is only recorded at the Eocene-Oligocene transition, marked by a reduction of the larger benthic foraminifera and the spread of seagrass and corals. Moreover, in the shallow-water record of the Santo Spirito Formation, no major carbon isotope shift related to the Oi-1 event is recorded due to the presence of extensive slumps that disrupt the bedding. These slumps are the main evidence of the sea-level drop that occurred concomitantly with the onset of the Antarctica ice-sheet, which caused the deepening of the storm wave base and increased the instability over the entire ramp.</t>
  </si>
  <si>
    <t>[Cornacchia, Irene; Brandano, Marco; Tomassetti, Laura; Flores, Isabella] Univ Roma La Sapienza, Dipartimento Sci Terra, P Aldo Moro 5, I-00185 Rome, Italy; [Brandano, Marco] CNR, IGAG, Sea Sapienza, Dipartimento Sci Terra, P Aldo Moro 5, I-00185 Rome, Italy; [Raffi, Isabella] Univ G dAnnunzio, Dipartimento Ingn &amp; Geol, Via Vestini 31, I-66013 Chieti, Italy</t>
  </si>
  <si>
    <t>Sapienza University Rome; Consiglio Nazionale delle Ricerche (CNR); Istituto di Geologia Ambientale e Geoingegneria (IGAG-CNR); G d'Annunzio University of Chieti-Pescara</t>
  </si>
  <si>
    <t>Cornacchia, I (corresponding author), Univ Roma La Sapienza, Dipartimento Sci Terra, P Aldo Moro 5, I-00185 Rome, Italy.</t>
  </si>
  <si>
    <t>irene.cornacchia@uniroma1.it</t>
  </si>
  <si>
    <t>Brandano, Marco/D-4843-2012; Raffi, Isabella/AAY-5505-2020; CORNACCHIA, Irene/AAZ-3536-2020; Tomassetti, Laura/B-6164-2014; Flores, Isabella/HHC-3802-2022</t>
  </si>
  <si>
    <t>Brandano, Marco/0000-0003-1657-9486; Raffi, Isabella/0000-0002-5192-7477; CORNACCHIA, Irene/0000-0002-5658-2367; Tomassetti, Laura/0000-0001-9989-9105;</t>
  </si>
  <si>
    <t>Sapienza, University di Roma; University degli Studi G. d'Annunzio di Chieti-Pescara; IAS Post-graduate Grant Scheme</t>
  </si>
  <si>
    <t>This research benefitted from the financial support of the Sapienza, University di Roma (Ateneo Project, MB; Avvio alla Ricerca Project, IC), from the University degli Studi G. d'Annunzio di Chieti-Pescara (IR), and from the IAS Post-graduate Grant Scheme 2015 (IC). Comments and criticisms from Editor Liviu Matenco, E. Mattioli and an anonymous reviewer significantly improved this manuscript. Many thanks go to Dr. Domenico Mannetta for providing the thin sections, and to Dr. Mauro Brilli and Dr. Francesca Giustini for their help in the isotope geochemistry laboratory.</t>
  </si>
  <si>
    <t>10.1016/j.gloplacha.2018.05.012</t>
  </si>
  <si>
    <t>WOS:000438322900009</t>
  </si>
  <si>
    <t>Leach, EC; Burwell, CJ; Jones, DN; Kitching, RL</t>
  </si>
  <si>
    <t>Leach, Elliot C.; Burwell, Chris J.; Jones, Darryl N.; Kitching, Roger L.</t>
  </si>
  <si>
    <t>Modelling the responses of Australian subtropical rainforest birds to changes in environmental conditions along elevational gradients</t>
  </si>
  <si>
    <t>AUSTRAL ECOLOGY</t>
  </si>
  <si>
    <t>altitude; bird assemblage; climate change; fourth-corner problem; generalized linear mixed model; traits</t>
  </si>
  <si>
    <t>SPECIES RICHNESS; VEGETATION STRUCTURE; SEASONAL-VARIATION; CLIMATE-CHANGE; BODY-SIZE; COMMUNITY; HABITAT; DIVERSITY; ABUNDANCE; ECOLOGY</t>
  </si>
  <si>
    <t>Montane birds face significant threats from a warming climate, so determining the environmental factors that most strongly influence the composition of such assemblages is of critical conservation importance. Changes in temperature and other environmental conditions along elevational gradients are known to influence the species richness and abundance of bird assemblages occupying mountains. However, the role of species-specific traits in mediating the responses of bird species to changing conditions remains poorly understood. We aimed to determine whether different bird species responded differently to changing environmental conditions in a relatively understudied biodiversity hotspot in subtropical rainforest on the east coast of Australia. We examined patterns in avian species richness and abundance along two rainforest elevational gradients using monthly point counts between September 2015 and October 2016. Environmental data on temperature, wetness, canopy cover and canopy height were collected simultaneously, and trait information on body size and feeding guild membership for each bird species was obtained from the Handbook of Australian, New Zealand and Antarctic Birds. We used a generalized linear mixed modelling (GLMM) framework to determine the drivers of species richness and abundance and to quantify species' trait-environment interactions. GLMMs indicated that temperature alone was significantly positively correlated with species richness and abundance. Species richness declined with increasing elevation. When modelling abundance, we found that feeding guild membership did not significantly affect species' responses to environmental conditions. In contrast, the predicted abundance of a species was found to depend on its body size, due to significant positive interactions between this trait, temperature and canopy cover. Our findings indicate that large-bodied birds are likely to increase in abundance more rapidly than small-bodied birds with continued climatic warming. These results underline the importance of temperature as a driving factor of avian community assembly along environmental gradients.</t>
  </si>
  <si>
    <t>[Leach, Elliot C.; Burwell, Chris J.; Jones, Darryl N.; Kitching, Roger L.] Griffith Univ, Environm Futures Res Inst, Nathan, Qld 4111, Australia; [Burwell, Chris J.] Queensland Museum, Biodivers Program, South Brisbane, Qld 4101, Australia</t>
  </si>
  <si>
    <t>Griffith University; Queensland Museum</t>
  </si>
  <si>
    <t>Leach, EC (corresponding author), Griffith Univ, Environm Futures Res Inst, Nathan, Qld 4111, Australia.</t>
  </si>
  <si>
    <t>elliot.leach@griffithuni.edu.au</t>
  </si>
  <si>
    <t>Kitching, Roger/0000-0002-6798-6041; Leach, Elliot/0000-0003-2108-4402; Jones, Darryl/0000-0002-2565-9456</t>
  </si>
  <si>
    <t>Australian Postgraduate Award</t>
  </si>
  <si>
    <t>Australian Postgraduate Award(Australian Government)</t>
  </si>
  <si>
    <t>We thank two anonymous reviewers, whose suggestions improved an earlier version of this manuscript. EL thanks James McBroom, Sarah Maunsell, Rachakonda Sreekar and Rob Appleby for helpful discussions regarding analysis. Staff of the Kyogle National Parks and Wildlife Office provided EL with assistance during field work, as did numerous volunteers - special thanks go to Jess Mackie. Adam Higgins and John Gunning kindly provided the photographs of the Golden Whistler and Noisy Pitta in Fig. 4. All fieldwork was undertaken under Scientific Licence number SL101514 issued by the New South Wales National Parks and Wildlife Service. EL was supported by an Australian Postgraduate Award during this research.</t>
  </si>
  <si>
    <t>1442-9985</t>
  </si>
  <si>
    <t>1442-9993</t>
  </si>
  <si>
    <t>AUSTRAL ECOL</t>
  </si>
  <si>
    <t>Austral Ecol.</t>
  </si>
  <si>
    <t>10.1111/aec.12586</t>
  </si>
  <si>
    <t>GM5QU</t>
  </si>
  <si>
    <t>WOS:000438195800002</t>
  </si>
  <si>
    <t>Goodall-Copestake, WP</t>
  </si>
  <si>
    <t>Goodall-Copestake, William Paul</t>
  </si>
  <si>
    <t>nrDNA:mtDNA copy number ratios as a comparative metric for evolutionary and conservation genetics</t>
  </si>
  <si>
    <t>HEREDITY</t>
  </si>
  <si>
    <t>SOUTHERN-OCEAN SALP; MITOCHONDRIAL GENOME; RIBOSOMAL-RNA; THOMPSONI; DNA; PROFILES; GENES</t>
  </si>
  <si>
    <t>Identifying genetic cues of functional relevance is key to understanding the drivers of evolution and increasingly important for the conservation of biodiversity. This study introduces nuclear ribosomal DNA (nrDNA) to mitochondrial DNA (mtDNA) copy number ratios as a metric with which to screen for this functional genetic variation prior to more extensive omics analyses. To illustrate the metric, quantitative PCR was used to estimate nrDNA (18S) to mtDNA (16S) copy number ratios in muscle tissue from samples of two zooplankton species: Salpa thompsoni caught near Elephant Island (Southern Ocean) and S. fusiformis sampled off Gough Island (South Atlantic). Average 18S:16S ratios in these samples were 9:1 and 3:1, respectively. nrDNA 45S arrays and mitochondrial genomes were then deep sequenced to uncover the sources of intra-individual genetic variation underlying these 18S:16S copy number differences. The deep sequencing profiles obtained were consistent with genetic changes resulting from adaptive processes, including an expansion of nrDNA and damage to mtDNA in S. thompsoni, potentially in response to the polar environment. Beyond this example from zooplankton, nrDNA:mtDNA copy number ratios offer a promising metric to help identify genetic variation of functional relevance in animals more broadly.</t>
  </si>
  <si>
    <t>[Goodall-Copestake, William Paul] British Antarctic Survey, Nat Environm Res Council, UK Res &amp; Innovat, Madingley Rd, Cambridge CB3 0ET, England</t>
  </si>
  <si>
    <t>Goodall-Copestake, WP (corresponding author), British Antarctic Survey, Nat Environm Res Council, UK Res &amp; Innovat, Madingley Rd, Cambridge CB3 0ET, England.</t>
  </si>
  <si>
    <t>wgco@bas.ac.uk</t>
  </si>
  <si>
    <t>Goodall-Copestake, William P/C-1061-2011; Goodall-Copestake, William/CAF-6866-2022</t>
  </si>
  <si>
    <t>Goodall-Copestake, Will/0000-0003-3586-9091</t>
  </si>
  <si>
    <t>British Antarctic Survey - Natural Environment Research Council; Darwin Initiative Challenge fund [EIDCF013]; Pew Charitable Trusts; NERC [bas0100035] Funding Source: UKRI</t>
  </si>
  <si>
    <t>British Antarctic Survey - Natural Environment Research Council; Darwin Initiative Challenge fund; Pew Charitable Trusts; NERC(UK Research &amp; Innovation (UKRI)Natural Environment Research Council (NERC))</t>
  </si>
  <si>
    <t>I would like to thank the RRS James Clark Ross JR26 and JR287 captains, crews and scientists for sampling and fieldwork support. Also, Silvia Perez-Espona, Chester Sands, and two anonymous reviewers for their valuable comments on the manuscript. Molecular work was supported by core funding from the British Antarctic Survey - Natural Environment Research Council, fieldwork by the Darwin Initiative Challenge fund grant EIDCF013 and The Pew Charitable Trusts, held by the British Antarctic Survey, the Shallow Marine Surveys Group (Falkland Islands) and the Tristan da Cunha Department of Conservation.</t>
  </si>
  <si>
    <t>SPRINGERNATURE</t>
  </si>
  <si>
    <t>0018-067X</t>
  </si>
  <si>
    <t>1365-2540</t>
  </si>
  <si>
    <t>Heredity</t>
  </si>
  <si>
    <t>10.1038/s41437-018-0088-8</t>
  </si>
  <si>
    <t>Ecology; Evolutionary Biology; Genetics &amp; Heredity</t>
  </si>
  <si>
    <t>Environmental Sciences &amp; Ecology; Evolutionary Biology; Genetics &amp; Heredity</t>
  </si>
  <si>
    <t>GM6VG</t>
  </si>
  <si>
    <t>WOS:000438314600001</t>
  </si>
  <si>
    <t>England, M; Polvani, L; Sun, LT</t>
  </si>
  <si>
    <t>England, Mark; Polvani, Lorenzo; Sun, Lantao</t>
  </si>
  <si>
    <t>Contrasting the Antarctic and Arctic Atmospheric Responses to Projected Sea Ice Loss in the Late Twenty-First Century</t>
  </si>
  <si>
    <t>Atmosphere; Antarctica; Arctic; Atmospheric circulation; Climate models; Ensembles</t>
  </si>
  <si>
    <t>CIRCULATION RESPONSE; CLIMATE; SURFACE; VARIABILITY; TRENDS; AMPLIFICATION; TEMPERATURE; WINTERS; MODELS</t>
  </si>
  <si>
    <t>Models project that Antarctic sea ice area will decline considerably by the end of this century, but the consequences remain largely unexplored. Here, the atmospheric response to future sea ice loss in the Antarctic is investigated, and contrasted to the Arctic case, using the Community Earth Systems Model (CESM) Whole Atmosphere Coupled Climate Model (WACCM). Time-slice model runs with historic sea ice concentrations are compared to runs with future concentrations, from the late twenty-first century, in each hemisphere separately. As for the Arctic, results indicate that Antarctic sea ice loss will act to shift the tropospheric jet equatorward, an internal negative feedback to the poleward shift associated with increased greenhouse gases. Also, the tropospheric response to Antarctic sea ice loss is found to be somewhat weaker, more vertically confined, and less seasonally varying than in the case of Arctic sea ice loss. The stratospheric response to Antarctic sea ice loss is relatively weak compared to the Arctic case, although it is here demonstrated that the latter is still small relative to internal variability. In contrast to the Arctic case, the response of the ozone layer is found to be positive (up to 5 Dobson units): interestingly, it is present in all seasons except austral spring. Finally, while the response of surface temperature and precipitation is limited to the southern high latitudes, it is nonetheless unable to impact the interior of the Antarctic continent, suggesting a minor role of sea ice loss on recent Antarctic temperature trends.</t>
  </si>
  <si>
    <t>[England, Mark; Polvani, Lorenzo] Columbia Univ, Appl Phys &amp; Appl Math Dept, New York, NY 10027 USA; [Polvani, Lorenzo] Columbia Univ, Lamont Doherty Earth Observ, Dept Earth &amp; Environm Sci, New York, NY USA; [Sun, Lantao] Univ Colorado Boulder, Cooperat Inst Res Environm Sci, Boulder, CO USA; [Sun, Lantao] NOAA, Earth Syst Res Lab, Boulder, CO USA</t>
  </si>
  <si>
    <t>Columbia University; Columbia University; University of Colorado System; University of Colorado Boulder; National Oceanic Atmospheric Admin (NOAA) - USA</t>
  </si>
  <si>
    <t>England, M (corresponding author), Columbia Univ, Appl Phys &amp; Appl Math Dept, New York, NY 10027 USA.</t>
  </si>
  <si>
    <t>mre2126@columbia.edu</t>
  </si>
  <si>
    <t>Polvani, Lorenzo M/E-5949-2011; England, Mark/AAI-5481-2020; Sun, Lantao/D-9948-2015</t>
  </si>
  <si>
    <t>England, Mark/0000-0003-3882-872X; Sun, Lantao/0000-0001-8578-9175</t>
  </si>
  <si>
    <t>Frontiers of Earth System Dynamics (FESD) - U.S. National Science Foundation; National Science Foundation</t>
  </si>
  <si>
    <t>Frontiers of Earth System Dynamics (FESD) - U.S. National Science Foundation; National Science Foundation(National Science Foundation (NSF))</t>
  </si>
  <si>
    <t>The authors are grateful to three anonymous reviewers whose comments helped improve the manuscript. This work is funded by a Frontiers of Earth System Dynamics (FESD) grant from the U.S. National Science Foundation. The computations were carried out with high-performance computing support provided by NCAR's Computational and Information Systems Laboratory, which is sponsored by the National Science Foundation. The data produced for and analyzed in this paper are archived on the High Performance Storage System (HPSS) at the National Center for Atmospheric Research, and can be provided upon request.</t>
  </si>
  <si>
    <t>10.1175/JCLI-D-17-0666.1</t>
  </si>
  <si>
    <t>GM5OP</t>
  </si>
  <si>
    <t>WOS:000438189800008</t>
  </si>
  <si>
    <t>Lepane, V; Künnis-Beres, K; Kaup, E; Sharma, B</t>
  </si>
  <si>
    <t>Lepane, Viia; Kunnis-Beres, Kai; Kaup, Enn; Sharma, Bhupesh</t>
  </si>
  <si>
    <t>Dissolved organic matter, nutrients, and bacteria in Antarctic soil core from Schirmacher Oasis</t>
  </si>
  <si>
    <t>JOURNAL OF SOILS AND SEDIMENTS</t>
  </si>
  <si>
    <t>Antarctic soil; Dissolved organic matter; Heterotrophic bacteria; HPLC; Nutrients</t>
  </si>
  <si>
    <t>HUMIC SUBSTANCES; EAST ANTARCTICA; PORE-WATER; CARBON; QUANTITY; QUALITY; LAND</t>
  </si>
  <si>
    <t>This study focuses on the application of HPLC in dissolved organic matter (DOM) research in Antarctic environment together with nutrients and heterotrophic bacteria (HB) analyses. The specific aims were to investigate changes in DOM components characteristics and in nutrients in soil core from ground active layer and upper permafrost, to relate obtained data to active heterotrophic bacteria records after applying statistical data treatment methods, and to explore the potential impact of environment. A single Antarctic 1.9-m deep soil core drilled at a site without human impact from Schirmacher Oasis, located 70A degrees 46' 02aEuro(3) S and 11A degrees 45' 11aEuro(3) E, was explored. The chromophoric DOM (CDOM) was characterized by soil water analysis using multi-wavelength HPLC. Total organic carbon and total nitrogen were determined by elemental analysis, the total phosphorus by inductively coupled plasma spectrometry. The vertical changes in those nutrients and their ratios were investigated. The microbiological analysis was accomplished through the determination of psychrotrophic and psychrophilic aerobic HB numbers by colony-forming units counting method, and by epifluorescence microscopy examination. Cluster analysis using the Ward method and principal component analysis was performed on the chromatographic and microbiology data to reveal similar layers in studied soil core. In active soil layer, the CDOM was missing thus indicating rather active decomposition of organic material or organic debris by the local microbial community. In deep permafrost layers, the quantity of CDOM preserved in soil water increased. The content of total organic carbon in soil was low, between 0.05 and 0.2%, and decreased down the core. The vertical changes in nutrients (total N and P), the ratios C/N and C/P, followed total organic carbon profile suggesting similar sources. Microbiological analyses showed decreasing vertical concentrations of active HB. Statistical data treatment methods enabled clustering of soil core into three zones according to depth. The obtained results contribute to better understanding of organic carbon-related processes in an almost un-polluted Antarctic environment. The CDOM, macronutrients, C/N, C/P, and HB profile characteristics of the Antarctic soil core clearly demonstrate the effect of environment (active or permafrost soil layers). The study demonstrated that combining HPLC with multi-wavelength detection and microbial analyses with statistical data treatment is potentially a promising tool of investigating changes in Antarctic soil DOM and in soil waters generally.</t>
  </si>
  <si>
    <t>[Lepane, Viia] Tallinn Univ Technol, Inst Chem &amp; Biotechnol, Akad Tee 15, EE-12618 Tallinn, Estonia; [Kunnis-Beres, Kai] Tallinn Univ Technol, Inst Marine Syst, Akad Tee 15, Tallinn, Estonia; [Kaup, Enn] Tallinn Univ Technol, Inst Geol, Ehitajate Tee 5, EE-19086 Tallinn, Estonia; [Sharma, Bhupesh] Shriram Inst Ind Res, 19 Univ Rd, Delhi 110007, India</t>
  </si>
  <si>
    <t>Tallinn University of Technology; Tallinn University of Technology; Tallinn University of Technology</t>
  </si>
  <si>
    <t>Lepane, V (corresponding author), Tallinn Univ Technol, Inst Chem &amp; Biotechnol, Akad Tee 15, EE-12618 Tallinn, Estonia.</t>
  </si>
  <si>
    <t>viia.lepane@ttu.ee</t>
  </si>
  <si>
    <t>Kunnis-Beres, Kai/0000-0002-7629-3650</t>
  </si>
  <si>
    <t>1439-0108</t>
  </si>
  <si>
    <t>1614-7480</t>
  </si>
  <si>
    <t>J SOIL SEDIMENT</t>
  </si>
  <si>
    <t>J. Soils Sediments</t>
  </si>
  <si>
    <t>10.1007/s11368-018-1913-7</t>
  </si>
  <si>
    <t>Environmental Sciences; Soil Science</t>
  </si>
  <si>
    <t>Environmental Sciences &amp; Ecology; Agriculture</t>
  </si>
  <si>
    <t>GM4TD</t>
  </si>
  <si>
    <t>WOS:000438115100007</t>
  </si>
  <si>
    <t>McHuron, EA; Hazen, E; Costa, DP</t>
  </si>
  <si>
    <t>McHuron, Elizabeth A.; Hazen, Elliott; Costa, Daniel P.</t>
  </si>
  <si>
    <t>Constrained by consistency? Repeatability of foraging behavior at multiple timescales for a generalist marine predator</t>
  </si>
  <si>
    <t>CALIFORNIA SEA LIONS; ANTARCTIC FUR SEALS; INDIVIDUAL DIET SPECIALIZATION; INTRASPECIFIC COMPETITION; TEMPORAL CONSISTENCY; FEEDING STRATEGIES; DIVING PATTERNS; SITE FIDELITY; TRIP DURATION; HABITAT</t>
  </si>
  <si>
    <t>Marine predators frequently exhibit consistency in foraging behaviors despite the dynamic nature of marine ecosystems, which has the potential for ecological and evolutionary implications depending on the timescale at which it persists. We examined behavioral consistency in movements and diving behavior of adult female California sea lions (Zalophus californianus), which are abundant, generalist central-place foragers inhabiting an ecosystem characterized by small- and broad-scale oceanographic variability. We used biologging devices to measure repeatability of behavior within a season and stable isotope analysis of whiskers to quantify behavior across a 2-year period associated with anomalous environmental conditions that affected prey availability. Sea lions were significantly repeatable in all variables across multiple timescales (R (adj) = 0.26-0.82), although repeatability estimates were generally higher for variables related to characteristics of individual dives (e.g., dive depth) than those that described dive bouts (e.g., bout duration) or spatial use (e.g., volume of 3D utilization distribution). These differences may result from the fact that diving behaviors vary with prey type, whereas spatial use and bout variables may reflect the foraging success within prey patches or movement among patches. There was variation in how predictable individual sea lions were in their diving behaviors, which was largely unrelated or negatively related to foraging site fidelity. The strength of behavioral consistency decreased with time yet persisted across the 2-year period, suggesting that while sea lions alter their behavior in response to environmental change, the behavioral flexibility of individuals may ultimately be constrained by consistency.</t>
  </si>
  <si>
    <t>[McHuron, Elizabeth A.; Costa, Daniel P.] Univ Calif Santa Cruz, Dept Ecol &amp; Evolutionary Biol, Santa Cruz, CA 95064 USA; [Hazen, Elliott] NOAA, Environm Res Div, Southwest Fisheries Sci Ctr, Monterey, CA USA</t>
  </si>
  <si>
    <t>University of California System; University of California Santa Cruz; National Oceanic Atmospheric Admin (NOAA) - USA</t>
  </si>
  <si>
    <t>McHuron, EA (corresponding author), Univ Calif Santa Cruz, Dept Ecol &amp; Evolutionary Biol, Santa Cruz, CA 95064 USA.</t>
  </si>
  <si>
    <t>emchuron@ucsc.edu</t>
  </si>
  <si>
    <t>Hazen, Elliott/G-4149-2014</t>
  </si>
  <si>
    <t>Hazen, Elliott/0000-0002-0412-7178</t>
  </si>
  <si>
    <t>E &amp; P Sound and Marine Life Joint Industry Programme; California Sea Grant Program, National Oceanographic Partnership Program; Office of Naval Research; Moore Foundation; Packard Foundation; Sloan Foundation</t>
  </si>
  <si>
    <t>E &amp; P Sound and Marine Life Joint Industry Programme; California Sea Grant Program, National Oceanographic Partnership Program; Office of Naval Research(Office of Naval Research); Moore Foundation(Gordon and Betty Moore Foundation); Packard Foundation(The David &amp; Lucile Packard Foundation); Sloan Foundation(Alfred P. Sloan Foundation)</t>
  </si>
  <si>
    <t>This study was funded by the E &amp; P Sound and Marine Life Joint Industry Programme, the California Sea Grant Program, National Oceanographic Partnership Program, the Office of Naval Research, and the Moore, Packard, and Sloan Foundations.</t>
  </si>
  <si>
    <t>10.1007/s00227-018-3382-3</t>
  </si>
  <si>
    <t>GM5EF</t>
  </si>
  <si>
    <t>WOS:000438153500001</t>
  </si>
  <si>
    <t>Olivero, EB; Raffi, ME</t>
  </si>
  <si>
    <t>Olivero, Eduardo B.; Eugenia Raffi, Maria</t>
  </si>
  <si>
    <t>Onshore-offshore trends in Campanian ammonite facies from the Marambio Group, Antarctica: Implications for ammonite habitats</t>
  </si>
  <si>
    <t>CRETACEOUS RESEARCH</t>
  </si>
  <si>
    <t>Antarctica; Campanian; Ammonite Facies; Ammonite habits; Onshore-offshore trends</t>
  </si>
  <si>
    <t>JAMES-ROSS BASIN; PRESERVATION; STRATIGRAPHY; SANDSTONES; PATTERNS; HOKKAIDO; LIFE; FAN</t>
  </si>
  <si>
    <t>Recent biostratigraphic and sedimentologic studies in the lower-mid Campanian ammonite-rich shelf deposits of the James Ross Basin, Antarctica made possible a precise reconstruction of facies tracts along an onshore-offshore transect about 70 km in length. In proximal, inner-shelf settings the Santa Marta Formation include trigoniid-rich coquinas and cross-bedded and massive sandstones. In distal, mid- to outer-shelf settings the age-equivalent Rabot Formation consists of bioturbated mudstones and interbedded inoceramid- and brachiopod-rich tempestites. Each of these sedimentary facies is characterized by a very distinctive ammonite fades, whose characterization along a neritic-oceanic gradient offer clues to ammonite habitats. Ammonite facies of proximal settings are dominated by relatively large and ornate kossmaticeratids, with subordinated heteromorphs, desmoceratids, gaudryceratids and tetragonitids. Taphonomy, size-frequency distribution, and non-lethal injuries attributed to arthropods consistently suggest a shallow habitat and a nektobenthic (demersal) mode of life for the kossmaticeratids. Conversely, in distal settings the ammonite facies is dominated by gaudryceratids, including large Anagaudryceras sp., and tetragonitids, with subordinated small kossmaticeratids and large pachydiscids. Restriction to offshore oceanic-influenced facies suggests that these gaudryceratids have a mesopelagic, planktic mode of life. The hamitocone heteromorphs are equally distributed in shallow and deep fades with a high degree of shell fragmentation, particularly in shallow settings. This pattern suggests that hamitocones were exposed to extensive post-mortem drift. (C) 2017 Elsevier Ltd. All rights reserved.</t>
  </si>
  <si>
    <t>[Olivero, Eduardo B.; Eugenia Raffi, Maria] Consejo Nacl Invest Cient &amp; Tecn, CADIC, Lab Geol Andina, BA Houssay 200, RA-9410 Ushuaia, Tierra Fuego, Argentina; [Olivero, Eduardo B.; Eugenia Raffi, Maria] Univ Nacl Tierra Fuego, Inst Ciencias Polares Ambiente &amp; Recursos Nat 1, Antartida Islas Atlantic Sur, Ushuaia, Argentina</t>
  </si>
  <si>
    <t>Consejo Nacional de Investigaciones Cientificas y Tecnicas (CONICET)</t>
  </si>
  <si>
    <t>Olivero, EB (corresponding author), Consejo Nacl Invest Cient &amp; Tecn, CADIC, Lab Geol Andina, BA Houssay 200, RA-9410 Ushuaia, Tierra Fuego, Argentina.</t>
  </si>
  <si>
    <t>emolivero@gmail.com</t>
  </si>
  <si>
    <t>ANPCyT-DNA; CONICET (Argentina); National University of Tierra del Fuego (PIDUNTdF-A)</t>
  </si>
  <si>
    <t>ANPCyT-DNA; CONICET (Argentina)(Consejo Nacional de Investigaciones Cientificas y Tecnicas (CONICET)); National University of Tierra del Fuego (PIDUNTdF-A)</t>
  </si>
  <si>
    <t>We thank the Institute Antartico Argentino and the logistic facilities of the Fuerza Aerea Argentina during Antarctic field seasons. F. Milanese (IGEBA, CONICET-INGEODAV, UBA), A. Sobral (CIT-SE-CONICET) helped in the fieldwork. We thank the invitation by P. Bengtson to participate in this volume; positive criticism by R. Wani and an anonymous reviewer helped to improve the study. This study was supported by previous grants by ANPCyT-DNA and CONICET (Argentina). The National University of Tierra del Fuego (PIDUNTdF-A) partially financed the study.</t>
  </si>
  <si>
    <t>ACADEMIC PRESS LTD- ELSEVIER SCIENCE LTD</t>
  </si>
  <si>
    <t>24-28 OVAL RD, LONDON NW1 7DX, ENGLAND</t>
  </si>
  <si>
    <t>0195-6671</t>
  </si>
  <si>
    <t>1095-998X</t>
  </si>
  <si>
    <t>CRETACEOUS RES</t>
  </si>
  <si>
    <t>Cretac. Res.</t>
  </si>
  <si>
    <t>10.1016/j.cretres.2017.03.001</t>
  </si>
  <si>
    <t>GM1HH</t>
  </si>
  <si>
    <t>WOS:000437816200007</t>
  </si>
  <si>
    <t>Rapizo, H; Durrant, TH; Babanin, AV</t>
  </si>
  <si>
    <t>Rapizo, Henrique; Durrant, Tom H.; Babanin, Alexander V.</t>
  </si>
  <si>
    <t>An assessment of the impact of surface currents on wave modeling in the Southern Ocean</t>
  </si>
  <si>
    <t>OCEAN DYNAMICS</t>
  </si>
  <si>
    <t>Wind-generated waves; Deep water wave modeling; Wave-current interactions; Relative wind</t>
  </si>
  <si>
    <t>FORECAST SYSTEM REANALYSIS; WATER-WAVES; WIND-WAVES; DISSIPATION; VALIDATION; REFRACTION; CLIMATE; CALIBRATION; UNSTEADY; SPECTRUM</t>
  </si>
  <si>
    <t>This paper presents an assessment of the impact of the ocean circulation on modeled wave fields in the Southern Ocean, where a systematic positive bias of the modeled wave height against altimetry data has been reported. The inclusion of ocean currents in the wave model considerably reduces the positive bias of the simulated wave height for high southern latitudes. The decrease of wave energy in the presence of currents is almost exclusively related to the reduction of the relative wind, caused by an overall co-flowing current field associated with the Antarctic Circumpolar Current. Improvements of the model results are also found for the peak period and the mean period against a long-term moored buoy. At the mooring location, the effect of currents is greater for larger and longer waves, suggesting remotely generated swells are more influenced by the currents than local waves. However, an additional qualitative analysis using high-resolution currents in a finer grid nested to the global coarser grid shows that typical resolution of global hydrodynamic reanalysis is not sufficient to resolve mesoscale eddies, and as a consequence, the simulation of mesoscale wave patterns can be compromised. The results are also discussed in terms of the accuracy of forcing fields.</t>
  </si>
  <si>
    <t>[Rapizo, Henrique; Babanin, Alexander V.] Univ Melbourne, Dept Infrastruct Engn, Melbourne, Vic, Australia; [Rapizo, Henrique; Durrant, Tom H.] MetOcean Solut, Raglan, New Zealand</t>
  </si>
  <si>
    <t>Melbourne Genomics Health Alliance; University of Melbourne</t>
  </si>
  <si>
    <t>Rapizo, H (corresponding author), Univ Melbourne, Dept Infrastruct Engn, Melbourne, Vic, Australia.;Rapizo, H (corresponding author), MetOcean Solut, Raglan, New Zealand.</t>
  </si>
  <si>
    <t>h.rapizo@metocean.co.nz</t>
  </si>
  <si>
    <t>Babanin, Alexander V/A-6676-2008</t>
  </si>
  <si>
    <t>Durrant, Tom/0000-0003-2128-3604; Rapizo, Henrique/0000-0002-3728-2529; Babanin, Alexander/0000-0002-8595-8204</t>
  </si>
  <si>
    <t>Australian Government; Australian Victorian Government through the Victorian International Research Scholarship; Australia-China Joint Research Centre for Maritime Engineering; Australian Research Council [DP130100227]</t>
  </si>
  <si>
    <t>Australian Government(Australian Government); Australian Victorian Government through the Victorian International Research Scholarship; Australia-China Joint Research Centre for Maritime Engineering; Australian Research Council(Australian Research Council)</t>
  </si>
  <si>
    <t>Funding information Buoy data were sourced from the Integrated Marine Observing System (IMOS)-IMOS is a national collaborative research infrastructure, supported by Australian Government. Support from the Australian Victorian Government through the Victorian International Research Scholarship and from the Australia-China Joint Research Centre for Maritime Engineering is acknowledged by the first author. A.V. thanks support from the Australian Research Council through Discovery Grant DP130100227.</t>
  </si>
  <si>
    <t>1616-7341</t>
  </si>
  <si>
    <t>1616-7228</t>
  </si>
  <si>
    <t>OCEAN DYNAM</t>
  </si>
  <si>
    <t>Ocean Dyn.</t>
  </si>
  <si>
    <t>10.1007/s10236-018-1171-7</t>
  </si>
  <si>
    <t>GM0KA</t>
  </si>
  <si>
    <t>WOS:000437737200002</t>
  </si>
  <si>
    <t>D'Angelo, G; Piersanti, M; Alfonsi, L; Spogli, L; Clausen, LBN; Coco, I; Li, GZ; Ning, BQ</t>
  </si>
  <si>
    <t>D'Angelo, Giulia; Piersanti, Mirko; Alfonsi, Lucilla; Spogli, Luca; Clausen, Lasse Boy Novock; Coco, Igino; Li, Guozhu; Ning Baiqi</t>
  </si>
  <si>
    <t>The response of high latitude ionosphere to the 2015 St. Patrick's day storm from in situ and ground based observations</t>
  </si>
  <si>
    <t>High-latitude ionosphere; Ionospheric irregularities; GNSS scintillations; Multi-instrumental observations; Ionospheric dynamics; Interhemispheric study</t>
  </si>
  <si>
    <t>PHASE SCREEN MODEL; POLAR-CAP; IRREGULARITIES; SCINTILLATION; DYNAMICS; SCATTER; TEC; FLUCTUATIONS; OCTOBER</t>
  </si>
  <si>
    <t>The storm onset of the so-called St. Patrick's day geomagnetic storm, on March 17th, 2015 triggered several fluctuations of the electron density in the ionosphere causing severe scintillations at high latitudes of both hemispheres. Leveraging on ground-based Global Navigation Satellite Systems (GNSS) receivers we investigate the ionospheric response to the main phase of the most intense storm of the current solar cycle, in terms of phase scintillations on L-band signals recorded simultaneously in Antarctica and in the Arctic. In detail, we analyse phase scintillation index (sigma(phi)) data from Eureka (79.99 degrees N, 274.10 degrees E), Concordia (75.10 degrees S, 123.35 degrees E), Resolute Bay (74.75 degrees N, 265.00 degrees E), Mario Zucchelli (74.41 degrees S, 164.10 degrees E), Ny-Alesund (78.92 degrees N, 11.98 degrees E) and Zhongshan (69.37 degrees S, 76.37 degrees E) stations. Furthermore, by using ancillary data obtained from in-situ and ground-based observations, we investigate the origin and the evolution of the ionospheric irregularities causing scintillations, reconstructing the ionospheric background in which such irregularities formed and moved. The multi-instrumental approach used in this work allows identifying the Antarctic ionosphere as the most responsive to the solar perturbation driving the storm. Our study reveals how the in-situ electron density data can be used to reconstruct the picture of the ionospheric dynamics, both locally and globally. Finally, our results identify the important role played by particles precipitation in triggering the observed scintillations. (C) 2018 COSPAR. Published by Elsevier Ltd. All rights reserved.</t>
  </si>
  <si>
    <t>[D'Angelo, Giulia] Univ Roma Tre, Dipartimento Matemat &amp; Fis, Via Vasca Navale 84, I-00146 Rome, Italy; [Piersanti, Mirko] Ist Astrofis &amp; Planetol Spaziali, Rome, Italy; [Piersanti, Mirko] Univ LAquila, Consorzio Area Ric Astrogeofis, Via Vetoio, I-67100 Laquila, Italy; [Alfonsi, Lucilla; Spogli, Luca; Coco, Igino] Ist Nazl Geofis &amp; Vulcanol, Via Vigna Murata 605, I-00143 Rome, Italy; [Spogli, Luca] SpacEarth Technol, Via Vigna Murata 605, I-00143 Rome, Italy; [Clausen, Lasse Boy Novock] Univ Oslo, Dept Phys, Oslo, Norway; [Li, Guozhu; Ning Baiqi] Chinese Acad Sci, Inst Geol &amp; Geophys, Beijing 100029, Peoples R China</t>
  </si>
  <si>
    <t>Roma Tre University; Istituto Nazionale Astrofisica (INAF); University of L'Aquila; Istituto Nazionale Geofisica e Vulcanologia (INGV); University of Oslo; Chinese Academy of Sciences; Institute of Geology &amp; Geophysics, CAS</t>
  </si>
  <si>
    <t>D'Angelo, G (corresponding author), Univ Roma Tre, Dipartimento Matemat &amp; Fis, Via Vasca Navale 84, I-00146 Rome, Italy.</t>
  </si>
  <si>
    <t>giulia.dangelo@uniroma3.it; mirko.piersanti@aquila.infn.it; lucilla.alfonsi@ingv.it; luca.spogli@ingv.it; lasse.clausen@fys.uio.no; igino.coco@ingv.it; gzlee@mail.iggcas.ac.cn; nbq@mail.iggcas.ac.cn</t>
  </si>
  <si>
    <t>Piersanti, Mirko/AGA-3528-2022; Spogli, Luca/AAD-1980-2021; Coco, Igino/X-7419-2018; Piersanti, Mirko/ABE-5680-2021; Alfonsi, Lucilla/V-2969-2018; Ning, Baiqi/A-2573-2012</t>
  </si>
  <si>
    <t>Piersanti, Mirko/0000-0001-5207-2944; Coco, Igino/0000-0003-4070-6828; Alfonsi, Lucilla/0000-0002-1806-9327; SPOGLI, Luca/0000-0003-2310-0306; Clausen, Lasse Boy Novock/0000-0003-0746-1646; D'Angelo, Giulia/0000-0002-9214-2051</t>
  </si>
  <si>
    <t>Italian MIUR-PRIN [2012P2HRCR]; PNRA (Programma Nazionale di Ricerche in Antartide); CNR (Consiglio Nazionale delle Ricerche); national scientific funding agency of Australia; national scientific funding agency of Canada; national scientific funding agency of France; national scientific funding agency of Italy; national scientific funding agency of Japan; national scientific funding agency of Norway; national scientific funding agency of South Africa; national scientific funding agency of United Kingdom; national scientific funding agency of United States of America; Canada Foundation for Innovation; New Brunswick Innovation Foundation; national scientific funding agency of China</t>
  </si>
  <si>
    <t>Italian MIUR-PRIN(Ministry of Education, Universities and Research (MIUR)Research Projects of National Relevance (PRIN)); PNRA (Programma Nazionale di Ricerche in Antartide); CNR (Consiglio Nazionale delle Ricerche)(Consiglio Nazionale delle Ricerche (CNR)); national scientific funding agency of Australia; national scientific funding agency of Canada; national scientific funding agency of France; national scientific funding agency of Italy; national scientific funding agency of Japan; national scientific funding agency of Norway; national scientific funding agency of South Africa; national scientific funding agency of United Kingdom; national scientific funding agency of United States of America; Canada Foundation for Innovation(Canada Foundation for InnovationCGIARSpanish Government); New Brunswick Innovation Foundation; national scientific funding agency of China</t>
  </si>
  <si>
    <t>The authors thank PNRA (Programma Nazionale di Ricerche in Antartide) for supporting the upper atmosphere observations at Mario Zucchelli Station and Concordia Station (Antarctica), and CNR (Consiglio Nazionale delle Ricerche) for supporting the upper atmosphere observations at Dirigibile Italia Station at Ny Alesund (Svalbard). The authors thank Dr. Giorgiana De Franceschi, Dr. Vincenzo Romano and Dr. Ingrid Hunstad for management of the INGV (Istituto Nazionale di Geofisica e Vulcanologia) stations.; The authors acknowledge the use of SuperDARN data. SuperDARN is a collection of radars funded by national scientific funding agencies of Australia, Canada, China, France, Italy, Japan, Norway, South Africa, United Kingdom and the United States of America.; Eureka GNSS data are provided by Canadian High Arctic Ionospheric Network (CHAIN, http://chain.physics.unb.ca). Infrastructure funding for CHAIN was provided by the Canada Foundation for Innovation and the New Brunswick Innovation Foundation. CHAIN and CGSM operation is conducted in collaboration with the Canadian Space Agency (CSA).; This research work is supported by the Italian MIUR-PRIN grant 2012P2HRCR on The active Sun and its effects on Space and Earth climate.</t>
  </si>
  <si>
    <t>10.1016/j.asr.2018.05.005</t>
  </si>
  <si>
    <t>GL3WZ</t>
  </si>
  <si>
    <t>WOS:000437076300010</t>
  </si>
  <si>
    <t>Papale, M; Conte, A; Mikkonen, A; Michaud, L; La Ferla, R; Azzaro, M; Caruso, G; Paranhos, R; Anderson, SC; Maimone, G; Rappazzo, AC; Rizzo, C; Spanò, N; Lo Giudice, A; Guglielmin, M</t>
  </si>
  <si>
    <t>Papale, Maria; Conte, Antonella; Mikkonen, Anu; Michaud, Luigi; La Ferla, Rosabruna; Azzaro, Maurizio; Caruso, Gabriella; Paranhos, Rodolfo; Anderson, S. Cabral; Maimone, Giovanna; Rappazzo, Alessandro Ciro; Rizzo, Carmen; Spano, Nunziacarla; Lo Giudice, Angelina; Guglielmin, Mauro</t>
  </si>
  <si>
    <t>Prokaryotic assemblages within permafrost active layer at Edmonson Point (Northern Victoria Land, Antarctica)</t>
  </si>
  <si>
    <t>SOIL BIOLOGY &amp; BIOCHEMISTRY</t>
  </si>
  <si>
    <t>Seasonally thawed active layer; Antarctica; Prokaryotic community; Metabolic activities</t>
  </si>
  <si>
    <t>BACTERIAL COMMUNITY STRUCTURE; BAY ROSS SEA; MICROBIAL DIVERSITY; PSYCHROBACTER-ARCTICUS; ALKALINE-PHOSPHATASE; FUNCTIONAL DIVERSITY; METAGENOMIC ANALYSIS; LIVINGSTON ISLAND; ORNITHOGENIC SOIL; BYERS PENINSULA</t>
  </si>
  <si>
    <t>This study was aimed at gaining insights on the prokaryotic community (in terms of both taxonomic composition and activities) inhabiting the active layer at Edmonson Point, an ice-free area on the eastern slope at the foot of Mount Melbourne (Northern Victoria Land, Antarctica). Samples were collected during the thawing period, when microbial physiological activities are restored to utilize previously frozen organic substrates. Despite the very small cell sizes (&lt; 0.1 mu m(3)), indicating the occurrence of stressed, dormant and/or starved cells, the prokaryotic communities appeared to be metabolically active in the decomposition of high molecular weight (&gt; 600 Da) substrates, as indicated also by the obtained rates of enzymatic hydrolytic activities over proteolytic, glycolitic and phosphoric compounds. Taxonomical composition showed that Proteobacteria, Actinobacteria and Firmicutes dominated the prokaryotic community, with most of their members playing crucial roles in organic matter turnover, as well as nitrogen cycling, or entering a viable but not cultivable state to cope with continuously changing environmental conditions, such as in the case of the active layer. Finally, non-autochthonous bacteria (mainly of marine origin) were detected and they probably contribute to the organic matter turnover within such cold terrestrial habitat. This research provides the first comprehensive account of the prokaryotic communities inhabiting the Antarctic permafrost and contributes to existing information on the response of their abundance and metabolism in a permafrost area that undergoes to seasonal changes (e.g. in terms of temperature, water availability and ice presence).</t>
  </si>
  <si>
    <t>[Papale, Maria; Conte, Antonella; Michaud, Luigi; Rizzo, Carmen; Spano, Nunziacarla; Lo Giudice, Angelina] Univ Messina, Dept Chem Biol Pharmaceut &amp; Environm Sci, Messina, Italy; [Mikkonen, Anu] Univ Jyvaskyla, Dept Biol &amp; Environm Sci, Jyvaskyla, Finland; [La Ferla, Rosabruna; Azzaro, Maurizio; Caruso, Gabriella; Maimone, Giovanna; Rappazzo, Alessandro Ciro; Lo Giudice, Angelina] Natl Council Res IAMC CNR, Inst Coastal Marine Environm, Spianata S Raineri 86, I-98122 Messina, Italy; [Paranhos, Rodolfo; Anderson, S. Cabral] Univ Fed Rio de Janeiro, Inst Biol, Predio CCS, Cidade Univ Fundao, Rio De Janeiro, Brazil; [Guglielmin, Mauro] Univ Insubria, Dipartimento Sci Teor &amp; Appl, Varese, Italy</t>
  </si>
  <si>
    <t>University of Messina; University of Jyvaskyla; Consiglio Nazionale delle Ricerche (CNR); L'Istituto per l'Ambiente Marino Costiero (IAMC-CNR); Universidade Federal do Rio de Janeiro; University of Insubria</t>
  </si>
  <si>
    <t>Lo Giudice, A (corresponding author), Natl Council Res IAMC CNR, Inst Coastal Marine Environm, Spianata S Raineri 86, I-98122 Messina, Italy.</t>
  </si>
  <si>
    <t>angelina.logiudice@iamc.cnr.it</t>
  </si>
  <si>
    <t>azzaro, Maurizio/AAE-6784-2019; Papale, Maria/AAC-6049-2020; Rizzo, Carmen/AAA-3075-2022; Caruso, Gabriella/F-5450-2013; Rizzo, Carmen/S-6285-2019</t>
  </si>
  <si>
    <t>azzaro, Maurizio/0000-0001-7885-2340; Caruso, Gabriella/0000-0002-3819-5486; Nunziacarla, Spano/0000-0002-8360-4795; la ferla, rosabruna/0000-0003-1029-7349; Papale, Maria/0000-0002-6013-4436</t>
  </si>
  <si>
    <t>National Antarctic Research Program (PNRA), Italian Ministry of Education and Research [PNRA 2013/AZ1.05]; CNR Short Term Mobility (STM AMMCNT. CNR) [0058167-02/09/2015]</t>
  </si>
  <si>
    <t>National Antarctic Research Program (PNRA), Italian Ministry of Education and Research; CNR Short Term Mobility (STM AMMCNT. CNR)</t>
  </si>
  <si>
    <t>This work was supported by grants from the National Antarctic Research Program (PNRA), Italian Ministry of Education and Research (Research Project PNRA 2013/AZ1.05) and from CNR Short Term Mobility (STM AMMCNT. CNR prot. N. 0058167-02/09/2015). The Authors thank to all the staff at Mario Zucchelli Station, for the logistic help and support, which made the expedition possible. They wish to thank Mr. Anderson Aquino of Laboratory of Hydrobiologia of Rio de Janeiro and Mr. Michele Furnari of IAMC of Messina for technical laboratory helps, and Dr. Giulia Maricchiolo for instrument availability. Thanks are also due to Simona Caputo and Federica Moscheo who contributed in sample treatment for bacterial isolation.</t>
  </si>
  <si>
    <t>0038-0717</t>
  </si>
  <si>
    <t>SOIL BIOL BIOCHEM</t>
  </si>
  <si>
    <t>Soil Biol. Biochem.</t>
  </si>
  <si>
    <t>10.1016/j.soilbio.2018.05.004</t>
  </si>
  <si>
    <t>Soil Science</t>
  </si>
  <si>
    <t>Agriculture</t>
  </si>
  <si>
    <t>GL7OU</t>
  </si>
  <si>
    <t>WOS:000437392000021</t>
  </si>
  <si>
    <t>Cannone, N; Convey, P; Malfasi, F</t>
  </si>
  <si>
    <t>Cannone, N.; Convey, P.; Malfasi, F.</t>
  </si>
  <si>
    <t>Antarctic Specially Protected Areas (ASPA): a case study at Rothera Point providing tools and perspectives for the implementation of the ASPA network</t>
  </si>
  <si>
    <t>BIODIVERSITY AND CONSERVATION</t>
  </si>
  <si>
    <t>Wilderness protection; Threats to biodiversity; Case study; Environmental representativeness; Antarctica</t>
  </si>
  <si>
    <t>MARGUERITE BAY; SIGNY ISLAND; CONSERVATION; COMMUNITIES; PENINSULA; LICHEN; VEGETATION; IMPACTS</t>
  </si>
  <si>
    <t>Antarctica is considered among the world's last great wildernesses, but its current network of Antarctic Specially Protected Areas (ASPAs) is inadequate, unrepresentative and at risk, needing urgent expansion due to the vulnerability of Antarctica to increasing threats from climate change and human activities. Among the existing ASPAs, no. 129 Rothera Point is unique because its designation related specifically to the monitoring of the impacts associated with the neighbouring Rothera Research Station, operated by the United Kingdom. The station is located on Adelaide Island (Antarctic Peninsula) in Antarctic Conservation Biogeographic Region 3 (ACBR3). We aim here to: (1) provide an improved description of the botanical values of the ASPA, and detailed vegetation mapping as for the establishment of future monitoring, (2) assess the representativeness of the ASPA vegetation within a wider geographical context encompassing Marguerite Bay and Adelaide Island and, (3) use this case study as a contribution to the ongoing discussion within the Antarctic Treaty System on the future development of the continent-wide ASPA network. Even though this specific ASPA was not initially designated for its biodiversity value, a higher species richness was recorded within the ASPA than outside the protected area on Rothera Point. Within the local geographic context, based on the available data, Rothera Point is characterized by high biodiversity and, above all, L,onie Island exhibits the greatest floristic richness within Marguerite Bay and Adelaide Island, being a biodiversity hot-spot of exceptional value. This case study emphasizes the continued existence of significant knowledge gaps relating to Antarctic terrestrial biodiversity, and the urgent need for large-scale assessment of the biological values of Antarctica, as one of the main challenges for the implementation of a robust and representative system of protected areas in terrestrial Antarctica, to protect this global natural heritage in the face of current and predicted future environmental change.</t>
  </si>
  <si>
    <t>[Cannone, N.] Insubria Univ, Dept Sci &amp; High Technol, Via Valleggio 11, I-22100 Como, CO, Italy; [Convey, P.] British Antarctic Survey, Nat Environm Res Council, Madingley Rd, Cambridge CB3 0ET, England; [Malfasi, F.] Insubria Univ, Dept Theoret &amp; Appl Sci, Via Dunant 3, I-21100 Varese, VA, Italy</t>
  </si>
  <si>
    <t>University of Insubria; UK Research &amp; Innovation (UKRI); Natural Environment Research Council (NERC); NERC British Antarctic Survey; University of Insubria</t>
  </si>
  <si>
    <t>Cannone, N (corresponding author), Insubria Univ, Dept Sci &amp; High Technol, Via Valleggio 11, I-22100 Como, CO, Italy.</t>
  </si>
  <si>
    <t>nicoletta.cannone@uninsubria.it</t>
  </si>
  <si>
    <t>Malfasi, Francesco/JTS-5575-2023; Convey, Peter/AAV-5728-2020; Cannone, Nicoletta/W-8651-2019</t>
  </si>
  <si>
    <t>Malfasi, Francesco/0000-0002-2660-8327; Convey, Peter/0000-0001-8497-9903; Cannone, Nicoletta/0000-0002-3390-3965</t>
  </si>
  <si>
    <t>PNRA (Progetto Nazionale di Ricerca in Antartide) [2013/C1.01, PNRA16_00224]; NERC (Natural Environment Research Council); NERC [bas0100036] Funding Source: UKRI</t>
  </si>
  <si>
    <t>PNRA (Progetto Nazionale di Ricerca in Antartide); NERC (Natural Environment Research Council)(UK Research &amp; Innovation (UKRI)Natural Environment Research Council (NERC)); NERC(UK Research &amp; Innovation (UKRI)Natural Environment Research Council (NERC))</t>
  </si>
  <si>
    <t>The authors thank PNRA (Progetto Nazionale di Ricerca in Antartide, Project 2013/C1.01; Project PNRA16_00224) and NERC (Natural Environment Research Council, core funding to BAS 'Biodiversity, Evolution and Adaptation' Team) for providing funding and BAS (British Antarctic Survey) for logistic support.</t>
  </si>
  <si>
    <t>0960-3115</t>
  </si>
  <si>
    <t>1572-9710</t>
  </si>
  <si>
    <t>BIODIVERS CONSERV</t>
  </si>
  <si>
    <t>Biodivers. Conserv.</t>
  </si>
  <si>
    <t>10.1007/s10531-018-1559-1</t>
  </si>
  <si>
    <t>GL0QJ</t>
  </si>
  <si>
    <t>WOS:000436794700011</t>
  </si>
  <si>
    <t>Tigchelaar, M; Timmermann, A; Pollard, D; Friedrich, T; Heinemann, M</t>
  </si>
  <si>
    <t>Tigchelaar, Michelle; Timmermann, Axel; Pollard, David; Friedrich, Tobias; Heinemann, Malte</t>
  </si>
  <si>
    <t>Local insolation changes enhance Antarctic interglacials: Insights from an 800,000-year ice sheet simulation with transient climate forcing</t>
  </si>
  <si>
    <t>Antarctica; ice sheet; precession; sea level; Quaternary; glacial cycles</t>
  </si>
  <si>
    <t>SOUTHERN-HEMISPHERE CLIMATE; SEA-LEVEL; TEMPERATURE-CHANGES; LAST DEGLACIATION; ROSS EMBAYMENT; CARBON-DIOXIDE; PLEISTOCENE; VARIABILITY; RECORDS; CYCLES</t>
  </si>
  <si>
    <t>The Antarctic ice sheet - storing similar to 27 million cubic kilometres of ice-has the potential to contribute greatly to future sea level rise; yet its past evolution and sensitivity to long-term climatic drivers remain poorly understood and constrained. In particular, a long-standing debate questions whether Antarctic climate and ice volume respond mostly to changes in global sea level and atmospheric greenhouse gas concentrations or to local insolation changes. So far, long-term Antarctic simulations have used proxy-based parameterizations of climatic drivers, presuming that external forcings are synchronous and spatially uniform. Here for the first time we use a transient, three-dimensional climate simulation over the last eight glacial cycles to drive an Antarctic ice sheet model. We show that the evolution of the Antarctic ice sheet was mostly driven by CO2 and sea level forcing with a period of about 100,000 yr, synchronizing both hemispheres. However, on precessional time scales, local insolation forcing drives additional mass loss during periods of high sea level and CO2, enhancing the Antarctic interglacial and putting northern and southern ice sheet variability temporarily out of phase. In our simulations, partial collapses of the West Antarctic ice sheet during warm interglacials are only simulated with unrealistically large Southern Ocean subsurface warming exceeding similar to 4 degrees C. Overall, our results further elucidate the complex interplay of global and local forcings in driving Late Quaternary Antarctic ice sheet evolution, and the unique and overlooked role of precession therein. (C) 2018 Elsevier B.V. All rights reserved.</t>
  </si>
  <si>
    <t>[Tigchelaar, Michelle] Univ Washington, Dept Atmospher Sci, Seattle, WA 98195 USA; [Timmermann, Axel] Inst Basic Sci, Ctr Climate Phys, Busan, South Korea; [Timmermann, Axel] Pusan Natl Univ, Busan, South Korea; [Timmermann, Axel; Friedrich, Tobias] Univ Hawaii Manoa, Int Pacific Res Ctr, Honolulu, HI 96822 USA; [Pollard, David] Penn State Univ, Earth &amp; Environm Syst Inst, University Pk, PA 16802 USA; [Heinemann, Malte] Univ Kiel, Inst Geosci, Kiel, Germany</t>
  </si>
  <si>
    <t>University of Washington; University of Washington Seattle; Institute for Basic Science - Korea (IBS); Pusan National University; University of Hawaii System; University of Hawaii Manoa; Pennsylvania Commonwealth System of Higher Education (PCSHE); Pennsylvania State University; Pennsylvania State University - University Park; University of Kiel</t>
  </si>
  <si>
    <t>Tigchelaar, M (corresponding author), Univ Washington, Dept Atmospher Sci, Seattle, WA 98195 USA.</t>
  </si>
  <si>
    <t>tigchelaar@atmos.uw.edu</t>
  </si>
  <si>
    <t>Timmermann, Axel/F-4977-2011; Timmermann, Axel/Y-2799-2019; Friedrich, Tobias/D-1053-2013</t>
  </si>
  <si>
    <t>Timmermann, Axel/0000-0003-0657-2969; Tigchelaar, Michelle/0000-0001-7964-229X</t>
  </si>
  <si>
    <t>National Science Foundation [1341311, 1341394]; Institute for Basic Science [IBS-R028-D1]; Directorate For Geosciences; Division Of Ocean Sciences [1400914] Funding Source: National Science Foundation; Office of Polar Programs (OPP); Directorate For Geosciences [1341394] Funding Source: National Science Foundation; Office of Polar Programs (OPP); Directorate For Geosciences [1341311] Funding Source: National Science Foundation</t>
  </si>
  <si>
    <t>National Science Foundation(National Science Foundation (NSF)); Institute for Basic Science; Directorate For Geosciences; Division Of Ocean 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</si>
  <si>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This study was supported by National Science Foundation grants #1341311 and 1341394, as well as the Institute for Basic Science (project code IBS-R028-D1). The authors kindly thank Andrey Ganopolski for making available his 800 ka Northern Hemisphere ice sheet simulation results, and Barbara Stenni for sharing the full 314 ka TALDICE oxygen isotope record.</t>
  </si>
  <si>
    <t>10.1016/j.epsl.2018.05.004</t>
  </si>
  <si>
    <t>GL3MZ</t>
  </si>
  <si>
    <t>WOS:000437041600007</t>
  </si>
  <si>
    <t>Hamilton, V; Evans, K</t>
  </si>
  <si>
    <t>Hamilton, Vicki; Evans, Karen</t>
  </si>
  <si>
    <t>Establishing growth chronologies from marine mammal teeth: A method applicable across species</t>
  </si>
  <si>
    <t>Dendrochronology; Annual growth; Time series; Detrending; Sperm whale; Pilot whale</t>
  </si>
  <si>
    <t>CLIMATE-DRIVEN SYNCHRONY; ENVIRONMENTAL DRIVERS; AGE-DETERMINATION; STABLE-ISOTOPES; TOOTH GROWTH; PATTERNS; VARIABILITY; VALIDATION; OTOLITHS; FISH</t>
  </si>
  <si>
    <t>Multidecadal datasets are important for investigating the effects of a changing climate on top predators, particularly if short-term variations are to be differentiated from long-term trends. Annual increments (growth layer groups: GLGs) formed in the teeth of marine mammals have the potential to provide multidecadal proxy records or chronologies of energy budgets associated with growth, allowing for the investigation of potential environmental drivers of interannual variability and longer-term changes in growth. To date, methodology universally applicable across marine mammal species for developing such chronologies has not been established. Methodologies developed are often bespoke being developed specifically for individual species and datasets. This thereby limits the applicability of such methodologies to other species and regions and introduces difficulties in the replication of methods. By modifying dendrochronology (tree-ring dating) techniques, we provide a method for developing chronologies from GLG widths using sperm whales (Physeter macrocephalus) and long-finned pilot whales (Globicephala melas) as examples. The method firstly utilizes statistical crossdating to identify and correct potential errors in GLG identification ensuring assignment of GLGs to the correct calendar year. Common dendrochronology detrending methods were then tested for applicability and the most appropriate applied to remove age-related trends and variability specific to each individual in the example dataset. Finally, individual chronologies comprised of a standardized growth index were calculated and then averaged into a master chronology for each dataset, maximizing common patterns in growth across individuals and reducing noise in the data due to individual variability. The described approach to chronology development provides a number of advantages over others previously used on marine mammals; first, it has been formed on the basis of well-established and tested techniques and second provides a step-by-step process that is readily repeatable, thereby allowing direct comparisons between similarly developed chronologies from different species or regions. Once developed, chronologies can be used in modeling studies and compared with annually resolved climate indices to explore sensitivities in tooth growth and associated energetic budgets to environmental conditions.</t>
  </si>
  <si>
    <t>[Hamilton, Vicki; Evans, Karen] Univ Tasmania, Inst Marine &amp; Antarctic Studies, Private Bag 129, Hobart, Tas 7001, Australia; [Evans, Karen] CSIRO Oceans &amp; Atmosphere, GPO Box 1538, Hobart, Tas 7001, Australia</t>
  </si>
  <si>
    <t>Hamilton, V (corresponding author), Univ Tasmania, Inst Marine &amp; Antarctic Studies, Private Bag 129, Hobart, Tas 7001, Australia.</t>
  </si>
  <si>
    <t>Vicki.Hamilton@utas.edu.au; Karen.Evans@csiro.au</t>
  </si>
  <si>
    <t>Evans, Karen/0000-0003-2205-4264</t>
  </si>
  <si>
    <t>Winifred Violet Scott Charitable Trust; Ethel Mary Read Research Grant; Australian Geographic Society; Australian Government Research Training Program Scholarship</t>
  </si>
  <si>
    <t>Winifred Violet Scott Charitable Trust; Ethel Mary Read Research Grant; Australian Geographic Society; Australian Government Research Training Program Scholarship(Australian GovernmentDepartment of Industry, Innovation and Science)</t>
  </si>
  <si>
    <t>Sperm whale tooth samples were provided by the Marine Conservation Program, Department of Primary Industries, Parks, Water and Environment (DPIPWE) Tasmania under permit FA 12276. Kris Carlyon (DPIPWE) is thanked for assistance and access to samples. Sam Thalmann (DPIPWE) is acknowledged for contributing to the preparation of sperm whale teeth. Pilot whale tooth samples were collected under DPIPWE permit FA12255; we thank Kris Carlyon (DPIPWE) and Shelley Graham (Ranger in Charge, King Island, Parks and Wildlife Service Tasmania) for assistance. Ben Arthur, Owen Daniel and Delphi Ward provided valuable assistance in the field. Catherine Kemper (Marine Mammal Ageing Facility, South Australian Museum) is gratefully thanked for assistance with preparation of pilot whale teeth and access to facilities. Dirk Welsford, Gabrielle Nowara and Bryn Farmer (Australian Antarctic Division) are thanked for laboratory access and assistance. We thank two anonymous reviewers for helpful comments that improved this manuscript. This research was supported by funding from the Winifred Violet Scott Charitable Trust, the Ethel Mary Read Research Grant and the Australian Geographic Society. VH was supported through an Australian Government Research Training Program Scholarship.</t>
  </si>
  <si>
    <t>10.1016/j.jembe.2018.04.006</t>
  </si>
  <si>
    <t>WOS:000436917600004</t>
  </si>
  <si>
    <t>McWatters, RS; Rowe, RK</t>
  </si>
  <si>
    <t>Mcwatters, Rebecca S.; Rowe, R. Kerry</t>
  </si>
  <si>
    <t>Barrier permeation properties of EVOH thin-film membranes under aqueous and non-aqueous conditions</t>
  </si>
  <si>
    <t>GEOTEXTILES AND GEOMEMBRANES</t>
  </si>
  <si>
    <t>Ethylene vinyl alcohol; Geomembranes; Vapour barriers; Diffusion; Relative humidity; Organic contaminants; Temperature</t>
  </si>
  <si>
    <t>ETHYLENE-VINYL ALCOHOL; WATER; TEMPERATURE; GEOMEMBRANES; COPOLYMERS; HUMIDITY; SPECTROSCOPY; PERMEABILITY; MORPHOLOGY; DIFFUSION</t>
  </si>
  <si>
    <t>Ethylene vinyl alcohol (EVOH) copolymers can provide a superior barrier to hydrocarbons and are increasingly being used in co-extruded geomembranes for geoenvironmental applications. These thin-films behave differently under different humidity conditions. This study investigated the permeation properties of toluene through two EVOH thin-films (32 mol% ethylene and 44 mol% ethylene) for both non-aqueous and aqueous solutions. The results of this study are used to gain a better understanding of the behaviour of the EVOH layer used in co-extruded geomembranes. The thin-film results are compared with published values for co-extruded linear low density polyethylene (LLDPE) and high density polyethylene (HDPE) geomembranes with an EVOH core. Permeation coefficients are presented over a range of contaminant concentrations from 25 ppm to 99% toluene based on almost five years of continuous testing and the effect of moisture is discussed. A number of EVOH thin-films were affected by humidity (i.e., where moisture diffused into the film) prior to diffusion testing under nonaqueous conditions. This observation led to an investigation of the effect of moisture uptake on the permeation of toluene under non-aqueous testing. In these cases, the 44 mol% thin-film had lower toluene permeation coefficient values than the 32 mol% thin-film. These values were similar to toluene permeation coefficient values from tests with aqueous solutions. When relative humidity was less than 60%, the 32 mol% had slightly lower permeability values than 44 mol% thin-film. However, even when affected by humidity, the permeability of both thin-films were considerably (two to three orders of magnitude) lower than previously observed in a water-saturated solution. Permeation of toluene from a 1/1 toluene/hexane solution was also examined for the 32 mol % EVOH thin-film at temperatures of 23-50 degrees C and results fit well with a conventional Arrhenius relationship of increasing P g values with increasing temperature.</t>
  </si>
  <si>
    <t>[Mcwatters, Rebecca S.] Australian Antarctic Div, Antarctic Conservat &amp; Management, Kingston, Tas 7050, Australia; [Rowe, R. Kerry] Queens Univ, GeoEngn Ctr Queens RMC, Kingston, ON K7L 3N6, Canada</t>
  </si>
  <si>
    <t>Australian Antarctic Division; Royal Military College - Canada; Queens University - Canada</t>
  </si>
  <si>
    <t>Rowe, RK (corresponding author), Queens Univ, GeoEngn Ctr Queens RMC, Kingston, ON K7L 3N6, Canada.</t>
  </si>
  <si>
    <t>rebecca.mcwatters@aad.gov.au; kerry@civil.queensu.ca</t>
  </si>
  <si>
    <t>Rowe, R. Kerry/0000-0002-1009-0447</t>
  </si>
  <si>
    <t>Kuraray Americas (Texas, USA)</t>
  </si>
  <si>
    <t>This study was financially supported by Kuraray Americas (Texas, USA) who also provided the EVOH thin-films. Raven Industries Engineered Films Division (South Dakota, USA) provided the co-extruded LLDPE/EVOH/LLDPE geomembrane. Their support throughout the project is gratefully acknowledged. The authors are also grateful to contributors: A.Rutter, P.Whitley, E.Sandl V.diBattista, D.Jones, at Queen's University, Kingston, Canada; and the team at the Australian Antarctic Division, Kingston, Australia.</t>
  </si>
  <si>
    <t>0266-1144</t>
  </si>
  <si>
    <t>1879-3584</t>
  </si>
  <si>
    <t>GEOTEXT GEOMEMBRANES</t>
  </si>
  <si>
    <t>Geotext. Geomembr.</t>
  </si>
  <si>
    <t>10.1016/j.geotexmem.2018.03.007</t>
  </si>
  <si>
    <t>Engineering, Geological; Geosciences, Multidisciplinary</t>
  </si>
  <si>
    <t>Engineering; Geology</t>
  </si>
  <si>
    <t>GH9QU</t>
  </si>
  <si>
    <t>WOS:000434004800015</t>
  </si>
  <si>
    <t>Sun, DW; Cao, C; Li, B; Chen, HJ; Li, JW; Cao, PR; Liu, YF</t>
  </si>
  <si>
    <t>Sun, Dewei; Cao, Chen; Li, Bo; Chen, Hongjian; Li, Jinwei; Cao, Peirang; Liu, Yuanfa</t>
  </si>
  <si>
    <t>Antarctic krill lipid extracted by subcritical n-butane and comparison with supercritical CO2 and conventional solvent extraction</t>
  </si>
  <si>
    <t>LWT-FOOD SCIENCE AND TECHNOLOGY</t>
  </si>
  <si>
    <t>Antarctic krill lipid; Lipid extraction method; Astaxanthin; Tocopherol; Volatile components</t>
  </si>
  <si>
    <t>FATTY-ACID-COMPOSITION; NONENZYMATIC BROWNING REACTIONS; OIL; PHOSPHOLIPIDS; STABILITY; OXIDATION; PROPANE; YIELD; MEAL</t>
  </si>
  <si>
    <t>Antarctic krill lipid has unique biological efficacy, however, the efficient and eco-friendly extraction of its lipid remains a challenge. In this study, Antarctic krill lipid extraction conditions using subcritical n-butane were investigated and optimized by response surface methodology. The optimal extraction conditions using sub critical n-butane were, 120 min dynamic extractions at 40 degrees C and 1.0 MPa. Lipids extracted by the subcritical n-butane were further compared with those extracted by supercritical CO2 and traditional solvents. Results indicated that the lipid extraction by using subcritical n-butane had a higher lipid recovery rate (81.2 +/- 1.5%), higher astaxanthin content (248.4 +/- 5.2 mg/kg) and the highest tocopherol content (67.7 +/- 3.2 mg/kg). Furthermore, the lipids' volatile components and flavor components were further investigated. Results revealed that the lipid extracted by subcritical n-butane had lower 1-Penten-3-ol and aldehydes content, indicating less lipid oxidation and higher sulfur-containing compounds which might contribute to the overall aroma of Antarctic krill lipid. Additionally, Antarctic krill lipid extracted by subcritical n-butane had a higher lipid recovery rate and better nutritional quality. Thus, subcritical n-butane could be the best solvent for efficiently extract Antarctic krill lipid.</t>
  </si>
  <si>
    <t>[Sun, Dewei; Cao, Chen; Li, Bo; Chen, Hongjian; Li, Jinwei; Cao, Peirang; Liu, Yuanfa] Jiangnan Univ, Synerget Innovat Ctr Food Safety &amp; Nutr, Sch Food Sci &amp; Technol, State Key Lab Food Sci &amp; Technol, 1800 Lihu Rd, Wuxi 214122, Jiangsu, Peoples R China</t>
  </si>
  <si>
    <t>Jiangnan University</t>
  </si>
  <si>
    <t>Cao, PR; Liu, YF (corresponding author), Jiangnan Univ, Synerget Innovat Ctr Food Safety &amp; Nutr, Sch Food Sci &amp; Technol, State Key Lab Food Sci &amp; Technol, 1800 Lihu Rd, Wuxi 214122, Jiangsu, Peoples R China.</t>
  </si>
  <si>
    <t>prcao@jiangnan.edu.cn; yfliu@jiangnan.edu.cn</t>
  </si>
  <si>
    <t>Liao, Hongmei/ABT-7677-2022; Li, JW/HNC-1743-2023; cao, peirang/AAH-1746-2019; Li, Bo/JVO-6869-2024</t>
  </si>
  <si>
    <t>cao, peirang/0000-0003-4729-5478;</t>
  </si>
  <si>
    <t>National Natural Science Foundation of China [31571878]; public sector research specialty food [201313011-7-3]; Beijing Municipal Science and Technology Project [D151100004015003]</t>
  </si>
  <si>
    <t>National Natural Science Foundation of China(National Natural Science Foundation of China (NSFC)); public sector research specialty food; Beijing Municipal Science and Technology Project</t>
  </si>
  <si>
    <t>This work was supported by the National Natural Science Foundation of China (31571878), the public sector research specialty food (201313011-7-3), and Beijing Municipal Science and Technology Project (D151100004015003).</t>
  </si>
  <si>
    <t>0023-6438</t>
  </si>
  <si>
    <t>1096-1127</t>
  </si>
  <si>
    <t>LWT-FOOD SCI TECHNOL</t>
  </si>
  <si>
    <t>LWT-Food Sci. Technol.</t>
  </si>
  <si>
    <t>10.1016/j.lwt.2018.04.024</t>
  </si>
  <si>
    <t>GI9YU</t>
  </si>
  <si>
    <t>WOS:000434902300001</t>
  </si>
  <si>
    <t>Cipro, CVZ; Bustamante, P; Petry, MV; Montone, RC</t>
  </si>
  <si>
    <t>Cipro, C. V. Z.; Bustamante, P.; Petry, M., V; Montone, R. C.</t>
  </si>
  <si>
    <t>Seabird colonies as relevant sources of pollutants in Antarctic ecosystems: Part 1-Trace elements</t>
  </si>
  <si>
    <t>CHEMOSPHERE</t>
  </si>
  <si>
    <t>Antarctica; Secondary sources; Stable isotopes; Heavy metals; Inorganic contaminants; Trace elements</t>
  </si>
  <si>
    <t>KING-GEORGE-ISLAND; PERSISTENT ORGANIC POLLUTANTS; SOUTH SHETLAND ISLANDS; SEAL MIROUNGA-LEONINA; STABLE-ISOTOPES; DECEPTION ISLAND; ENVIRONMENTAL COMPARTMENTS; ORGANOCHLORINE PESTICIDES; DIFFERENT LOCATIONS; ORNITHOGENIC SOILS</t>
  </si>
  <si>
    <t>Global distillation is classically pointed as the biggest responsible for contaminant inputs in Polar ecosystems. Mercury (Hg) and other trace elements (TEs) also present natural sources, whereas the biologically mediated input is typically ignored. However, bioaccumulation and biomagnification combined with the fact that seabirds gather in large numbers into large colonies and excrete on land might represent an important local TEs input. A previous work suggested these colonies as sources of not only nutrients, but also organic contaminants. To evaluate a similar hypothesis for TEs, samples of lichen (n = 55), mosses (n = 58) and soil (n = 37) were collected in 13 locations within the South Shetlands Archipelago during the austral summers of 2013-14 and 2014-15. They were divided in: colony (within the colony itself for soil and bordering it for vegetation) and control (at least 50 m away from colony interference), analysed for TEs (As, Cd, Co, Cr, Cu, Fe, Hg, Mn, Ni, Pb, Se, V, and Zn) and stable isotopes (C and N). In most cases, soil seems the best matrix to assess colonies as TEs sources, as it presented more differences between control/colony sites than vegetation. Colonies are clearly local sources of organic matter, Cd, Hg and likely of As, Se and Zn. Conversely, Co, Cr, Ni and Pb come presumably from other sources, natural or anthropogenic. In general, isotopes were more useful for interpreting vegetation data due to fractionation of absorbed animal-derived organic matter. Other local Hg sources could be inferred from high levels in control sites, location and wind patterns. (C) 2018 Elsevier Ltd. All rights reserved.</t>
  </si>
  <si>
    <t>[Cipro, C. V. Z.; Montone, R. C.] Univ Sao Paulo, Inst Oceanog LabQOM, Lab Quim Organ Marinha, Praca Oceanog 191 Sala 186, BR-05508120 Sao Paulo, SP, Brazil; [Cipro, C. V. Z.; Bustamante, P.] Univ La Rochelle, CNRS, UMR 7266, Littoral Environm &amp; Soc LIENSs, 2 Rue Olympe Gouges, F-17042 La Rochelle 01, France; [Petry, M., V] Univ Vale Rio Dos Sinos, Lab Ornitol &amp; Anim Marinhos, Av Unisinos 950, BR-93022000 Sao Leopoldo, RS, Brazil</t>
  </si>
  <si>
    <t>Universidade de Sao Paulo; La Rochelle Universite; Centre National de la Recherche Scientifique (CNRS); Universidade do Vale do Rio dos Sinos (Unisinos)</t>
  </si>
  <si>
    <t>Cipro, CVZ (corresponding author), Univ Sao Paulo, Inst Oceanog LabQOM, Lab Quim Organ Marinha, Praca Oceanog 191 Sala 186, BR-05508120 Sao Paulo, SP, Brazil.</t>
  </si>
  <si>
    <t>caiovzc@usp.br</t>
  </si>
  <si>
    <t>Petry, Maria Virginia/AAG-5333-2021; Bustamante, Paco/G-5833-2011; petry, maria/K-8410-2013; Zecchin Cipro, Caio Vinicius/C-6338-2014; Montone, Rosalinda/J-9110-2012</t>
  </si>
  <si>
    <t>Bustamante, Paco/0000-0003-3877-9390; petry, maria/0000-0002-7870-7394; Zecchin Cipro, Caio Vinicius/0000-0002-7028-6353; Montone, Rosalinda/0000-0002-9586-1000</t>
  </si>
  <si>
    <t>CPER (Contrat de Plan Etat-Region); FASEP (Fonds d'etude et d'aide au secteur prive); FAPESP (Sao Paulo Research Foundation, Brazil) [2014/15989-0, 2015/07209-8]; INCT-APA (Instituto Nacional de Ciencia e Tecnologia Antartico de Pesquisas Ambientais) [574018/2008-5]; FAPERJ [E-26/170.023/2008]; SECIRM; MMA; MCTI; IUF (Institut Universitaire de France); Fundacao de Amparo a Pesquisa do Estado de Sao Paulo (FAPESP) [15/07209-8] Funding Source: FAPESP</t>
  </si>
  <si>
    <t>CPER (Contrat de Plan Etat-Region); FASEP (Fonds d'etude et d'aide au secteur prive); FAPESP (Sao Paulo Research Foundation, Brazil)(Fundacao de Amparo a Pesquisa do Estado de Sao Paulo (FAPESP)); INCT-APA (Instituto Nacional de Ciencia e Tecnologia Antartico de Pesquisas Ambientais); FAPERJ(Fundacao Carlos Chagas Filho de Amparo a Pesquisa do Estado do Rio De Janeiro (FAPERJ)); SECIRM; MMA; MCTI; IUF (Institut Universitaire de France); Fundacao de Amparo a Pesquisa do Estado de Sao Paulo (FAPESP)(Fundacao de Amparo a Pesquisa do Estado de Sao Paulo (FAPESP))</t>
  </si>
  <si>
    <t>The authors would like to acknowledge the financing organisms in the University of La Rochelle: CPER (Contrat de Plan Etat-Region) and FASEP (Fonds d'etude et d'aide au secteur prive). C.V.Z. Cipro received scholarships from FAPESP (Sao Paulo Research Foundation, Brazil. Grant #2014/15989-0 and grant #2015/07209-8). M. V. Petry received funding from INCT-APA (Instituto Nacional de Ciencia e Tecnologia Antartico de Pesquisas Ambientais) (CNPq Process no 574018/2008-5), FAPERJ (E-26/170.023/2008) and was supported by the SECIRM, MMA and MCTI. The IUF (Institut Universitaire de France) is acknowledged for its support to PB as a Senior Member. C. Churlaud and M. Brault-Favrou from the Plateforme Analyses Elementaires of LIENSs are to be thanked for their assistance in trace elements analyses. G. Guillou and B. Lebreton from the Plateforme Analyses Isotopiques of LIENSs are also to be thanked for their assistance during stable isotope analyses. Finally, many thanks are dedicated to everyone involved in the fieldwork.</t>
  </si>
  <si>
    <t>0045-6535</t>
  </si>
  <si>
    <t>1879-1298</t>
  </si>
  <si>
    <t>Chemosphere</t>
  </si>
  <si>
    <t>10.1016/j.chemosphere.2018.02.048</t>
  </si>
  <si>
    <t>GG5WU</t>
  </si>
  <si>
    <t>WOS:000432767300061</t>
  </si>
  <si>
    <t>Bishir, SC; Hossack, BR; Fishback, L; Davenport, JM</t>
  </si>
  <si>
    <t>Bishir, Stephanie C.; Hossack, Blake R.; Fishback, LeeAnn; Davenport, Jon M.</t>
  </si>
  <si>
    <t>Post-breeding movement and habitat use by wood frogs along an Arctic-Subarctic ecotone</t>
  </si>
  <si>
    <t>Amphibian; Manitoba; tundra; dispersal; boreal forest</t>
  </si>
  <si>
    <t>HUDSON-BAY LOWLANDS; CLIMATE-CHANGE; TIMBER HARVEST; SELECTION; AMPHIBIANS; DECLINES; SHIFTS; AMPLIFICATION; LANDSCAPE; CHURCHILL</t>
  </si>
  <si>
    <t>By altering essential micro- and macrohabitat conditions for many organisms, climate change is already causing disproportionately greater impacts on Arctic and Subarctic ecosystems. Yet there is a lack of basic information about many species in northern latitudes, including amphibians. We used radio telemetry to study the post-breeding movements and habitat use of wood frogs (Rana [=Lithobates] sylvatica) in the Hudson Bay Lowlands near Churchill, Manitoba, Canada. We tracked fifty-seven frogs (thirty-five males, twenty-two females; mean duration = 16.8 d) from three wetlands during the summers of 2015 and 2016. The three wetlands were representative of the Arctic-Subarctic ecotone, with each wetland surrounded by different proportions of boreal forest and tundra. Our results indicate that at the landscape scale, movement distances increased with temperature, and all frogs spent more time in the tundra habitat than in boreal forests, relative to the availability of each habitat type. At the microhabitat scale (1 m(2) plots), frogs selected areas with greater amounts of standing water, sedge, and shrubs. These results provide information on terrestrial movement patterns and critical habitat data for northern populations of wood frogs in a Subarctic environment, which will aid in understanding how climate change will affect amphibians in this rapidly changing ecosystem.</t>
  </si>
  <si>
    <t>[Bishir, Stephanie C.; Davenport, Jon M.] Southeast Missouri State Univ, Dept Biol, Cape Girardeau, MO 63701 USA; [Hossack, Blake R.] Northern Rocky Mt Sci Ctr, US Geol Survey, Missoula, MT USA; [Fishback, LeeAnn] Churchill Northern Studies Ctr, Churchill, MB, Canada</t>
  </si>
  <si>
    <t>United States Department of the Interior; United States Geological Survey</t>
  </si>
  <si>
    <t>Davenport, JM (corresponding author), Southeast Missouri State Univ, Dept Biol, Cape Girardeau, MO 63701 USA.</t>
  </si>
  <si>
    <t>jdavenport@semo.edu</t>
  </si>
  <si>
    <t>Davenport, Jon M/AAG-8457-2020</t>
  </si>
  <si>
    <t>Davenport, Jon M/0000-0002-9911-2779</t>
  </si>
  <si>
    <t>Churchill Northern Studies Centre; Earthwatch Institute; Theodore Roosevelt Memorial Fund of the American Museum of Natural History; Explorers Club Exploration Fund-Mamont Scholars Program; U.S. Geological Survey Amphibian Research and Monitoring Initiative (ARMI)</t>
  </si>
  <si>
    <t>Churchill Northern Studies Centre; Earthwatch Institute; Theodore Roosevelt Memorial Fund of the American Museum of Natural History; Explorers Club Exploration Fund-Mamont Scholars Program; U.S. Geological Survey Amphibian Research and Monitoring Initiative (ARMI)(United States Geological Survey)</t>
  </si>
  <si>
    <t>The Churchill Northern Studies Centre provided funding under the Northern Research Fund and logistical support. Additional funding was provided by Earthwatch Institute, Theodore Roosevelt Memorial Fund of the American Museum of Natural History, the Explorers Club Exploration Fund-Mamont Scholars Program, and (to B. Hossack) the U.S. Geological Survey Amphibian Research and Monitoring Initiative (ARMI). This manuscript is ARMI contribution no. 621. Any use of trade, product, or firm names is for descriptive purposes only and does not imply endorsement by the U.S. Government. Frogs were tracked and handled in accordance with the Manitoba Conservation and Water Stewardship permit WB17529 to J.M.D.</t>
  </si>
  <si>
    <t>JUL 31</t>
  </si>
  <si>
    <t>e1487657</t>
  </si>
  <si>
    <t>10.1080/15230430.2018.1487657</t>
  </si>
  <si>
    <t>GO7YQ</t>
  </si>
  <si>
    <t>WOS:000440298300001</t>
  </si>
  <si>
    <t>Raymond-Bouchard, I; Tremblay, J; Altshuler, I; Greer, CW; Whyte, LG</t>
  </si>
  <si>
    <t>Raymond-Bouchard, Isabelle; Tremblay, Julien; Altshuler, Ianina; Greer, Charles W.; Whyte, Lyle G.</t>
  </si>
  <si>
    <t>Comparative Transcriptomics of Cold Growth and Adaptive Features of a Eury- and Steno-Psychrophile</t>
  </si>
  <si>
    <t>eurypsychrophile; stenopsychrophile; transcriptomics; cold growth; cold adaptation; permafrost; Polaromonas; Rhodococcus</t>
  </si>
  <si>
    <t>COLWELLIA-PSYCHRERYTHRAEA 34H; PSYCHROBACTER-ARCTICUS 273-4; PLANOCOCCUS-HALOCRYOPHILUS; LOW-TEMPERATURE; METHANOCOCCOIDES-BURTONII; GENOME SEQUENCE; GENE-EXPRESSION; ALCOHOL-DEHYDROGENASE; PERMAFROST BACTERIUM; ANTARCTIC ARCHAEON</t>
  </si>
  <si>
    <t>Permafrost subzero environments harbor diverse, active communities of microorganisms. However, our understanding of the subzero growth, metabolisms, and adaptive properties of these microbes remains very limited. We performed transcriptomic analyses on two subzero-growing permafrost isolates with different growth profiles in order to characterize and compare their cold temperature growth and cold-adaptive strategies. The two organisms, Rhodococcus sp. JG3 (-5 to 30 degrees C) and Polaromonas sp. Eur3 1.2.1 (-5 to 22 degrees C), shared several common responses during low temperature growth, including induction of translation and ribosomal processes, upregulation of nutrient transport, increased oxidative and osmotic stress responses, and stimulation of polysaccharide capsule synthesis. Recombination appeared to be an important adaptive strategy for both isolates at low temperatures, likely as a mechanism to increase genetic diversity and the potential for survival in cold systems. While Rhodococcus sp. JG3 favored upregulating iron and amino acid transport, sustaining redox potential, and modulating fatty acid synthesis and composition during growth at -5 degrees C compared to 25 degrees C, Polaromonas sp. Eur3 1.2.1 increased the relative abundance of transcripts involved in primary energy metabolism and the electron transport chain, in addition to signal transduction and peptidoglycan synthesis at 0 degrees C compared to 20 degrees C. The increase in energy metabolism may explain why Polaromonas sp. Eur3 1.2.1 is able to sustain growth rates at 0 degrees C comparable to those at higher temperatures. For Rhodococcus sp. JG3, flexibility in use of carbon sources, iron acquisition, control of membrane fatty acid composition, and modulating redox and co-factor potential may be ways in which this organism is able to sustain growth over a wider range of temperatures. Increasing our understanding of the microbes in these habitats helps us better understand active pathways and metabolisms in extreme environments. Identifying novel, thermolabile, and cold-active enzymes from studies such as this is also of great interest to the biotechnology and food industries.</t>
  </si>
  <si>
    <t>[Raymond-Bouchard, Isabelle; Altshuler, Ianina; Whyte, Lyle G.] McGill Univ, Dept Nat Resource Sci, Ste Anne De Bellevue, PQ, Canada; [Tremblay, Julien; Greer, Charles W.] Natl Res Council Canada, Biotechnol Res Inst, Montreal, PQ, Canada</t>
  </si>
  <si>
    <t>McGill University; National Research Council Canada</t>
  </si>
  <si>
    <t>Whyte, LG (corresponding author), McGill Univ, Dept Nat Resource Sci, Ste Anne De Bellevue, PQ, Canada.</t>
  </si>
  <si>
    <t>lyle.whyte@mcgill.ca</t>
  </si>
  <si>
    <t>Altshuler, Ianina/O-3206-2019</t>
  </si>
  <si>
    <t>Altshuler, Ianina/0000-0003-2235-1664</t>
  </si>
  <si>
    <t>Natural Sciences and Engineering Research Council of Canada (NSERC) through an NSERC CREATE Ph.D. fellowship; Natural Sciences and Engineering Research Council of Canada (NSERC) through an NSERC Canadian Graduate Scholarship; NSERC Discovery and Northern Research Supplement grants; Polar Continental Shelf Project grant</t>
  </si>
  <si>
    <t>Natural Sciences and Engineering Research Council of Canada (NSERC) through an NSERC CREATE Ph.D. fellowship(Natural Sciences and Engineering Research Council of Canada (NSERC)); Natural Sciences and Engineering Research Council of Canada (NSERC) through an NSERC Canadian Graduate Scholarship(Natural Sciences and Engineering Research Council of Canada (NSERC)); NSERC Discovery and Northern Research Supplement grants(Natural Sciences and Engineering Research Council of Canada (NSERC)); Polar Continental Shelf Project grant</t>
  </si>
  <si>
    <t>Funding for this research was provided by the Natural Sciences and Engineering Research Council of Canada (NSERC) through an NSERC CREATE Ph.D. fellowship and an NSERC Canadian Graduate Scholarship to IR-B, and through NSERC Discovery and Northern Research Supplement grants and a Polar Continental Shelf Project grant to LW.</t>
  </si>
  <si>
    <t>10.3389/fmicb.2018.01565</t>
  </si>
  <si>
    <t>GO7XY</t>
  </si>
  <si>
    <t>WOS:000440295700001</t>
  </si>
  <si>
    <t>Sorensen-Hygum, TL; Stuart, RM; Jorgensen, A; Mobjerg, N</t>
  </si>
  <si>
    <t>Sorensen-Hygum, Thomas L.; Stuart, Robyn M.; Jorgensen, Aslak; Mobjerg, Nadja</t>
  </si>
  <si>
    <t>Modelling extreme desiccation tolerance in a marine tardigrade</t>
  </si>
  <si>
    <t>HYPSIBIUS-DUJARDINI; ANHYDROBIOTIC SURVIVAL; ANTARCTIC TARDIGRADE; STRESS TOLERANCE; LIFE-HISTORY; CRYPTOBIOSIS; EVOLUTION; DOYERE; SPACE</t>
  </si>
  <si>
    <t>It has recently been argued that the enigmatic tardigrades (water bears) will endure until the sun dies, surviving any astrophysical calamities in Earth's oceans.Yet, our knowledge of stress tolerance among marine tardigrade species is very limited and most investigations revolve around species living in moist habitats on land. Here, we investigate desiccation tolerance in the cosmopolitan marine tidal tardigrade, Echiniscoides sigismundi, providing the first thorough analysis on recovery upon desiccation from seawater. We test the influence on survival of desiccation surface, time spent desiccated (up to 1 year) and initial water volume. We propose analysis methods for survival estimates, which can be used as a future platform for evaluating and analysing recovery rates in organisms subjected to extreme stress. Our data reveal that marine tidal tardigrades tolerate extremely rapid and extended periods of desiccation from seawater supporting the argument that these animals are among the toughest organisms on Earth.</t>
  </si>
  <si>
    <t>[Sorensen-Hygum, Thomas L.; Jorgensen, Aslak; Mobjerg, Nadja] Univ Copenhagen, Dept Biol, Sect Cell Biol &amp; Physiol, Copenhagen, Denmark; [Stuart, Robyn M.] Univ Copenhagen, Dept Math Sci, Data Sci Lab, Copenhagen, Denmark</t>
  </si>
  <si>
    <t>University of Copenhagen; University of Copenhagen</t>
  </si>
  <si>
    <t>Mobjerg, N (corresponding author), Univ Copenhagen, Dept Biol, Sect Cell Biol &amp; Physiol, Copenhagen, Denmark.</t>
  </si>
  <si>
    <t>nmobjerg@bio.ku.dk</t>
  </si>
  <si>
    <t>Møbjerg, Nadja/AAT-4788-2021; /D-7669-2015</t>
  </si>
  <si>
    <t>Møbjerg, Nadja/0000-0002-5845-9047; /0000-0002-3393-0621</t>
  </si>
  <si>
    <t>Danish Council for Independent Research [DFF - 4090-00145]; Carlsberg Foundation</t>
  </si>
  <si>
    <t>Danish Council for Independent Research(Det Frie Forskningsrad (DFF)); Carlsberg Foundation(Carlsberg Foundation)</t>
  </si>
  <si>
    <t>The study was funded by The Danish Council for Independent Research (grant-ID: DFF - 4090-00145) and the Carlsberg Foundation (equipment grants to NM).</t>
  </si>
  <si>
    <t>10.1038/s41598-018-29824-6</t>
  </si>
  <si>
    <t>GO7WN</t>
  </si>
  <si>
    <t>WOS:000440288600029</t>
  </si>
  <si>
    <t>Ryan-Keogh, TJ; Thomalla, SJ; Mtshali, TN; van Horsten, NR; Little, HJ</t>
  </si>
  <si>
    <t>Ryan-Keogh, Thomas J.; Thomalla, Sandy J.; Mtshali, Thato N.; van Horsten, Natasha R.; Little, Hazel J.</t>
  </si>
  <si>
    <t>Seasonal development of iron limitation in the sub-Antarctic zone</t>
  </si>
  <si>
    <t>SOUTHERN-OCEAN PHYTOPLANKTON; ATLANTIC SECTOR; PACIFIC-OCEAN; SPATIAL VARIABILITY; LIGHT INTERACTIONS; QUANTUM YIELD; CHLOROPHYLL; GROWTH; FLUORESCENCE; DYNAMICS</t>
  </si>
  <si>
    <t>The seasonal and sub-seasonal dynamics of iron availability within the sub-Antarctic zone (SAZ; similar to 40-45 degrees S) play an important role in the distribution, biomass and productivity of the phytoplankton community. The variability in iron availability is due to an interplay between winter entrainment, diapycnal diffusion, storm-driven entrainment, atmospheric deposition, iron scavenging and iron recycling processes. Biological observations utilizing grow-out iron addition incubation experiments were performed at different stages of the seasonal cycle within the SAZ to determine whether iron availability at the time of sampling was sufficient to meet biological demands at different times of the growing season. Here we demonstrate that at the beginning of the growing season, there is sufficient iron to meet the demands of the phytoplankton community, but that as the growing season develops the mean iron concentrations in the mixed layer decrease and are insufficient to meet biological demand. Phytoplankton increase their photosynthetic efficiency and net growth rates following iron addition from midsummer to late summer, with no differences determined during early summer, suggestive of seasonal iron depletion and an insufficient resupply of iron to meet biological demand. The result of this is residual macronutrients at the end of the growing season and the prevalence of the high-nutrient low-chlorophyll (HNLC) condition. We conclude that despite the prolonged growing season characteristic of the SAZ, which can extend into late summer/early autumn, results nonetheless suggest that iron supply mechanisms are insufficient to maintain potential maximal growth and productivity throughout the season.</t>
  </si>
  <si>
    <t>[Ryan-Keogh, Thomas J.; Thomalla, Sandy J.; Mtshali, Thato N.; van Horsten, Natasha R.] CSIR, Nat Resources &amp; Environm, Southern Ocean Carbon &amp; Climate Observ, ZA-7700 Cape Town, South Africa; [Ryan-Keogh, Thomas J.; Little, Hazel J.] Univ Cape Town, Dept Oceanog, ZA-7701 Cape Town, South Africa; [Thomalla, Sandy J.] Univ Cape Town, Marine Res Inst, ZA-7701 Cape Town, South Africa; [van Horsten, Natasha R.] Stellenbosch Univ, Dept Earth Sci, ZA-7600 Stellenbosch, South Africa</t>
  </si>
  <si>
    <t>Council for Scientific &amp; Industrial Research (CSIR) - South Africa; University of Cape Town; University of Cape Town; Stellenbosch University</t>
  </si>
  <si>
    <t>Ryan-Keogh, TJ (corresponding author), CSIR, Nat Resources &amp; Environm, Southern Ocean Carbon &amp; Climate Observ, ZA-7700 Cape Town, South Africa.;Ryan-Keogh, TJ (corresponding author), Univ Cape Town, Dept Oceanog, ZA-7701 Cape Town, South Africa.</t>
  </si>
  <si>
    <t>Ryan-Keogh, Thomas/0000-0001-5144-171X; Thomalla, Sandy/0000-0002-6802-520X</t>
  </si>
  <si>
    <t>CSIR's Southern Ocean Carbon and Climate Observatory (SOCCO) Programme; CSIR's Parliamentary Grant funding [SNA2011112600001]; NRF SANAP grant [SNA14073184298]</t>
  </si>
  <si>
    <t>CSIR's Southern Ocean Carbon and Climate Observatory (SOCCO) Programme; CSIR's Parliamentary Grant funding; NRF SANAP grant</t>
  </si>
  <si>
    <t>We would like to thank the South African National Antarctic Programme (SANAP) and the captain and crew of the SA Agulhas II for their professional support through the cruise. We would also like to thank the engineers and glider pilots from Sea Technology Services for their professional support. Ryan Cloete and Ryan Miltz were involved in water collection and experimental set-up. This work was undertaken and supported through the CSIR's Southern Ocean Carbon and Climate Observatory (SOCCO) Programme (http://socco.org.za/; last access: 10 July 2018). This work was supported by CSIR's Parliamentary Grant funding (SNA2011112600001) and the NRF SANAP grant (SNA14073184298).</t>
  </si>
  <si>
    <t>JUL 30</t>
  </si>
  <si>
    <t>10.5194/bg-15-4647-2018</t>
  </si>
  <si>
    <t>GO8EF</t>
  </si>
  <si>
    <t>WOS:000440316500002</t>
  </si>
  <si>
    <t>Bracegirdle, TJ; Lu, H; Eade, R; Woollings, T</t>
  </si>
  <si>
    <t>Bracegirdle, Thomas J.; Lu, Hua; Eade, Rosie; Woollings, Tim</t>
  </si>
  <si>
    <t>Do CMIP5 Models Reproduce Observed Low-Frequency North Atlantic Jet Variability?</t>
  </si>
  <si>
    <t>SEA-SURFACE TEMPERATURE; EDDY-DRIVEN JET; CLIMATE VARIABILITY; SIMULATIONS; OSCILLATION; 20TH-CENTURY; CIRCULATION; SENSITIVITY; REGION; AD</t>
  </si>
  <si>
    <t>The magnitude of observed multidecadal variations in the North Atlantic Oscillation (NAO) in winter is at the upper end of the range simulated by climate models and a clear explanation for this remains elusive. Recent research shows that observed multidecadal winter NAO variability is more strongly associated with North Atlantic (NA) jet strength than latitude, thus motivating a comprehensive comparison of NA jet and NAO variability across the Coupled Model Intercomparison Project Phase 5 (CMIP5) models. Our results show that the observed peak in multidecadal jet strength variability is even more unusual than NAO variability when compared to the model-simulated range across 133 historical CMIP5 simulations. Some CMIP5 models appear capable of reproducing the observed low-frequency peak in jet strength, but there are too few simulations of each model to clearly identify which. It is also found that an observed strong multidecadal correlation between jet strength and NAO since the mid-nineteenth century may be specific to this period. Plain Language Summary The dominant pattern in sea level pressure variability over the North Atlantic (NA) is the North Atlantic Oscillation (NAO), which is strongly associated with climate variations over western Europe. However, major focus of current research is that climate models broadly do not reproduce large enough low-frequency (longer than 30years) NAO variability, with the implication that significant improvements in the skill of decadal weather prediction are possible. Motivated by this, we analyzed data from 44 of the world's leading models and delved more deeply into major underlying characteristics of low-frequency winter NAO variability, specifically (1) strength and (2) latitude of the belt of prevailing westerly winds that blow across the NA from the eastern United States to western Europe. Our study revealed that it is the strength of the westerlies, rather than latitude, that underlies models' difficulty in reproducing low-frequency NAO variability. This more detailed picture also really matters in terms of impacts on European climate, since a more positive NAO associated mainly with stronger westerlies has different climate impacts compared to one associated mainly with more poleward westerlies. This is emphasized by a further finding that either component of the westerlies can dominate NAO variability across different decades and even centuries.</t>
  </si>
  <si>
    <t>[Bracegirdle, Thomas J.; Lu, Hua] British Antarctic Survey, Cambridge, England; [Eade, Rosie] Met Off Hadley Ctr, Exeter, Devon, England; [Woollings, Tim] Univ Oxford, Dept Phys Atmospher Ocean &amp; Planetary Phys, Oxford, England</t>
  </si>
  <si>
    <t>UK Research &amp; Innovation (UKRI); Natural Environment Research Council (NERC); NERC British Antarctic Survey; Met Office - UK; Hadley Centre; University of Oxford</t>
  </si>
  <si>
    <t>Bracegirdle, TJ (corresponding author), British Antarctic Survey, Cambridge, England.</t>
  </si>
  <si>
    <t>tjbra@bas.ac.uk</t>
  </si>
  <si>
    <t>Bracegirdle, Tom/AAD-6060-2020; Lu, Hua/GXA-0276-2022</t>
  </si>
  <si>
    <t>Lu, Hua/0000-0001-9485-5082; Woollings, Tim/0000-0002-5815-9079; Eade, Rosie/0000-0002-3566-4232; Bracegirdle, Thomas/0000-0002-8868-4739</t>
  </si>
  <si>
    <t>NERC ACSIS project [NE/N018028/1]; NERC IMPETUS project [NE/L01047X/1]; Met Office Hadley Centre Climate Programme [GA01101]; NERC [NE/L01047X/1, bas0100032, NE/N018028/1] Funding Source: UKRI</t>
  </si>
  <si>
    <t>NERC ACSIS project; NERC IMPETUS project; Met Office Hadley Centre Climate Programme; NERC(UK Research &amp; Innovation (UKRI)Natural Environment Research Council (NERC))</t>
  </si>
  <si>
    <t>T. B. and H. L. were supported as part of the NERC ACSIS project (NE/N018028/1). T. W. was supported by the NERC IMPETUS project (NE/L01047X/1). R. E. was supported by the Met Office Hadley Centre Climate Programme (GA01101). We acknowledge the WCRP's Working Group on Coupled Modeling, which is responsible for CMIP, and we thank the climate modeling groups (listed in Table S1 of this paper) for producing and making available their model output. For CMIP the U.S. Department of Energy's Program for Climate Model Diagnosis and Intercomparison provided the coordinating support and led development of software infrastructure in partnership with the Global Organization for Earth System Science Portals. CMIP5 data can be accessed at https://esgf-node.llnl.gov/projects/cmip5/. The 20CRv2c data were provided by the NOAA/OAR/ESRL PSD, Boulder, Colorado, USA, from their Web site at https://www.esrl.noaa.gov/psd/. Support for the 20CRv2c data set is provided by the U.S. Department of Energy, Office of Science Biological and Environmental Research (BER), and by the National Oceanic and Atmospheric Administration Climate Program Office.</t>
  </si>
  <si>
    <t>JUL 28</t>
  </si>
  <si>
    <t>10.1029/2018GL078965</t>
  </si>
  <si>
    <t>GR4LU</t>
  </si>
  <si>
    <t>Bronze, Green Accepted, Green Submitted</t>
  </si>
  <si>
    <t>WOS:000442582100050</t>
  </si>
  <si>
    <t>Mohajerani, Y; Velicogna, I; Rignot, E</t>
  </si>
  <si>
    <t>Mohajerani, Yara; Velicogna, Isabella; Rignot, Eric</t>
  </si>
  <si>
    <t>Mass Loss of Totten and Moscow University Glaciers, East Antarctica, Using Regionally Optimized GRACE Mascons</t>
  </si>
  <si>
    <t>Totten glacier; East Antarctica; GRACE; regional climate models; mass budget; mass balance</t>
  </si>
  <si>
    <t>TIME-VARIABLE GRAVITY; SEA-LEVEL RISE; ISOSTATIC-ADJUSTMENT; CLIMATE EXPERIMENT; ICE FLOW; BALANCE; GREENLAND; RECOVERY; MODEL; SHELF</t>
  </si>
  <si>
    <t>Totten and Moscow University glaciers, in the marine-based sector of East Antarctica, contain enough ice to raise sea level by 5 m. Obtaining precise measurements of their mass balance is challenging owing to large area of the basins and the small mass balance signal compared to West Antarctic glaciers. Here we employ a locally optimized processing of Gravity Recovery and Climate Experiment (GRACE) harmonics to evaluate their mass balance at the sub-basin scale and compare the results with mass budget method (MBM) estimates using regional atmospheric climate model version 2.3 (RACMO2.3) or Modele Atmospherique Regional version 3.6.4 (MAR3.6.4). The sub-basin mass loss estimate for April 2002 to November 2015 is 14.8 4.3 Gt/yr, which is weakly affected by glacial isostatic adjustment uncertainties (1.4 Gt/yr). This result agrees with MBM/RACMO2.3 (15.8 +/- 2.0 Gt/yr), whereas MBM/MAR3.6.4 underestimates the loss (6.6 +/- 1.6 Gt/yr). For the entire drainage, the mass loss for April 2002 to August 2016 is 18.5 +/- 6.6 Gt/yr, or 15 +/- 4% of its ice flux. These results provide unequivocal evidence for mass loss in this East Antarctic sector.</t>
  </si>
  <si>
    <t>[Mohajerani, Yara; Velicogna, Isabella; Rignot, Eric] Univ Calif Irvine, Earth Syst Sci, Irvine, CA 92697 USA; [Velicogna, Isabella; Rignot, Eric] Jet Prop Lab, Pasadena, CA USA</t>
  </si>
  <si>
    <t>University of California System; University of California Irvine; National Aeronautics &amp; Space Administration (NASA); NASA Jet Propulsion Laboratory (JPL)</t>
  </si>
  <si>
    <t>Mohajerani, Y (corresponding author), Univ Calif Irvine, Earth Syst Sci, Irvine, CA 92697 USA.</t>
  </si>
  <si>
    <t>ymohajer@uci.edu</t>
  </si>
  <si>
    <t>Rignot, Eric/A-4560-2014; Velicogna, Isabella/R-5561-2018</t>
  </si>
  <si>
    <t>Rignot, Eric/0000-0002-3366-0481; Mohajerani, Yara/0000-0002-4292-2367; Velicogna, Isabella/0000-0002-9020-1898</t>
  </si>
  <si>
    <t>NASA GRACE; NASA GRACE-FO; Cryosphere, Terrestrial Hydrology program; NSLC program</t>
  </si>
  <si>
    <t>This work was performed at the UCI and JPL-Caltech. It was supported by the NASA's GRACE and GRACE-FO, Cryosphere, Terrestrial Hydrology, and NSLC programs. Velocity and ice thickness data are available at the National Snow and Ice Data Center (NSIDC), Boulder, CO, as part of the NASA Operation IceBridge project and of MEaSUREs. MAR surface mass balance data can be accessed at ftp://ftp.climato.be/fettweis/. CSR RL05 GRACE harmonics are available at http://www2.csr.utexas.edu/grace/RL05.html. Data presented in this paper are publicly available at https://www.ess.uci.edu/similar to velicogna/totten_moscow_timeseries.php.</t>
  </si>
  <si>
    <t>10.1029/2018GL078173</t>
  </si>
  <si>
    <t>WOS:000442582100029</t>
  </si>
  <si>
    <t>Schemm, S</t>
  </si>
  <si>
    <t>Schemm, Sebastian</t>
  </si>
  <si>
    <t>Regional Trends in Weather Systems Help Explain Antarctic Sea Ice Trends</t>
  </si>
  <si>
    <t>SOUTHERN ANNULAR MODE; CLIMATE VARIABILITY; PENINSULA REGION; HEMISPHERE; OCEAN; BLOCKING; CYCLONES; IMPACTS; EXTENT; LINKS</t>
  </si>
  <si>
    <t>In contrast to Arctic sea ice extent, Antarctic sea ice extent has increased since 1979. On a regional scale, however, the trends exhibit high spatial variability and are even of the opposite sign. This study examines connections between sea ice extent and the frequencies of extratropical cyclones and blocks. Consideration is given to regions that exhibit long-term sea ice trends during spring and autumn. Significant connections exist in almost all examined regions. Typically, the region of maximum correlation is shifted upstream or downstream of the sea ice target region, which indicates that the 10-m wind associated with the examined weather systems is the chief thermodynamic and dynamic agent underlying sea ice variability. Along the ice edge of the Weddell and Ross Seas, the correlation between springtime sea ice extent and cyclone frequencies displays a wave number 3 pattern. Eastward of the Ross Sea, along the transition into the Amundsen Sea, spring sea ice extent is connected to cyclone and blocking frequencies during spring and the preceding autumn. Westward of the Ross Sea, autumn sea ice extent is strongly connected to blocking frequencies during the preceding spring. For the Bellingshausen Sea, an inverse relationship exists between autumn cyclone frequencies and autumn sea ice extent. Significant cyclone and blocking trends that are consistent with long-term sea ice trends exist in most examined regions. These findings point toward identifying regional trends in extratropical cyclone and blocking frequencies as a useful step toward a better understanding of couplings between Southern Hemisphere climate and regional trends in sea ice extent. Plain Language Summary While most ice sheets and glaciers on Earth retreat, Antarctic sea ice extent has increased. But this increase is the residual of many regional trends of opposite sign. Current research activities focus on understanding why Antarctic sea ice trends exhibit so much spatial variability. This study shows that in most regions that exhibit strong trends in sea ice extent, a concomitant trend in the number of days affected by either a low-pressure system or a stationary, high-pressure system (atmospheric block) exists, which is in agreement with the trends seen in sea ice extent. Because it is known that the 10-m wind associated with these weather systems is an important driver of sea ice variability, these trends in weather systems help understand sea ice variability.</t>
  </si>
  <si>
    <t>[Schemm, Sebastian] Swiss Fed Inst Technol, Inst Biogeochem &amp; Pollutant Dynam, Zurich, Switzerland; [Schemm, Sebastian] Swiss Fed Inst Technol, Inst Atmospher &amp; Climate Sci, Zurich, Switzerland</t>
  </si>
  <si>
    <t>Swiss Federal Institutes of Technology Domain; ETH Zurich; Swiss Federal Institutes of Technology Domain; ETH Zurich</t>
  </si>
  <si>
    <t>Schemm, S (corresponding author), Swiss Fed Inst Technol, Inst Biogeochem &amp; Pollutant Dynam, Zurich, Switzerland.;Schemm, S (corresponding author), Swiss Fed Inst Technol, Inst Atmospher &amp; Climate Sci, Zurich, Switzerland.</t>
  </si>
  <si>
    <t>sebastian.schemm@env.ethz.ch</t>
  </si>
  <si>
    <t>Schemm, Sebastian/0000-0002-1601-5683</t>
  </si>
  <si>
    <t>Swiss National Science Foundation [P300P2_167745, P3P3P2_167747]; Swiss National Science Foundation (SNF) [P300P2_167745, P3P3P2_167747] Funding Source: Swiss National Science Foundation (SNF)</t>
  </si>
  <si>
    <t>Swiss National Science Foundation(Swiss National Science Foundation (SNSF)); Swiss National Science Foundation (SNF)(Swiss National Science Foundation (SNSF))</t>
  </si>
  <si>
    <t>Sebastian Schemm acknowledges funding from the Swiss National Science Foundation (P300P2_167745 and P3P3P2_167747). The sea ice data used are available from National Snow and Ice Data Center (NSICS) via https://doi.org/10.7265/N59P2ZTG. The cyclone and blocking data used are available from ETH Zurich via http://eraiclim.ethz.ch/. The author acknowledges helpful discussions with two anonymous reviewers and N. Gruber (ETH Zurich).</t>
  </si>
  <si>
    <t>10.1029/2018GL079109</t>
  </si>
  <si>
    <t>WOS:000442582100046</t>
  </si>
  <si>
    <t>Colleoni, F; De Santis, L; Montoli, E; Olivo, E; Sorlien, CC; Bart, PJ; Gasson, EGW; Bergamasco, A; Sauli, C; Wardell, N; Prato, S</t>
  </si>
  <si>
    <t>Colleoni, Florence; De Santis, Laura; Montoli, Enea; Olivo, Elisabetta; Sorlien, Christopher C.; Bart, Philip J.; Gasson, Edward G. W.; Bergamasco, Andrea; Sauli, Chiara; Wardell, Nigel; Prato, Stefano</t>
  </si>
  <si>
    <t>Past continental shelf evolution increased Antarctic ice sheet sensitivity to climatic conditions</t>
  </si>
  <si>
    <t>LAST GLACIAL MAXIMUM; ROSS SEA; PRYDZ BAY; HISTORY; MODEL; SURFACE; BASIN; FLOW</t>
  </si>
  <si>
    <t>Over the past 34 Million years, the Antarctic continental shelf has gradually deepened due to ice sheet loading, thermal subsidence, and erosion from repeated glaciations. The deepening that is recorded in the sedimentary deposits around the Antarctic margin indicates that after the mid-Miocene Climate Optimum (approximate to 15 Ma), Antarctic Ice Sheet (AIS) dynamical response to climate conditions changed. We explore end-members for maximum AIS extent, based on ice-sheet simulations of a late-Pleistocene and a mid-Miocene glaciation. Fundamental dynamical differences emerge as a consequence of atmospheric forcing, eustatic sea level and continental shelf evolution. We show that the AIS contributed to the amplification of its own sensitivity to ocean forcing by gradually expanding and eroding the continental shelf, that probably changed its tipping points through time. The lack of past topographic and bathymetric reconstructions implies that so far, we still have an incomplete understanding of AIS fast response to past warm climate conditions, which is crucial to constrain its future evolution.</t>
  </si>
  <si>
    <t>[Colleoni, Florence; Montoli, Enea] Fdn Ctr Euro Mediterraneo Cambiamenti Climat, I-40128 Bologna, Italy; [Colleoni, Florence; De Santis, Laura; Olivo, Elisabetta; Sauli, Chiara; Wardell, Nigel] Ist Nazl Oceanog Sperimentale, I-34010 Sgonico, Italy; [Olivo, Elisabetta] Univ Siena, Dipartimento Sci Fis Terra &amp; Ambiente, I-53100 Siena, Italy; [Sorlien, Christopher C.] Univ Calif Santa Barbara, Earth Res Inst, Santa Barbara, CA 93106 USA; [Bart, Philip J.] Louisiana State Univ, Dept Geol &amp; Geophys, Baton Rouge, LA 70803 USA; [Gasson, Edward G. W.] Univ Sheffield, Dept Geog, Sheffield S10 2TN, S Yorkshire, England; [Bergamasco, Andrea] CNR ISMAR, Arsenale Tesa 104,Castello 2737-F, I-30122 Venice, Italy; [Prato, Stefano] APE Res Srl, Area Sci Pk,Basovizza Campus, I-34149 Trieste, Italy</t>
  </si>
  <si>
    <t>Istituto Nazionale di Oceanografia e di Geofisica Sperimentale; University of Siena; University of California System; University of California Santa Barbara; Louisiana State University System; Louisiana State University; University of Sheffield; Consiglio Nazionale delle Ricerche (CNR); Istituto di Scienze Marine (ISMAR-CNR)</t>
  </si>
  <si>
    <t>Colleoni, F (corresponding author), Fdn Ctr Euro Mediterraneo Cambiamenti Climat, I-40128 Bologna, Italy.;Colleoni, F (corresponding author), Ist Nazl Oceanog Sperimentale, I-34010 Sgonico, Italy.</t>
  </si>
  <si>
    <t>flocolleoni@gmail.com</t>
  </si>
  <si>
    <t>Colleoni, Florence/JMQ-7847-2023</t>
  </si>
  <si>
    <t>Colleoni, Florence/0000-0003-4582-812X; De Santis, Laura/0000-0002-7752-7754; Gasson, Edward/0000-0003-4653-6217; Sauli, Chiara/0000-0002-0726-9702; Bergamasco, Alessandro/0000-0003-3138-8418</t>
  </si>
  <si>
    <t>PNRA national Italian project [PNRA16_00016]; MAE bilateral Italy-US project [US16GR04]</t>
  </si>
  <si>
    <t>PNRA national Italian project; MAE bilateral Italy-US project</t>
  </si>
  <si>
    <t>This work is supported by the PNRA national Italian project PNRA16_00016, West Antarctic Ice Sheet History from Slope Processes - Eastern Ross Sea (WHISPERS) and by the MAE bilateral Italy-US project US16GR04, Global Sea Level Rise &amp; Antarctic Ice Sheet Stability predictions: guessing future by learning from past(GSLAISS). We acknowledge the CMCC Foundation for providing computing resources. This research is a contribution to the SCAR PAIS program (https://www.scar.org/science/pais/).</t>
  </si>
  <si>
    <t>JUL 27</t>
  </si>
  <si>
    <t>10.1038/s41598-018-29718-7</t>
  </si>
  <si>
    <t>GO4HC</t>
  </si>
  <si>
    <t>WOS:000439965200016</t>
  </si>
  <si>
    <t>Yan, Q; Zhang, ZS; Zhang, R</t>
  </si>
  <si>
    <t>Yan, Qing; Zhang, Zhongshi; Zhang, Ran</t>
  </si>
  <si>
    <t>Investigating Sensitivity of East Asian Monsoon to Orbital Forcing During the Late Pliocene Warm Period</t>
  </si>
  <si>
    <t>ANTARCTIC ICE-SHEET; SOUTH CHINA SEA; MODEL INTERCOMPARISON PROJECT; MID-PLIOCENE; SUMMER MONSOON; CLIMATE VARIABILITY; EARLY PLEISTOCENE; PMIP SIMULATIONS; WINTER MONSOON; NORTHERN CHINA</t>
  </si>
  <si>
    <t>The Late Pliocene climate (3.264-3.025 Ma) is thought to be relatively warm and stable compared with the Pleistocene, but with clear orbital-scale climate variability. Using the Community Earth System Model, we investigate the sensitivity of East Asian monsoon to realistic orbital forcing during the Late Pliocene. Initial evaluation shows that the Community Earth System Model broadly captures modern East Asian monsoon climatology and reproduces the reconstructed stronger (weaker) East Asian summer (winter) monsoon in the Late Pliocene under the PRISM3D (Pliocene Research, Interpretation and Synoptic Mapping) boundary conditions that use present-day orbital configurations. Sensitivity experiments indicate that summer and winter temperatures averaged over the East Asia continent remain higher for different orbital configurations in the Late Pliocene than the preindustrial, but with different warming magnitude. Variation of East Asian summer monsoon is significantly modulated by orbital forcing in the Late Pliocene. Under several extreme orbital configurations, the summer monsoon becomes weaker relative to the preindustrial. This is attributed to the fact that the orbitally induced decrease in land-sea thermal contrast exceeds the increase arising from the PRISM3D boundary conditions. East Asian winter monsoon exhibits a relatively stable feature and remains weaker in the Late Pliocene even with extreme orbital forcing, as the effect of PRISM3D boundary conditions that lead to reduced land-sea thermal contrast overwhelms the influence of orbital forcing. Given limitations of snapshot time slab simulation and different model sensitivity, the orbital-scale variability of East Asian monsoon in the Late Pliocene should be further explored using transient simulation and with other coupled models.</t>
  </si>
  <si>
    <t>[Yan, Qing] Chinese Acad Sci, Nansen Zhu int Res Ctr, Inst Atmospher Phys, Beijing, Peoples R China; [Yan, Qing] Nanjing Univ Informat Sci &amp; Technol, Collaborat Innovat Ctr Forecast &amp; Evaluat Meteoro, Key Lab Meteorol Disaster, Nanjing, Jiangsu, Peoples R China; [Zhang, Zhongshi] China Univ Geosci, Sch Environm Studies, Dept Atmospher Sci, Wuhan, Hubei, Peoples R China; [Zhang, Zhongshi] Bjerknes Ctr Climate Res, Uni Res Climate, Bergen, Norway; [Zhang, Ran] Chinese Acad Sci, Climate Change Res Ctr, Beijing, Peoples R China</t>
  </si>
  <si>
    <t>Chinese Academy of Sciences; Institute of Atmospheric Physics, CAS; Nanjing University of Information Science &amp; Technology; China University of Geosciences; Bjerknes Centre for Climate Research; Chinese Academy of Sciences</t>
  </si>
  <si>
    <t>Yan, Q (corresponding author), Chinese Acad Sci, Nansen Zhu int Res Ctr, Inst Atmospher Phys, Beijing, Peoples R China.;Yan, Q (corresponding author), Nanjing Univ Informat Sci &amp; Technol, Collaborat Innovat Ctr Forecast &amp; Evaluat Meteoro, Key Lab Meteorol Disaster, Nanjing, Jiangsu, Peoples R China.</t>
  </si>
  <si>
    <t>yanqing@mail.iap.ac.cn</t>
  </si>
  <si>
    <t>Zhang, zs/GXN-3521-2022; zhang, zhi/HPH-4905-2023; Zhang, Ran/GZG-8709-2022; Zhang, Zhongshi/ADE-5510-2022; Zhang, Ran/HTT-1545-2023; Yan, Qing/K-4625-2019</t>
  </si>
  <si>
    <t>Zhang, Zhongshi/0000-0002-2354-1622; Yan, Qing/0000-0001-5299-7824</t>
  </si>
  <si>
    <t>National Key Research and Development Program of China [2016YFA0602704]; National Natural Science Foundation of China [41772179, 41472160]; Thousand Talents Program for Distinguished Young Scholars; Young Elite Scientists Sponsorship Program by CAST [2017QNRC001]</t>
  </si>
  <si>
    <t>National Key Research and Development Program of China; National Natural Science Foundation of China(National Natural Science Foundation of China (NSFC)); Thousand Talents Program for Distinguished Young Scholars; Young Elite Scientists Sponsorship Program by CAST</t>
  </si>
  <si>
    <t>We thank Guangshan Chen for providing the code of calendar effect correction and the help of Yue Wang. We thank the four anonymous reviewers for the helpful comments on an earlier draft of this manuscript. The La04 astronomical solutions for Earth paleoclimates are available at http://vo.imcce.fr/insola/earth/online/earth/earth.html. The PRISM3D data set is downloaded at http://geology.er.usgs.gov/egpsc/prism/prism_1_23/prism_pliomip_data.html. The CESM outputs used in this paper are available at https://doi.org/10.5281/zenodo.1288338 (please contact Q. Y. for other data requests). This study was jointly funded by the National Key Research and Development Program of China (2016YFA0602704), the National Natural Science Foundation of China (41772179 and 41472160), Thousand Talents Program for Distinguished Young Scholars (for Z. S. Zhang), and the Young Elite Scientists Sponsorship Program by CAST (2017QNRC001).</t>
  </si>
  <si>
    <t>10.1029/2017JD027646</t>
  </si>
  <si>
    <t>GQ7YM</t>
  </si>
  <si>
    <t>WOS:000441965400008</t>
  </si>
  <si>
    <t>Irvine, PJ; Keith, DW; Moore, J</t>
  </si>
  <si>
    <t>Irvine, Peter J.; Keith, David W.; Moore, John</t>
  </si>
  <si>
    <t>Brief communication: Understanding solar geoengineering's potential to limit sea level rise requires attention from cryosphere experts</t>
  </si>
  <si>
    <t>ANTARCTIC ICE-SHEET; SURFACE MASS-BALANCE; PINE ISLAND; CLIMATE; MODEL; GREENLAND; RETREAT; DRIVEN; RADIATION; JUDGMENT</t>
  </si>
  <si>
    <t>Stratospheric aerosol geoengineering, a form of solar geoengineering, is a proposal to add a reflective layer of aerosol to the stratosphere to reduce net radiative forcing and so to reduce the risks of climate change. The efficacy of solar geoengineering at reducing changes to the cryosphere is uncertain; solar geoengineering could reduce temperatures and so slow melt, but its ability to reverse ice sheet collapse once initiated may be limited. Here we review the literature on solar geoengineering and the cryosphere and identify the key uncertainties that research could address. Solar geoengineering may be more effective at reducing surface melt than a reduction in greenhouse forcing that produces the same global-average temperature response. Studies of natural analogues and model simulations support this conclusion. However, changes below the surfaces of the ocean and ice sheets may strongly limit the potential of solar geoengineering to reduce the retreat of marine glaciers. High-quality process model studies may illuminate these issues. Solar geoengineering is a contentious emerging issue in climate policy and it is critical that the potential, limits, and risks of these proposals are made clear for policy makers.</t>
  </si>
  <si>
    <t>[Irvine, Peter J.; Keith, David W.] Harvard John A Paulson Sch Engn &amp; Appl Sci, Cambridge, MA 02138 USA; [Moore, John] Beijing Normal Univ, Coll Global Change &amp; Earth Syst Sci, Joint Ctr Global Change Studies, Beijing 100875, Peoples R China; [Moore, John] Univ Lapland, Arctic Ctr, Rovaniemi 96101, Finland</t>
  </si>
  <si>
    <t>Beijing Normal University; University of Lapland</t>
  </si>
  <si>
    <t>Irvine, PJ (corresponding author), Harvard John A Paulson Sch Engn &amp; Appl Sci, Cambridge, MA 02138 USA.</t>
  </si>
  <si>
    <t>peter_irvine@fas.harvard.edu</t>
  </si>
  <si>
    <t>Moore, John C/B-2868-2013; Keith, David W/E-9777-2010; irvine, peter/E-4799-2012</t>
  </si>
  <si>
    <t>Moore, John C/0000-0001-8271-5787; irvine, peter/0000-0002-5469-1543</t>
  </si>
  <si>
    <t>10.5194/tc-12-2501-2018</t>
  </si>
  <si>
    <t>GO5GR</t>
  </si>
  <si>
    <t>WOS:000440047500001</t>
  </si>
  <si>
    <t>Clery, D</t>
  </si>
  <si>
    <t>Clery, Daniel</t>
  </si>
  <si>
    <t>Lake spied deep below polar ice cap on Mars Orbiting radar instrument finds martian analog to pools under Antarctic glaciers</t>
  </si>
  <si>
    <t>SCIENCE</t>
  </si>
  <si>
    <t>Clery, Daniel/0000-0002-8742-3596</t>
  </si>
  <si>
    <t>0036-8075</t>
  </si>
  <si>
    <t>1095-9203</t>
  </si>
  <si>
    <t>Science</t>
  </si>
  <si>
    <t>10.1126/science.361.6400.320</t>
  </si>
  <si>
    <t>GO3UX</t>
  </si>
  <si>
    <t>WOS:000439923700015</t>
  </si>
  <si>
    <t>Exploring the pathology of an epidermal disease affecting a circum-Antarctic sea star</t>
  </si>
  <si>
    <t>DECEPTION ISLAND; MICROBIAL COMMUNITY; DIADEMA-ANTILLARUM; MASS MORTALITY; SOUTHERN-OCEAN; CLIMATE-CHANGE; BAND DISEASE; MARINE FUNGI; ECOLOGY; ECHINODERMATA</t>
  </si>
  <si>
    <t>Over the past decade, unusual mortality outbreaks have decimated echinoderm populations over broad geographic regions, raising awareness globally of the importance of investigating such events. Echinoderms are key components of marine benthos for top-down and bottom-up regulations of plants and animals; population declines of these individuals can have significant ecosystem-wide effects. Here we describe the first case study of an outbreak affecting Antarctic echinoderms and consisting of an ulcerative epidermal disease affecting similar to 10% of the population of the keystone asteroid predator Odontaster validus at Deception Island, Antarctica. This event was first detected in the Austral summer 2012-2013, coinciding with unprecedented high seawater temperatures and increased seismicity. Histological analyses revealed epidermal ulceration, inflammation, and necrosis in diseased animals. Bacterial and fungal alpha diversity was consistently lower and of different composition in lesioned versus unaffected tissues (32.87% and 16.94% shared bacterial and fungal operational taxonomic units OTUs respectively). The microbiome of healthy stars was more consistent across individuals than in diseased specimens suggesting microbial dysbiosis, especially in the lesion fronts. Because these microbes were not associated with tissue damage at the microscopic level, their contribution to the development of epidermal lesions remains unclear. Our study reveals that disease events are reaching echinoderms as far as the polar regions thereby highlighting the need to develop a greater understanding of the microbiology and physiology of marine diseases and ecosystems health, especially in the era of global warming.</t>
  </si>
  <si>
    <t>[Nunez-Pons, Laura] Stn Zool Anton Dohrn SZN, Sect Biol &amp; Evolut Marine Organisms BEOM, I-80121 Naples, Italy; [Nunez-Pons, Laura] Ancon, STRI, Tupper Naos Bocas Toro Labs, Panama City 084303092, Panama; [Work, Thierry M.] US Geol Survey, Natl Wildlife Hlth Ctr, Honolulu Field Stn, Honolulu, HI 96850 USA; [Angulo-Preckler, Carlos; Avila, Conxita] Univ Barcelona, Fac Biol, Dept Evolutionary Biol Ecol &amp; Environm Sci, Ave Diagonal 643, E-08028 Barcelona, Catalonia, Spain; [Angulo-Preckler, Carlos; Avila, Conxita] Univ Barcelona, Fac Biol, Biodivers Res Inst IrBIO, Ave Diagonal 643, E-08028 Barcelona, Catalonia, Spain; [Moles, Juan] Harvard Univ, Museum Comparat Zool, 26 Oxford St, Cambridge, MA 02138 USA; [Moles, Juan] Harvard Univ, Dept Organism &amp; Evolutionary Biol, 26 Oxford St, Cambridge, MA 02138 USA</t>
  </si>
  <si>
    <t>Núñez-Pons, L (corresponding author), Stn Zool Anton Dohrn SZN, Sect Biol &amp; Evolut Marine Organisms BEOM, I-80121 Naples, Italy.;Núñez-Pons, L (corresponding author), Ancon, STRI, Tupper Naos Bocas Toro Labs, Panama City 084303092, Panama.</t>
  </si>
  <si>
    <t>Spanish government through the ACTIQUIM and DISTANTCOM Projects [CGL2004-03356/ANT, CGL2007-65453/ANT, CTM2010-17415/ANT, CTM2013-42667/ANT]; Fundacion Ramon Areces; Beatriu de Pinos Marie Curie CO-Fund Program (Catalonia)</t>
  </si>
  <si>
    <t>Spanish government through the ACTIQUIM and DISTANTCOM Projects; Fundacion Ramon Areces; Beatriu de Pinos Marie Curie CO-Fund Program (Catalonia)</t>
  </si>
  <si>
    <t>We are grateful to the Unidad de Tecnologia Marina (UTM-CSIC), the BIO-Hesperides crew, and the Gabriel de Castilla Spanish Antarctic Base for providing logistic support during the Antarctic cruises. We greatly appreciate R. Rameyer (US NWHC) and A. Riesgo (NHM, London) support in the laboratory, and A. Eggers from the sequencing CORE Lab (HIMB - University of Hawai'i). Two anonymous reviewers are also acknowledged for their constructive suggestions. Amend Lab - UH and Gates Lab - HIMB provided infrastructure and supplies to perform the molecular analyses. Local, national and international regulations and conventions, and scientific ethical practices, have been respected. Project funding was obtained from the Spanish government through the ACTIQUIM and DISTANTCOM Projects (CGL2004-03356/ANT, CGL2007-65453/ANT, and CTM2010-17415/ANT; CTM2013-42667/ANT). L.N.-P. was supported by a postdoctoral fellowship from the Fundacion Ramon Areces and Beatriu de Pinos Marie Curie CO-Fund Program (Catalonia). Mention of products or trade names does not imply endorsement by the US Government.</t>
  </si>
  <si>
    <t>10.1038/s41598-018-29684-0</t>
  </si>
  <si>
    <t>GO4HG</t>
  </si>
  <si>
    <t>WOS:000439965800007</t>
  </si>
  <si>
    <t>Christie, FDW; Bingham, RG; Gourmelen, N; Steig, EJ; Bisset, RR; Pritchard, HD; Snow, K; Tett, SFB</t>
  </si>
  <si>
    <t>Christie, Frazer D. W.; Bingham, Robert G.; Gourmelen, Noel; Steig, Eric J.; Bisset, Rosie R.; Pritchard, Hamish D.; Snow, Kate; Tett, Simon F. B.</t>
  </si>
  <si>
    <t>Glacier change along West Antarctica's Marie Byrd Land Sector and links to inter-decadal atmosphere-ocean variability</t>
  </si>
  <si>
    <t>AMUNDSEN SEA EMBAYMENT; CIRCUMPOLAR DEEP-WATER; SURFACE MASS-BALANCE; ROSS ICE SHELF; PINE ISLAND; BELLINGSHAUSEN SEA; GROUNDING ZONE; SOUTHERN-OCEAN; THWAITES GLACIER; KOHLER GLACIERS</t>
  </si>
  <si>
    <t>Over the past 20 years satellite remote sensing has captured significant downwasting of glaciers that drain the West Antarctic Ice Sheet into the ocean, particularly across the Amundsen Sea Sector. Along the neighbouring Marie Byrd Land Sector, situated west of Thwaites Glacier to Ross Ice Shelf, glaciological change has been only sparsely monitored. Here, we use optical satellite imagery to track grounding-line migration along the Marie Byrd Land Sector between 2003 and 2015, and compare observed changes with ICESat and CryoSat-2-derived surface elevation and thickness change records. During the observational period, 33% of the grounding line underwent retreat, with no significant advance recorded over the remainder of the similar to 2200 km long coastline. The greatest retreat rates were observed along the 650 km-long Getz Ice Shelf, further west of which only minor retreat occurred. The relative glaciological stability west of Getz Ice Shelf can be attributed to a divergence of the Antarctic Circumpolar Current from the continental-shelf break at 135 degrees W, coincident with a transition in the morphology of the continental shelf. Along Getz Ice Shelf, grounding-line retreat reduced by 68% during the CryoSat-2 era relative to earlier observations. Climate reanalysis data imply that wind-driven upwelling of Circumpolar Deep Water would have been reduced during this later period, suggesting that the observed slowdown was a response to reduced oceanic forcing. However, lack of comprehensive oceanographic and bathymetric information proximal to Getz Ice Shelf's grounding zone make it difficult to assess the role of intrinsic glacier dynamics, or more complex ice-sheet-ocean interactions, in moderating this slowdown. Collectively, our findings underscore the importance of spatial and inter-decadal variability in atmosphere and ocean interactions in moderating glaciological change around Antarctica.</t>
  </si>
  <si>
    <t>[Christie, Frazer D. W.; Bingham, Robert G.; Gourmelen, Noel; Bisset, Rosie R.; Snow, Kate; Tett, Simon F. B.] Univ Edinburgh, Sch GeoSci, Edinburgh EH8 9XP, Midlothian, Scotland; [Steig, Eric J.] Univ Washington, Dept Earth &amp; Space Sci, Seattle, WA 98195 USA; [Pritchard, Hamish D.] British Antarctic Survey, NERC, Cambridge CB3 0ET, England</t>
  </si>
  <si>
    <t>University of Edinburgh; University of Washington; University of Washington Seattle; UK Research &amp; Innovation (UKRI); Natural Environment Research Council (NERC); NERC British Antarctic Survey</t>
  </si>
  <si>
    <t>Bingham, RG (corresponding author), Univ Edinburgh, Sch GeoSci, Edinburgh EH8 9XP, Midlothian, Scotland.</t>
  </si>
  <si>
    <t>r.bingham@ed.ac.uk</t>
  </si>
  <si>
    <t>Pritchard, Hamish Daniel/AAU-4696-2021; Steig, Eric J/G-9088-2015; Tett, Simon F. B./B-1504-2013; Bingham, Robert G/G-3576-2017; Christie, Frazer/AAI-2435-2021</t>
  </si>
  <si>
    <t>Tett, Simon F. B./0000-0001-7526-560X; Christie, Frazer/0000-0002-7378-4243; Bisset, Rosie/0000-0001-8708-3352</t>
  </si>
  <si>
    <t>Carnegie Trust; Natural Environment Research Council Doctoral Training Partnership [NE/L002558/1]; Scottish Alliance for Geoscience, Environment and Society (SAGES) Graduate School; Trans-Antarctic Association Small Grant [TAA17-01]; SAGES Post-doctoral Early Career Research Exchange (PECRE) award; European Space Agency [CryoTop 4000107394/12/I-NB, CryoTop evolution 4000116874/16/I-NB]; NERC [NE/J005665/2, bas0100034, NE/R016038/1, NE/S006613/1] Funding Source: UKRI</t>
  </si>
  <si>
    <t>Carnegie Trust(Ministry of Education, Culture, Sports, Science and Technology, Japan (MEXT)Japan Society for the Promotion of Science); Natural Environment Research Council Doctoral Training Partnership; Scottish Alliance for Geoscience, Environment and Society (SAGES) Graduate School; Trans-Antarctic Association Small Grant; SAGES Post-doctoral Early Career Research Exchange (PECRE) award; European Space Agency(European Space Agency); NERC(UK Research &amp; Innovation (UKRI)Natural Environment Research Council (NERC))</t>
  </si>
  <si>
    <t>Frazer Christie was funded by a Carnegie Trust for the Universities of Scotland Carnegie PhD Scholarship with Robert Bingham, hosted in the Edinburgh E3 U.K. Natural Environment Research Council Doctoral Training Partnership (NE/L002558/1) and the Scottish Alliance for Geoscience, Environment and Society (SAGES) Graduate School. Frazer Christie was also funded through the support of a Trans-Antarctic Association Small Grant (TAA17-01) and a SAGES Post-doctoral Early Career Research Exchange (PECRE) award which he used to visit Eric Steig at the University of Washington's Department of Earth and Space Sciences. Noel Gourmelen was funded under the European Space Agency's Support To Science Element CryoTop 4000107394/12/I-NB and CryoTop evolution 4000116874/16/I-NB studies. The authors also wish to thank Fernando Paolo and Helen Fricker for kindly sharing the ERS-1/2 and ENVISAT altimetry data used to generate Fig. 3a; Jan Lenaerts, Stefan Ligtenberg and Willem Jan van de Berg for sharing their RACMO2 and IMAU-FDM models used in the CryoSat-2 Delta h/Delta t processing chain, and Joshua Williams and Stijn Pinson for their assistance in deriving Landsat 8 velocity fields over the MBLS. The authors also thank the editor and three anonymous reviewers for their insightful comments which improved the manuscript.</t>
  </si>
  <si>
    <t>JUL 26</t>
  </si>
  <si>
    <t>10.5194/tc-12-2461-2018</t>
  </si>
  <si>
    <t>GO4LP</t>
  </si>
  <si>
    <t>Green Submitted, Green Accepted, gold</t>
  </si>
  <si>
    <t>WOS:000439980800001</t>
  </si>
  <si>
    <t>Burr, A; Ballot, C; Lhuissier, P; Martinerie, P; Martin, CL; Philip, A</t>
  </si>
  <si>
    <t>Burr, Alexis; Ballot, Clement; Lhuissier, Pierre; Martinerie, Patricia; Martin, Christophe L.; Philip, Armelle</t>
  </si>
  <si>
    <t>Pore morphology of polar firn around closure revealed by X-ray tomography</t>
  </si>
  <si>
    <t>VOSTOK ICE CORE; ANTARCTIC ICE; AIR-CONTENT; CHRONOLOGY AICC2012; GAS-TRANSPORT; MODEL; SNOW; EVOLUTION; DENSIFICATION; CONSTRAINTS</t>
  </si>
  <si>
    <t>Understanding the slow densification process of polar firn into ice is essential in order to constrain the age difference between the ice matrix and entrapped gases. The progressive microstructure evolution of the firn column with depth leads to pore closure and gas entrapment. Air transport models in the firn usually include a closed porosity profile based on available data. Pycnometry or melting-refreezing techniques have been used to obtain the ratio of closed to total porosity and air content in closed pores, respectively. X-ray-computed tomography is complementary to these methods, as it enables one to obtain the full pore network in 3-D. This study takes advantage of this nondestructive technique to discuss the morphological evolution of pores on four different Antarctic sites. The computation of refined geometrical parameters for the very cold polar sites Dome C and Lock In (the two Antarctic plateau sites studied here) provides new information that could be used in further studies. The comparison of these two sites shows a more tortuous pore network at Lock In than at Dome C, which should result in older gas ages in deep firn at Lock In. A comprehensive estimation of the different errors related to X-ray tomography and to the sample variability has been performed. The procedure described here may be used as a guideline for further experimental characterization of firn samples. We show that the closed-to-total porosity ratio, which is classically used for the detection of pore closure, is strongly affected by the sample size, the image reconstruction, and spatial heterogeneities. In this work, we introduce an alternative parameter, the connectivity index, which is practically independent of sample size and image acquisition conditions, and that accurately predicts the close-off depth and density. Its strength also lies in its simple computation, without any assumption of the pore status (open or close). The close-off prediction is obtained for Dome C and Lock In, without any further numerical simulations on images (e.g., by permeability or diffusivity calculations).</t>
  </si>
  <si>
    <t>[Burr, Alexis; Ballot, Clement; Martinerie, Patricia; Philip, Armelle] Univ Grenoble Alpes, Grenoble INP, CNRS, IRD,IGE, F-38000 Grenoble, France; [Burr, Alexis; Ballot, Clement; Lhuissier, Pierre; Martin, Christophe L.] Univ Grenoble Alpes, Grenoble INP, CNRS, SIMaP, F-38000 Grenoble, France</t>
  </si>
  <si>
    <t>Communaute Universite Grenoble Alpes; Institut National Polytechnique de Grenoble; Institut de Recherche pour le Developpement (IRD); Centre National de la Recherche Scientifique (CNRS); Universite Grenoble Alpes (UGA); Communaute Universite Grenoble Alpes; Institut National Polytechnique de Grenoble; Universite Grenoble Alpes (UGA); Centre National de la Recherche Scientifique (CNRS)</t>
  </si>
  <si>
    <t>Philip, A (corresponding author), Univ Grenoble Alpes, Grenoble INP, CNRS, IRD,IGE, F-38000 Grenoble, France.</t>
  </si>
  <si>
    <t>armelle.philip@univ-grenoble-alpes.fr</t>
  </si>
  <si>
    <t>Martinerie, Patricia/N-5731-2017</t>
  </si>
  <si>
    <t>Martinerie, Patricia/0000-0002-6820-2296; Burr, Alexis/0000-0003-1240-4873; Lhuissier, Pierre/0000-0001-5100-9716; Martin, Christophe/0000-0002-9718-826X</t>
  </si>
  <si>
    <t>Agence Nationale de la Recherche (ANR) [NT09-431976-VOLSOL]; IPEV program [1153]; CNRS INSU/LEFE program NEVE-CLIMAT; French ANR programs RPD COCLICO [ANR-10-RPDOC-002-01]; Institute Polaire Paul-Emile Victor (IPEV) [902]; Labex OSUG@2020; CEMAM</t>
  </si>
  <si>
    <t>Agence Nationale de la Recherche (ANR)(Agence Nationale de la Recherche (ANR)); IPEV program; CNRS INSU/LEFE program NEVE-CLIMAT; French ANR programs RPD COCLICO(Agence Nationale de la Recherche (ANR)); Institute Polaire Paul-Emile Victor (IPEV); Labex OSUG@2020; CEMAM</t>
  </si>
  <si>
    <t>We warmly thank Xavier Fain for his help in cutting slices of the Lock In ice core. Edward Ando from the 3SR laboratory and Mathieu Bourcier are thanked for providing help during scans. Christophe Frau is thanked for machining the cold cell and Gregory Teste for providing an air dryer. We are grateful to Amaelle Landais and Anais Orsi for providing the delta15N-related lock-in depths for Dome C and Lock In. We also thank the field personnel at Dome Concordia who retrieved the ice cores for the VOLSOL project: Joel Savarino, Philippe Possenti, and those who wintered the Concordia station. Field personnel at the Lock In site are also thanked (Jerome Chappellaz, David Colin, Philippe Dordhain, Philippe Possenti). Agence Nationale de la Recherche (ANR) via contract NT09-431976-VOLSOL is acknowledged for the financial support for acquiring the ice core sections at Dome Concordia. This work relies on the lock-in ice core drilling and scientific program funded by IPEV program No1153 and CNRS INSU/LEFE program NEVE-CLIMAT. Philippe Possenti is also thanked for performing the DC12 drilling. Financial support for DC12 comes from the French ANR programs RPD COCLICO (ANR-10-RPDOC-002-01). The Institute Polaire Paul-Emile Victor (IPEV) supported the research and polar logistics through the program GLACIOLOGIE no. 902. Labex OSUG@2020 and CEMAM are thanked for financial support for the microcomputed tomograph. Finally, we thank Ian Baker and Johannes Freitag for their helpful review of this paper.</t>
  </si>
  <si>
    <t>10.5194/tc-12-2481-2018</t>
  </si>
  <si>
    <t>WOS:000439980800002</t>
  </si>
  <si>
    <t>Woodworth, PL; Hibbert, A</t>
  </si>
  <si>
    <t>Woodworth, Philip L.; Hibbert, Angela</t>
  </si>
  <si>
    <t>The nodal dependence of long-period ocean tides in the Drake Passage</t>
  </si>
  <si>
    <t>DEEP-OCEAN; BOTTOM PRESSURE; GLOBAL OCEAN; TIME-SERIES; SEA LEVELS; EQUILIBRIUM; CIRCULATION; MODULATION; MAINE; MODEL</t>
  </si>
  <si>
    <t>Almost three decades of bottom pressure recorder (BPR) measurements at the Drake Passage, and 31 years of hourly tide gauge data from the Vernadsky Research Base on the Antarctic Peninsula, have been used to investigate the temporal and spatial variations in this region of the three main long-period tides Mf, Mm and Mt (in order of decreasing amplitude, with periods of a fortnight, a month and one-third of a month, respectively). The amplitudes of Mf and Mt, and the phase lags for all three constituents, vary over the nodal cycle (18.61 years) in essentially the same way as in the equilibrium tide, so confirming the validity of Doodson's nodal factors for these constituents. The amplitude of Mm is found to be essentially constant, and so inconsistent at the 3 sigma level from the +/- 13% (or similar to +/- 0.15 mbar) anticipated variation over the nodal cycle, which can probably be explained by energetic non-tidal variability in the records at monthly timescales and longer. The north-south differences in amplitude for all three constituents are consistent with those in a modern ocean tide model (FES2014), as are those in phase lag for Mf and Mt, while the phase difference for Mm is smaller than in the model. BPR measurements are shown to be considerably superior to coastal tide gauge data in such studies, due to the larger proportion of non-tidal variability in the latter. However, correction of the tide gauge records for non-tidal variability results in the uncertainties in nodal parameters being reduced by a factor of 2 (for Mf at least) to a magnitude comparable (approximately twice) to those obtained from the BPR data.</t>
  </si>
  <si>
    <t>[Woodworth, Philip L.; Hibbert, Angela] Natl Oceanog Ctr, Joseph Proudman Bldg,6 Brownlow St, Liverpool L3 5DA, Merseyside, England</t>
  </si>
  <si>
    <t>Woodworth, PL (corresponding author), Natl Oceanog Ctr, Joseph Proudman Bldg,6 Brownlow St, Liverpool L3 5DA, Merseyside, England.</t>
  </si>
  <si>
    <t>plw@noc.ac.uk</t>
  </si>
  <si>
    <t>Woodworth, Philip/0000-0002-6681-239X</t>
  </si>
  <si>
    <t>NERC Weighing the Ocean project [NEW344022]; UK Natural Environment Research Council National Capability funding</t>
  </si>
  <si>
    <t>NERC Weighing the Ocean project; UK Natural Environment Research Council National Capability funding(UK Research &amp; Innovation (UKRI)Natural Environment Research Council (NERC))</t>
  </si>
  <si>
    <t>The programme of the Drake Passage bottom pressure measurements was led by scientists from the National Oceanography Centre including Ian Vassie, Mike Meredith, Chris Hughes and Miguel Angel Morales Maqueda. The bottom pressure recorders were designed, constructed and deployed by Bob Spencer, Peter Foden, Jeff Pugh, Steve Mack, Geoff Hargreaves and others. The help of the British Antarctic Survey with the deployments is much appreciated. Data sets were processed by David Blackman, Philip Axe and Angela Hibbert, and may be obtained from the websites mentioned in Sect. 2 or from the authors of this paper. The NERC Weighing the Ocean project (grant no. NEW344022) was led by Mark Tamisiea and Chris Hughes. Loren Carrere is thanked for advice on the FES2014 ocean tide model which is distributed by AVISO (https://www.aviso.altimetry.fr/, last access: 1 June 2018). The DAC data sets may also be obtained from AVISO. NEMO ocean model data and advice on this study were provided by Chris Hughes. We are grateful to Richard Ray and Simon Williams for comments on aspects of this work, and to Xiangbo Feng and a second reviewer for their detailed remarks. Part of this work was funded by UK Natural Environment Research Council National Capability funding. Some figures were generated using the Generic Mapping Tools (Wessel and Smith, 1998).</t>
  </si>
  <si>
    <t>10.5194/os-14-711-2018</t>
  </si>
  <si>
    <t>GO4LK</t>
  </si>
  <si>
    <t>WOS:000439980300001</t>
  </si>
  <si>
    <t>Yokoyama, Y; Esat, TM; Thompson, WG; Thomas, AL; Webster, JM; Miyairi, Y; Sawada, C; Aze, T; Matsuzaki, H; Okuno, J; Fallon, S; Braga, JC; Humblet, M; Iryu, Y; Potts, DC; Fujita, K; Suzuki, A; Kan, H</t>
  </si>
  <si>
    <t>Yokoyama, Yusuke; Esat, Tezer M.; Thompson, William G.; Thomas, Alexander L.; Webster, Jody M.; Miyairi, Yosuke; Sawada, Chikako; Aze, Takahiro; Matsuzaki, Hiroyuki; Okuno, Jun'ichi; Fallon, Stewart; Braga, Juan-Carlos; Humblet, Marc; Iryu, Yasufumi; Potts, Donald C.; Fujita, Kazuhiko; Suzuki, Atsushi; Kan, Hironobu</t>
  </si>
  <si>
    <t>Rapid glaciation and a two-step sea level plunge into the Last Glacial Maximum</t>
  </si>
  <si>
    <t>GREAT-BARRIER-REEF; ANTARCTIC ICE-SHEET; ENVIRONMENTAL-CHANGES; YOUNGER DRYAS; MASS-SPECTROMETRY; MANTLE VISCOSITY; LATE PLEISTOCENE; LATE QUATERNARY; CLIMATE-CHANGE; SHELF</t>
  </si>
  <si>
    <t>The approximately 10,000-year-long Last Glacial Maximum, before the termination of the last ice age, was the coldest period in Earth's recent climate history(1). Relative to the Holocene epoch, atmospheric carbon dioxide was about 100 parts per million lower and tropical sea surface temperatures were about 3 to 5 degrees Celsius lower(2,3). The Last Glacial Maximum began when global mean sea level (GMSL) abruptly dropped by about 40 metres around 31,000 years ago(4) and was followed by about 10,000 years of rapid deglaciation into the Holocene(1). The masses of the melting polar ice sheets and the change in ocean volume, and hence in GMSL, are primary constraints for climate models constructed to describe the transition between the Last Glacial Maximum and the Holocene, and future changes; but the rate, timing and magnitude of this transition remain uncertain. Here we show that sea level at the shelf edge of the Great Barrier Reef dropped by around 20 metres between 21,900 and 20,500 years ago, to-118 metres relative to the modern level. Our findings are based on recovered and radiometrically dated fossil corals and coralline algae assemblages, and represent relative sea level at the Great Barrier Reef, rather than GMSL. Subsequently, relative sea level rose at a rate of about 3.5 millimetres per year for around 4,000 years. The rise is consistent with the warming previously observed at 19,000 years ago(1,5), but we now show that it occurred just after the 20-metre drop in relative sea level and the related increase in global ice volumes. The detailed structure of our record is robust because the Great Barrier Reef is remote from former ice sheets and tectonic activity. Relative sea level can be influenced by Earth's response to regional changes in ice and water loadings and may differ greatly from GMSL. Consequently, we used glacio-isostatic models to derive GMSL, and find that the Last Glacial Maximum culminated 20,500 years ago in a GMSL low of about - 125 to - 130 metres.</t>
  </si>
  <si>
    <t>[Yokoyama, Yusuke; Miyairi, Yosuke; Sawada, Chikako; Aze, Takahiro] Univ Tokyo, Atmosphere &amp; Ocean Res Inst, Kashiwa, Chiba, Japan; [Yokoyama, Yusuke] Univ Tokyo, Grad Sch Sci, Dept Earth &amp; Planetary Sci, Tokyo, Japan; [Yokoyama, Yusuke] Japan Agcy Marine Earth Sci &amp; Technol, Yokosuka, Kanagawa, Japan; [Esat, Tezer M.; Fallon, Stewart] Australian Natl Univ, Res Sch Earth Sci, Canberra, ACT, Australia; [Esat, Tezer M.] Australian Natl Univ, Res Sch Phys &amp; Engn, Canberra, ACT, Australia; [Thompson, William G.] Woods Hole Oceanog Inst, Woods Hole, MA 02543 USA; [Thomas, Alexander L.] Univ Edinburgh, Edinburgh, Midlothian, Scotland; [Webster, Jody M.] Univ Sydney, Sydney, NSW, Australia; [Matsuzaki, Hiroyuki] Univ Tokyo, Univ Museum, Tokyo, Japan; [Okuno, Jun'ichi] Natl Inst Polar Res, Tokyo, Japan; [Braga, Juan-Carlos] Univ Granada, Granada, Spain; [Humblet, Marc] Nagoya Univ, Nagoya, Aichi, Japan; [Iryu, Yasufumi] Tohoku Univ, Sendai, Miyagi, Japan; [Potts, Donald C.] Univ Calif Santa Cruz, Santa Cruz, CA 95064 USA; [Fujita, Kazuhiko] Univ Ryukyus, Naha, Japan; [Suzuki, Atsushi] Geol Survey Japan, Natl Inst Adv Ind Sci &amp; Technol AIST, Tsukuba, Ibaraki, Japan; [Kan, Hironobu] Kyushu Univ, Fukuoka, Fukuoka, Japan</t>
  </si>
  <si>
    <t>University of Tokyo; University of Tokyo; Japan Agency for Marine-Earth Science &amp; Technology (JAMSTEC); Australian National University; Australian National University; Woods Hole Oceanographic Institution; University of Edinburgh; University of Sydney; University of Tokyo; Research Organization of Information &amp; Systems (ROIS); National Institute of Polar Research (NIPR) - Japan; University of Granada; Nagoya University; Tohoku University; University of California System; University of California Santa Cruz; University of the Ryukyus; National Institute of Advanced Industrial Science &amp; Technology (AIST); Kyushu University</t>
  </si>
  <si>
    <t>Yokoyama, Y (corresponding author), Univ Tokyo, Atmosphere &amp; Ocean Res Inst, Kashiwa, Chiba, Japan.;Yokoyama, Y (corresponding author), Univ Tokyo, Grad Sch Sci, Dept Earth &amp; Planetary Sci, Tokyo, Japan.;Yokoyama, Y (corresponding author), Japan Agcy Marine Earth Sci &amp; Technol, Yokosuka, Kanagawa, Japan.</t>
  </si>
  <si>
    <t>yokoyama@aori.u-tokyo.ac.jp</t>
  </si>
  <si>
    <t>Iryu, Yasufumi/N-1782-2019; Thomas, Alex L/D-1028-2012; Thompson, William G/H-2407-2011; IPO, PAGES/JXY-7546-2024; Suzuki, Atsushi/L-6120-2018; Fallon, Stewart/G-6645-2011; Braga, Juan/K-3786-2017</t>
  </si>
  <si>
    <t>Suzuki, Atsushi/0000-0002-0266-5765; Iryu, Yasufumi/0000-0002-6099-0662; Yokoyama, Yusuke/0000-0001-7869-5891; Kazuhiko, Fujita/0000-0002-9833-007X; Webster, Jody M./0000-0002-0005-6448; Fallon, Stewart/0000-0002-8064-5903; Thomas, Alexander/0000-0002-0734-9593; Kan, Hironobu/0000-0003-2693-9596; Braga, Juan/0000-0002-2657-0584</t>
  </si>
  <si>
    <t>JSPS KAKENHI [JP26247085, JP15KK0151, JP16H06309, JP17H01168]; Australian Research Council [DP1094001]; ANZIC; NERC [NE/H014136/1]; Institut Polytechnique de Bordeaux</t>
  </si>
  <si>
    <t>JSPS KAKENHI(Ministry of Education, Culture, Sports, Science and Technology, Japan (MEXT)Japan Society for the Promotion of ScienceGrants-in-Aid for Scientific Research (KAKENHI)); Australian Research Council(Australian Research Council); ANZIC; NERC(UK Research &amp; Innovation (UKRI)Natural Environment Research Council (NERC)); Institut Polytechnique de Bordeaux</t>
  </si>
  <si>
    <t>We thank the IODP and ECORD (European Consortium for Ocean Research Drilling) for drilling the GBR, and the Bremen Core Repository for organizing the onshore sampling party. Financial support of this research was provided by the JSPS KAKENHI (grant numbers JP26247085, JP15KK0151, JP16H06309 and JP17H01168), the Australian Research Council (grant number DP1094001), ANZIC, NERC grant NE/H014136/1 and Institut Polytechnique de Bordeaux. This paper is a contribution to the INQUA commission on Coastal and Marine Processes and the PAGES PALSEA2 programme.</t>
  </si>
  <si>
    <t>10.1038/s41586-018-0335-4</t>
  </si>
  <si>
    <t>GO2ZP</t>
  </si>
  <si>
    <t>WOS:000439850800054</t>
  </si>
  <si>
    <t>Khosrawi, F; Lossow, S; Stiller, GP; Rosenlof, KH; Urban, J; Burrows, JP; Damadeo, RP; Eriksson, P; García-Comas, M; Gille, JC; Kasai, Y; Kiefer, M; Nedoluha, GE; Noël, S; Raspollini, P; Read, WG; Rozanov, A; Sioris, CE; Walker, KA; Weigel, K</t>
  </si>
  <si>
    <t>Khosrawi, Farahnaz; Lossow, Stefan; Stiller, Gabriele P.; Rosenlof, Karen H.; Urban, Joachim; Burrows, John P.; Damadeo, Robert P.; Eriksson, Patrick; Garcia-Comas, Maya; Gille, John C.; Kasai, Yasuko; Kiefer, Michael; Nedoluha, Gerald E.; Noel, Stefan; Raspollini, Piera; Read, William G.; Rozanov, Alexei; Sioris, Christopher E.; Walker, Kaley A.; Weigel, Katja</t>
  </si>
  <si>
    <t>The SPARC water vapour assessment II: comparison of stratospheric and lower mesospheric water vapour time series observed from satellites</t>
  </si>
  <si>
    <t>TROPICAL TROPOPAUSE; MIDDLE ATMOSPHERE; UPPER TROPOSPHERE; TECHNICAL NOTE; DEHYDRATION; OZONE; TRENDS; TEMPERATURE; VARIABILITY; RETRIEVAL</t>
  </si>
  <si>
    <t>Time series of stratospheric and lower mesospheric water vapour using 33 data sets from 15 different satellite instruments were compared in the framework of the second SPARC (Stratosphere-troposphere Processes And their Role in Climate) water vapour assessment (WAVAS-II). This comparison aimed to provide a comprehensive overview of the typical uncertainties in the observational database that can be considered in the future in observational and modelling studies, e.g addressing stratospheric water vapour trends. The time series comparisons are presented for the three latitude bands, the Antarctic (80 degrees-70 degrees S), the tropics (15 degrees S-15 degrees N) and the Northern Hemisphere mid-latitudes (50 degrees-60 degrees N) at four different altitudes (0.1, 3, 10 and 80 hPa) covering the stratosphere and lower mesosphere. The combined temporal coverage of observations from the 15 satellite instruments allowed the consideration of the time period 1986-2014. In addition to the qualitative comparison of the time series, the agreement of the data sets is assessed quantitatively in the form of the spread (i.e. the difference between the maximum and minimum volume mixing ratios among the data sets), the (Pearson) correlation coefficient and the drift (i.e. linear changes of the difference between time series over time). Generally, good agreement between the time series was found in the middle stratosphere while larger differences were found in the lower mesosphere and near the tropopause. Concerning the latitude bands, the largest differences were found in the Antarctic while the best agreement was found for the tropics. From our assessment we find that most data sets can be considered in future observational and modelling studies, e.g. addressing stratospheric and lower mesospheric water vapour variability and trends, if data set specific characteristics (e.g. drift) and restrictions (e.g. temporal and spatial coverage) are taken into account.</t>
  </si>
  <si>
    <t>[Khosrawi, Farahnaz; Lossow, Stefan; Stiller, Gabriele P.; Kiefer, Michael] Karlsruhe Inst Technol, Inst Meteorol &amp; Climate Res, Hermann von Helmholtz Pl 1, D-76344 Eggenstein Leopoldshafen, Germany; [Rosenlof, Karen H.] NOAA, Earth Syst Res Lab, Global Monitoring Div, 325 Broadway, Boulder, CO 80305 USA; [Urban, Joachim; Eriksson, Patrick] Chalmers Univ Technol, Dept Space Earth &amp; Environm, Horsalsvagen 11, S-41296 Gothenburg, Sweden; [Burrows, John P.; Noel, Stefan; Rozanov, Alexei; Weigel, Katja] Univ Bremen, Inst Environm Phys, Otto Hahn Allee 1, D-28334 Bremen, Germany; [Damadeo, Robert P.] NASA, Langley Res Ctr, Mail Stop 401B, Hampton, VA 23681 USA; [Garcia-Comas, Maya] Inst Astrofis Andalucia IAA CSIC, Granada 18008, Spain; [Gille, John C.] Natl Ctr Atmospher Res, Atmospher Chem Observat &amp; Modeling Lab, POB 3000, Boulder, CO 80307 USA; [Gille, John C.] Univ Colorado, Atmospher &amp; Ocean Sci, Boulder, CO 80309 USA; [Kasai, Yasuko] Natl Inst Informat &amp; Commun Technol, Terahertz Technol Res Ctr, 4-2-1 Nukuikitamachi, Koganei, Tokyo 1848795, Japan; [Nedoluha, Gerald E.] Naval Res Lab, Remote Sensing Div, 4555 Overlook Ave Southwest, Washington, DC 20375 USA; [Raspollini, Piera] CNR, Ist Fis Applicata N Carrara IFAC, Via Madonna Piano10, I-50019 Sesto Fiorentino, Italy; [Read, William G.] Jet Prop Lab, 4800 Oak Grove Dr, Pasadena, CA 91109 USA; [Sioris, Christopher E.] Atmospher Sci &amp; Technol Directorate, Environm &amp; Climate Change Canada, 4905 Dufferin St, Toronto, ON M3H 5T4, Canada; [Walker, Kaley A.] Univ Toronto, Dept Phys, 60 St George St, Toronto, ON M5S 1A7, Canada</t>
  </si>
  <si>
    <t>Helmholtz Association; Karlsruhe Institute of Technology; National Oceanic Atmospheric Admin (NOAA) - USA; Chalmers University of Technology; University of Bremen; National Aeronautics &amp; Space Administration (NASA); NASA Langley Research Center; Consejo Superior de Investigaciones Cientificas (CSIC); CSIC - Instituto de Astrofisica de Andalucia (IAA); National Center Atmospheric Research (NCAR) - USA; University of Colorado System; University of Colorado Boulder; National Institute of Information &amp; Communications Technology (NICT) - Japan; United States Department of Defense; United States Navy; Naval Research Laboratory; Consiglio Nazionale delle Ricerche (CNR); Istituto di Fisica Applicata Nello Carrara (IFAC-CNR); National Aeronautics &amp; Space Administration (NASA); NASA Jet Propulsion Laboratory (JPL); Environment &amp; Climate Change Canada; University of Toronto</t>
  </si>
  <si>
    <t>Khosrawi, F (corresponding author), Karlsruhe Inst Technol, Inst Meteorol &amp; Climate Res, Hermann von Helmholtz Pl 1, D-76344 Eggenstein Leopoldshafen, Germany.</t>
  </si>
  <si>
    <t>farahnaz.khosrawi@kit.edu</t>
  </si>
  <si>
    <t>Eriksson, Patrick/A-5321-2009; Rosenlof, Karen H/B-5652-2008; Papandrea, Enzo/GSO-2158-2022; read, william/AAL-1895-2021; Burrows, John Philip/AAF-8468-2019; Stiller, Gabriele P./A-7340-2013; KASAI, Yasuko/Q-3103-2018; Papandrea, Enzo/M-2739-2019; Garcia-Comas, Maya/E-4050-2014</t>
  </si>
  <si>
    <t>Eriksson, Patrick/0000-0002-8475-0479; Rosenlof, Karen H/0000-0002-0903-8270; Papandrea, Enzo/0000-0001-6698-0011; Burrows, John Philip/0000-0002-6821-5580; Stiller, Gabriele P./0000-0003-2883-6873; Papandrea, Enzo/0000-0001-6698-0011; Garcia-Comas, Maya/0000-0003-2323-4486; Lossow, Stefan/0000-0003-2833-0522; Khosrawi, Farahnaz/0000-0002-0261-7253; Damadeo, Robert/0000-0002-1466-839X; Rozanov, Alexei/0000-0003-4525-3223</t>
  </si>
  <si>
    <t>Canadian Space Agency; Natural Sciences and Engineering Research Council of Canada; DLR (German Aerospace Center); University of Bremen; SHARP project [STI 210/9-2]; SPARC; WCRP (World Climate Research Programme); Deutsche Forschungsgemeinschaft; Karlsruhe Institute of Technology</t>
  </si>
  <si>
    <t>Canadian Space Agency(Canadian Space Agency); Natural Sciences and Engineering Research Council of Canada(Natural Sciences and Engineering Research Council of Canada (NSERC)CGIAR); DLR (German Aerospace Center)(Helmholtz AssociationGerman Aerospace Centre (DLR)); University of Bremen; SHARP project; SPARC; WCRP (World Climate Research Programme); Deutsche Forschungsgemeinschaft(German Research Foundation (DFG)); Karlsruhe Institute of Technology(Helmholtz Association)</t>
  </si>
  <si>
    <t>The Atmospheric Chemistry Experiment (ACE), also known as SCISAT, is a Canadian-led mission mainly supported by the Canadian Space Agency and the Natural Sciences and Engineering Research Council of Canada. We would like to thank the European Space Agency (ESA) for making the MIPAS level-1b data set available. MLS data were obtained from the NASA Goddard Earth Sciences and Information Center. Work at the Jet Propulsion Laboratory, California Institute of Technology, was done under contract with the National Aeronautics and Space Administration. SCIAMACHY spectral data have been provided by ESA. The work on the SCIAMACHY water vapour data products has been funded by DLR (German Aerospace Center) and the University of Bremen. The SCIAMACHY limb water vapour data set v3.01 is a result of the DFG (German Research Council) Research Unit Stratospheric Change and its Role for Climate Prediction (SHARP) and the ESA SPIN (ESA SPARC Initiative) project and were partly calculated using resources of the German HLRN (High-Performance Computer Center North). We would like to thank Mark Hervig for providing the SOFIE data and Takafumi Sugita for providing the ILAS-II data. We acknowledge the HALOE science team and the many members of the HALOE project for producing and characterising the high-quality HALOE data set. Further, we would like to thank Ellis Remsberg for valuable comments on the manuscript. Stefan Lossow was funded by the SHARP project under contract STI 210/9-2. We want to express our gratitude to SPARC and WCRP (World Climate Research Programme) for their guidance, sponsorship and support of the WAVAS-II programme. We acknowledge support by Deutsche Forschungsgemeinschaft and Open Access Publishing Fund of Karlsruhe Institute of Technology.</t>
  </si>
  <si>
    <t>JUL 25</t>
  </si>
  <si>
    <t>10.5194/amt-11-4435-2018</t>
  </si>
  <si>
    <t>GO2XA</t>
  </si>
  <si>
    <t>WOS:000439842200004</t>
  </si>
  <si>
    <t>Karlsson, NB; Binder, T; Eagles, G; Helm, V; Pattyn, F; Van Liefferinge, B; Eisen, O</t>
  </si>
  <si>
    <t>Karlsson, Nanna B.; Binder, Tobias; Eagles, Graeme; Helm, Veit; Pattyn, Frank; Van Liefferinge, Brice; Eisen, Olaf</t>
  </si>
  <si>
    <t>Glaciological characteristics in the Dome Fuji region and new assessment for Oldest Ice</t>
  </si>
  <si>
    <t>EAST ANTARCTICA; RADAR; SURFACE; SHEET; FLUX; VARIABILITY; THICKNESS; MODEL</t>
  </si>
  <si>
    <t>A key objective in palaeo-climatology is the retrieval of a continuous Antarctic ice-core record dating back 1.5 Ma. The identification of a suitable Antarctic site requires sufficient knowledge of the subglacial landscape beneath the Antarctic Ice Sheet. Here, we present new ice thickness information from the Dome Fuji region, East Antarctica, based on airborne radar surveys conducted during the 2014/15 and 2016/17 southern summers. Compared to previous maps of the region, the new dataset shows a more complex landscape with networks of valleys and mountain plateaus. We use the new dataset as input in a thermokinematic model that incorporates uncertainties in geothermal heat flux values in order to improve the predictions of potential ice-core sites. Our results show that especially the region immediately south of Dome Fuji station persists as a good candidate site for obtaining an old ice core. An initial assessment of basal conditions revealed the existence of what appears to be subglacial lakes. Further radar data analysis shows overall high continuity of layer stratigraphy in the region. This indicates that extending the age-depth information from the Dome Fuji ice core to a new ice-core drill site is a viable option.</t>
  </si>
  <si>
    <t>[Karlsson, Nanna B.; Binder, Tobias; Eagles, Graeme; Helm, Veit; Eisen, Olaf] Helmholtz Zentrum Polar &amp; Meeresforsch, Alfred Wegener Inst, Bremerhaven, Germany; [Pattyn, Frank; Van Liefferinge, Brice] Univ Libre Bruxelles, Lab Glaciol, CP 160-03,Ave Roosevelt 50, B-1050 Brussels, Belgium; [Eisen, Olaf] Univ Bremen, Dept Geosci, Bremen, Germany; [Karlsson, Nanna B.] Geol Survey Denmark &amp; Greenland, Copenhagen, Denmark</t>
  </si>
  <si>
    <t>Helmholtz Association; Alfred Wegener Institute, Helmholtz Centre for Polar &amp; Marine Research; Universite Libre de Bruxelles; University of Bremen; Geological Survey Of Denmark &amp; Greenland</t>
  </si>
  <si>
    <t>Karlsson, NB (corresponding author), Helmholtz Zentrum Polar &amp; Meeresforsch, Alfred Wegener Inst, Bremerhaven, Germany.;Karlsson, NB (corresponding author), Geol Survey Denmark &amp; Greenland, Copenhagen, Denmark.</t>
  </si>
  <si>
    <t>nanna.karlsson@awi.de</t>
  </si>
  <si>
    <t>Karlsson, Nanna Bjørnholt/G-4621-2018; Eisen, Olaf/K-3846-2012; Pattyn, Frank/AAA-9640-2019; Karlsson, Nanna B./M-4519-2014</t>
  </si>
  <si>
    <t>Eisen, Olaf/0000-0002-6380-962X; Pattyn, Frank/0000-0003-4805-5636; Karlsson, Nanna B./0000-0003-0423-8705; Helm, Veit/0000-0001-7788-9328; Eagles, Graeme/0000-0001-5325-0810; Van Liefferinge, Brice/0000-0001-7495-1771</t>
  </si>
  <si>
    <t>European Union's Horizon 2020 research and innovation programme [730258]; Swiss State Secretariate for Education, Research and Innovation (SERI) [16.0144]; European Union; agency in Belgium; agency in Denmark; agency in France; agency in Germany; agency in Italy; agency in Norway; agency in Sweden; agency in Switzerland; agency in the Netherlands; agency in United Kingdom</t>
  </si>
  <si>
    <t>European Union's Horizon 2020 research and innovation programme(Horizon 2020); Swiss State Secretariate for Education, Research and Innovation (SERI); European Union(European Union (EU)); agency in Belgium; agency in Denmark; agency in France; agency in Germany; agency in Italy; agency in Norway; agency in Sweden; agency in Switzerland; agency in the Netherlands(Netherlands Government); agency in United Kingdom</t>
  </si>
  <si>
    <t>This publication was generated in the frame of Beyond EPICA-Oldest Ice (BE-OI). The project has received funding from the European Union's Horizon 2020 research and innovation programme under grant agreement no. 730258 (BE-OI CSA). It has received funding from the Swiss State Secretariate for Education, Research and Innovation (SERI) under contract number 16.0144. It is further more supported by national partners and funding agencies in Belgium, Denmark, France, Germany, Italy, Norway, Sweden, Switzerland, the Netherlands, and the United Kingdom. Logistic support is mainly provided by AWI, BAS, ENEA, and IPEV. Logistic support is mainly provided by AWI, BAS, ENEA and IPEV. The opinions expressed and arguments employed herein do not necessarily reflect the official views of the European Union funding agency, the Swiss Government, or other national funding bodies.</t>
  </si>
  <si>
    <t>10.5194/tc-12-2413-2018</t>
  </si>
  <si>
    <t>GO2XZ</t>
  </si>
  <si>
    <t>WOS:000439845800001</t>
  </si>
  <si>
    <t>Jong, LM; Gladstone, RM; Galton-Fenzi, BK; King, MA</t>
  </si>
  <si>
    <t>Jong, Lenneke M.; Gladstone, Rupert M.; Galton-Fenzi, Benjamin K.; King, Matt A.</t>
  </si>
  <si>
    <t>Simulated dynamic regrounding during marine ice sheet retreat</t>
  </si>
  <si>
    <t>GROUNDING-LINE MIGRATION; MODEL; STABILITY; GLACIER; SHELF; PERFORMANCE; FRICTION; MISMIP</t>
  </si>
  <si>
    <t>Marine-terminating ice sheets are of interest due to their potential instability, making them vulnerable to rapid retreat. Modelling the evolution of glaciers and ice streams in such regions is key to understanding their possible contribution to sea level rise. The friction caused by the sliding of ice over bedrock and the resultant shear stress are important factors in determining the velocity of sliding ice. Many models use simple power-law expressions for the relationship between the basal shear stress and ice velocity or introduce an effective-pressure dependence into the sliding relation in an ad hoc manner. Sliding relations based on water-filled subglacial cavities are more physically motivated, with the overburden pressure of the ice included. Here we show that using a cavitation-based sliding relation allows for the temporary regrounding of an ice shelf at a point downstream of the main grounding line of a marine ice sheet undergoing retreat across a retrograde bedrock slope. This suggests that the choice of sliding relation is especially important when modelling grounding line behaviour of regions where potential ice rises and pinning points are present and regrounding could occur.</t>
  </si>
  <si>
    <t>[Jong, Lenneke M.; Galton-Fenzi, Benjamin K.] Australian Antarctic Div, Kingston, Tas 7050, Australia; [Jong, Lenneke M.; Gladstone, Rupert M.; Galton-Fenzi, Benjamin K.] Univ Tasmania, Antarctic Climate &amp; Ecosyst Cooperat Res Ctr, Private Bag 80, Hobart, Tas 7001, Australia; [Jong, Lenneke M.] Univ Tasmania, Inst Marine &amp; Antarctic Studies, Private Bag 129, Hobart, Tas 7001, Australia; [Gladstone, Rupert M.] Univ Lapland, Arctic Ctr, POB 122, Rovaniemi 96101, Finland; [King, Matt A.] Univ Tasmania, Sch Technol Environm &amp; Design, Hobart, Tas 7001, Australia</t>
  </si>
  <si>
    <t>Australian Antarctic Division; Antarctic Climate &amp; Ecosystems Cooperative Research Centre (ACE CRC); University of Tasmania; University of Tasmania; University of Lapland; University of Tasmania</t>
  </si>
  <si>
    <t>Jong, LM (corresponding author), Australian Antarctic Div, Kingston, Tas 7050, Australia.;Jong, LM (corresponding author), Univ Tasmania, Antarctic Climate &amp; Ecosyst Cooperat Res Ctr, Private Bag 80, Hobart, Tas 7001, Australia.;Jong, LM (corresponding author), Univ Tasmania, Inst Marine &amp; Antarctic Studies, Private Bag 129, Hobart, Tas 7001, Australia.</t>
  </si>
  <si>
    <t>lenneke.jong@aad.gov.au</t>
  </si>
  <si>
    <t>King, Matt/B-4622-2008; Jong, Lenneke M/AAT-3230-2020; Gladstone, Rupert/C-1086-2013</t>
  </si>
  <si>
    <t>King, Matt/0000-0001-5611-9498; Jong, Lenneke M/0000-0001-6707-570X; Galton-Fenzi, Benjamin Keith/0000-0003-1404-4103; Gladstone, Rupert/0000-0002-1582-3857</t>
  </si>
  <si>
    <t>Academy of Finland [286587]; Australian Government; Australian Government's Cooperative Research Centres Program through the Antarctic Climate and Ecosystems Cooperative Research Centre (ACE CRC); Australian Research Council's Special Research Initiative for Antarctic Gateway Partnership [SR140300001]; Academy of Finland (AKA) [286587] Funding Source: Academy of Finland (AKA)</t>
  </si>
  <si>
    <t>Academy of Finland(Research Council of Finland); Australian Government(Australian Government); Australian Government's Cooperative Research Centres Program through the Antarctic Climate and Ecosystems Cooperative Research Centre (ACE CRC)(Australian GovernmentDepartment of Industry, Innovation and ScienceCooperative Research Centres (CRC) Programme); Australian Research Council's Special Research Initiative for Antarctic Gateway Partnership(Australian Research Council); Academy of Finland (AKA)(Research Council of Finland)</t>
  </si>
  <si>
    <t>The authors would like to thank Thomas Zwinger for technical help with the simulations. Rupert Gladstone is funded by the Academy of Finland, grant number 286587. This research was undertaken with the assistance of resources from the National Computational Infrastructure (NCI), which is supported by the Australian Government. This work was supported in part by the Australian Government's Cooperative Research Centres Program through the Antarctic Climate and Ecosystems Cooperative Research Centre (ACE CRC). This research was supported under the Australian Research Council's Special Research Initiative for Antarctic Gateway Partnership (project ID SR140300001).</t>
  </si>
  <si>
    <t>10.5194/tc-12-2425-2018</t>
  </si>
  <si>
    <t>WOS:000439845800002</t>
  </si>
  <si>
    <t>Cao, J; Wang, B; Yang, YM; Ma, LB; Li, J; Sun, B; Bao, Y; He, J; Zhou, X; Wu, LG</t>
  </si>
  <si>
    <t>Cao, Jian; Wang, Bin; Yang, Young-Min; Ma, Libin; Li, Juan; Sun, Bo; Bao, Yan; He, Jie; Zhou, Xiao; Wu, Liguang</t>
  </si>
  <si>
    <t>The NUIST Earth System Model (NESM) version 3: description and preliminary evaluation</t>
  </si>
  <si>
    <t>MERIDIONAL OVERTURNING CIRCULATION; ENSO PHASE-LOCKING; SEA-ICE; GLOBAL PRECIPITATION; DOUBLE ITCZ; PARAMETERIZATION; SURFACE; REPRESENTATION; TEMPERATURE; SENSITIVITY</t>
  </si>
  <si>
    <t>The Nanjing University of Information Science and Technology Earth System Model version 3 (NESM v3) has been developed, aiming to provide a numerical modeling platform for cross-disciplinary Earth system studies, project future Earth climate and environment changes, and conduct subseasonal-to-seasonal prediction. While the previous model version NESM v1 simulates the internal modes of climate variability well, it has no vegetation dynamics and suffers considerable radiative energy imbalance at the top of the atmosphere and surface, resulting in large biases in the global mean surface air temperature, which limits its utility to simulate past and project future climate changes. The NESM v3 has upgraded atmospheric and land surface model components and improved physical parameterization and conservation of coupling variables. Here we describe the new version's basic features and how the major improvements were made. We demonstrate the v3 model's fidelity and suitability to address global climate variability and change issues. The 500-year preindustrial (PI) experiment shows negligible trends in the net heat flux at the top of atmosphere and the Earth surface. Consistently, the simulated global mean surface air temperature, land surface temperature, and sea surface temperature (SST) are all in a quasi-equilibrium state. The conservation of global water is demonstrated by the stable evolution of the global mean precipitation, sea surface salinity (SSS), and sea water salinity. The sea ice extents (SIEs), as a major indication of high-latitude climate, also maintain a balanced state. The simulated spatial patterns of the energy states, SST, precipitation, and SSS fields are realistic, but the model suffers from a cold bias in the North Atlantic, a warm bias in the Southern Ocean, and associated deficient Antarctic sea ice area, as well as a delicate sign of the double ITCZ syndrome. The estimated radiative forcing of quadrupling carbon dioxide is about 7.24 W m(-2), yielding a climate sensitivity feedback parameter of -0.98 W m(-2) K-1 , and the equilibrium climate sensitivity is 3.69 K. The transient climate response from the 1 % yr(-1) CO2 (1pctCO(2)) increase experiment is 2.16 K. The model's performance on internal modes and responses to external forcing during the historical period will be documented in an accompanying paper.</t>
  </si>
  <si>
    <t>[Cao, Jian; Wang, Bin; Ma, Libin; Li, Juan; Sun, Bo; Bao, Yan; He, Jie; Wu, Liguang] Nanjing Univ Informat Sci &amp; Technol, Earth Syst Modeling Ctr, Nanjing 210044, Jiangsu, Peoples R China; [Cao, Jian; Wang, Bin; Yang, Young-Min; Ma, Libin; Li, Juan; Sun, Bo; Bao, Yan; He, Jie; Zhou, Xiao] Univ Hawaii, China US Joint Atmosphere Ocean Res Ctr &amp; Int Pac, Honolulu, HI 96822 USA</t>
  </si>
  <si>
    <t>Nanjing University of Information Science &amp; Technology; University of Hawaii System</t>
  </si>
  <si>
    <t>Wang, B (corresponding author), Nanjing Univ Informat Sci &amp; Technol, Earth Syst Modeling Ctr, Nanjing 210044, Jiangsu, Peoples R China.;Wang, B (corresponding author), Univ Hawaii, China US Joint Atmosphere Ocean Res Ctr &amp; Int Pac, Honolulu, HI 96822 USA.</t>
  </si>
  <si>
    <t>wangbin@hawaii.edu</t>
  </si>
  <si>
    <t>YANG, YOUNG-MIN/IQW-1647-2023; Yang, Young-Min/GYR-1847-2022</t>
  </si>
  <si>
    <t>Wu, Liguang/0000-0002-0784-5853; Yang, Young-Min/0000-0002-3048-6430</t>
  </si>
  <si>
    <t>Nanjing University of Information Science and Technology through China-US Atmosphere-Ocean Research Center at the University of Hawaii; National Key R&amp;D Program of China [2017YFA0603801]; public science and technology ocean research project funds [201505013]</t>
  </si>
  <si>
    <t>Nanjing University of Information Science and Technology through China-US Atmosphere-Ocean Research Center at the University of Hawaii; National Key R&amp;D Program of China; public science and technology ocean research project funds</t>
  </si>
  <si>
    <t>This work is supported by the Nanjing University of Information Science and Technology through funding from the joint China-US Atmosphere-Ocean Research Center at the University of Hawaii. Jian Cao is thankful for the support of the National Key R&amp;D Program of China (2017YFA0603801), and Jian Cao and Liguang Wu are thankful for the support of public science and technology ocean research project funds (201505013). The IPRC publication number is 1327 and the ESMC publication number is 225.</t>
  </si>
  <si>
    <t>10.5194/gmd-11-2975-2018</t>
  </si>
  <si>
    <t>GO3RT</t>
  </si>
  <si>
    <t>WOS:000439912600001</t>
  </si>
  <si>
    <t>Paul, S; Hendricks, S; Ricker, R; Kern, S; Rinne, E</t>
  </si>
  <si>
    <t>Paul, Stephan; Hendricks, Stefan; Ricker, Robert; Kern, Stefan; Rinne, Eero</t>
  </si>
  <si>
    <t>Empirical parametrization of Envisat freeboard retrieval of Arctic and Antarctic sea ice based on CryoSat-2: progress in the ESA Climate Change Initiative</t>
  </si>
  <si>
    <t>RADAR FREEBOARD; WEDDELL SEA; SNOW DEPTH; THICKNESS; VARIABILITY; ALTIMETER; TRENDS</t>
  </si>
  <si>
    <t>In order to derive long-term changes in sea-ice volume, a multi-decadal sea-ice thickness record is required. CryoSat-2 has showcased the potential of radar altimetry for sea-ice mass-balance estimation over the recent years. However, precursor altimetry missions such as Environmental Satellite (Envisat) have not been exploited to the same extent so far. Combining both missions to acquire a decadal sea-ice volume data set requires a method to overcome the discrepancies due to different footprint sizes from either pulselimited or beam-sharpened radar echoes. In this study, we implemented an inter-mission-consistent surface-type classification scheme for both hemispheres, based on the waveform pulse peakiness, leading-edge width, and surface backscatter. In order to achieve a consistent retracking procedure, we adapted the threshold first-maximum retracker algorithm, previously used only for CryoSat-2, to develop an adaptive retracker threshold that depends on waveform characteristics. With our method, we produce a global and consistent freeboard data set for CryoSat-2 and Envisat. This novel data set features a maximum monthly difference in the mission-overlap period of 2.2 cm (2.7 cm) for the Arctic (Antarctic) based on all gridded values with spatial resolution of 25km x 25km and 50km x 50km for the Arctic and Antarctic, respectively.</t>
  </si>
  <si>
    <t>[Paul, Stephan; Hendricks, Stefan; Ricker, Robert] Helmholtz Ctr Polar &amp; Marine Res, Alfred Wegener Inst, Bremerhaven, Germany; [Paul, Stephan] Ludwig Maximilians Univ Munchen, Dept Geog, Munich, Germany; [Kern, Stefan] Integrated Climate Data Ctr, Hamburg, Germany; [Rinne, Eero] Finnish Meteorol Inst, Helsinki, Finland</t>
  </si>
  <si>
    <t>Helmholtz Association; Alfred Wegener Institute, Helmholtz Centre for Polar &amp; Marine Research; University of Munich; Finnish Meteorological Institute</t>
  </si>
  <si>
    <t>Paul, S (corresponding author), Helmholtz Ctr Polar &amp; Marine Res, Alfred Wegener Inst, Bremerhaven, Germany.;Paul, S (corresponding author), Ludwig Maximilians Univ Munchen, Dept Geog, Munich, Germany.</t>
  </si>
  <si>
    <t>stephan.paul@awi.de</t>
  </si>
  <si>
    <t>Paul, Stephan/I-5918-2019; Ricker, Robert/Z-4214-2019; Hendricks, Stefan/D-5168-2011</t>
  </si>
  <si>
    <t>Paul, Stephan/0000-0002-5136-714X; Ricker, Robert/0000-0001-6928-7757; Hendricks, Stefan/0000-0002-1412-3146; Rinne, Eero/0000-0002-4796-3387; Kern, Stefan/0000-0001-7281-3746</t>
  </si>
  <si>
    <t>ESA Climate Change Initiative</t>
  </si>
  <si>
    <t>This work was funded through the ESA Climate Change Initiative. The authors would like to thank the International Space Science Institute (ISSI Bern) for its support to an international team focused on current scientific issues in the observation of sea level and sea ice at polar latitudes, which fostered fruitful discussion on the ideas for this paper. Furthermore, the valuable comments of three reviewers (Thomas Armitage, Nathan Kurtz, and Sara Fleury) as well as editor Jennifer Hutchings are very much appreciated and greatly improved this paper.</t>
  </si>
  <si>
    <t>10.5194/tc-12-2437-2018</t>
  </si>
  <si>
    <t>WOS:000439845800003</t>
  </si>
  <si>
    <t>Cook, S; Åström, J; Zwinger, T; Galton-Fenzi, BK; Greenbaum, JS; Coleman, R</t>
  </si>
  <si>
    <t>Cook, Sue; Astrom, Jan; Zwinger, Thomas; Galton-Fenzi, Benjamin Keith; Greenbaum, Jamin Stevens; Coleman, Richard</t>
  </si>
  <si>
    <t>Modelled fracture and calving on the Totten Ice Shelf</t>
  </si>
  <si>
    <t>BASAL CREVASSES; DISCRETE-ELEMENT; WEST ANTARCTICA; EAST ANTARCTICA; MELT RATES; GLACIER; DYNAMICS; RETREAT; DRIVEN; MORPHOLOGY</t>
  </si>
  <si>
    <t>The Totten Ice Shelf (IS) has a large drainage basin, much of which is grounded below sea level, leaving the glacier vulnerable to retreat through the marine ice sheet instability mechanism. The ice shelf has also been shown to be sensitive to changes in calving rate, as a very small retreat of the calving front from its current position is predicted to cause a change in flow at the grounding line. Therefore understanding the processes behind calving on the Totten IS is key to predicting its future sea level rise contribution. Here we use the Helsinki Discrete Element Model (HiDEM) to show that not all of the fractures visible at the front of the Totten IS are produced locally, but that the across-flow basal crevasses, which are part of the distinctive cross-cutting fracture pattern, are advected into the calving front area from upstream. A separate simulation of the grounding line shows that re-grounding points may be key areas of basal crevasse production, and can produce basal crevasses in both an along-and across-flow orientation. The along-flow basal crevasses at the grounding line may be a possible precursor to basal channels, while we suggest the across-flow grounding-line fractures are the source of the across-flow features observed at the calving front. We use two additional models to simulate the evolution of basal fractures as they advect downstream, demonstrating that both strain and ocean melt have the potential to deform narrow fractures into the broad basal features observed near the calving front. The wide range of factors which influence fracture patterns and calving on this glacier will be a challenge for predicting its future mass loss.</t>
  </si>
  <si>
    <t>[Cook, Sue; Galton-Fenzi, Benjamin Keith; Coleman, Richard] Univ Tasmania, Antarctic Climate &amp; Ecosyst Cooperat Res Ctr, Private Bag 80, Hobart, Tas 7001, Australia; [Astrom, Jan; Zwinger, Thomas] Ctr Sci Ltd, CSC IT, Espoo 02101, Finland; [Galton-Fenzi, Benjamin Keith] Australian Antarctic Div, Kingston, Tas 7050, Australia; [Greenbaum, Jamin Stevens] Univ Texas Austin, Inst Geophys, Austin, TX 78758 USA; [Coleman, Richard] Univ Tasmania, Inst Marine &amp; Antarctic Studies, Private Bag 129, Hobart, Tas 7001, Australia</t>
  </si>
  <si>
    <t>University of Tasmania; Antarctic Climate &amp; Ecosystems Cooperative Research Centre (ACE CRC); Australian Antarctic Division; University of Texas System; University of Texas Austin; University of Tasmania</t>
  </si>
  <si>
    <t>Cook, S (corresponding author), Univ Tasmania, Antarctic Climate &amp; Ecosyst Cooperat Res Ctr, Private Bag 80, Hobart, Tas 7001, Australia.</t>
  </si>
  <si>
    <t>sue.cook@utas.edu.au</t>
  </si>
  <si>
    <t>Cook, Sue/T-1028-2019; Coleman, Richard/H-4425-2012; Cook, Sue/E-8390-2018; Zwinger, Thomas/H-5163-2018</t>
  </si>
  <si>
    <t>Coleman, Richard/0000-0002-9731-7498; Greenbaum, Jamin Stevens/0000-0002-0745-7113; Cook, Sue/0000-0001-9878-4218; Zwinger, Thomas/0000-0003-3360-4401; Galton-Fenzi, Benjamin Keith/0000-0003-1404-4103</t>
  </si>
  <si>
    <t>CSC - IT Center for Science Ltd.; National Computational Infrastructure grant [m68]; NSF [PLR-0733025, PLR-1143843, PLR-1543452]; NASA [NNG10HPO6C, NNX11AD33G]; Australian Government's Australian Antarctic Science Grant Program [AAS 3103, 4077, 4346]; G. Unger Vetlesen Foundation; Jackson School of Geosciences; Australian Government's Business Cooperative Research Centres Programme through the Antarctic Climate and Ecosystems Cooperative Research Centre (ACE CRC); Australian Research Council Special Research Initiative for Antarctic Gateway Partnership project [SR140300001]; NASA [NNX11AD33G, 148741] Funding Source: Federal RePORTER</t>
  </si>
  <si>
    <t>CSC - IT Center for Science Ltd.; National Computational Infrastructure grant; NSF(National Science Foundation (NSF)); NASA(National Aeronautics &amp; Space Administration (NASA)); Australian Government's Australian Antarctic Science Grant Program(Australian Government); G. Unger Vetlesen Foundation; Jackson School of Geosciences; Australian Government's Business Cooperative Research Centres Programme through the Antarctic Climate and Ecosystems Cooperative Research Centre (ACE CRC)(Australian GovernmentDepartment of Industry, Innovation and ScienceCooperative Research Centres (CRC) Programme); Australian Research Council Special Research Initiative for Antarctic Gateway Partnership project; NASA(National Aeronautics &amp; Space Administration (NASA))</t>
  </si>
  <si>
    <t>Computing resources were provided by CSC - IT Center for Science Ltd. and National Computational Infrastructure grant m68. Data collection and analysis were supported through funding from NSF grants PLR-0733025, PLR-1143843 and PLR-1543452; NASA grants NNG10HPO6C and NNX11AD33G (Operation Ice Bridge and the American Recovery and Reinvestment Act); the Australian Government's Australian Antarctic Science Grant Program under projects AAS 3103, 4077 and 4346; the G. Unger Vetlesen Foundation; and the Jackson School of Geosciences. Our thanks go out to Jason Roberts, AAD, for assistance in collating and processing data. This work was supported by the Australian Government's Business Cooperative Research Centres Programme through the Antarctic Climate and Ecosystems Cooperative Research Centre (ACE CRC) and the Australian Research Council Special Research Initiative for Antarctic Gateway Partnership project (Project ID SR140300001). This is University of Texas Institute for Geophysics contribution no. 3277.</t>
  </si>
  <si>
    <t>JUL 24</t>
  </si>
  <si>
    <t>10.5194/tc-12-2401-2018</t>
  </si>
  <si>
    <t>GO0NG</t>
  </si>
  <si>
    <t>WOS:000439627300001</t>
  </si>
  <si>
    <t>Seitz, S; Putlitz, B; Baumgartner, L; Meibom, A; Escrig, S; Bouvier, AS</t>
  </si>
  <si>
    <t>Seitz, Susanne; Putlitz, Benita; Baumgartner, Lukas; Meibom, Anders; Escrig, Stephane; Bouvier, Anne-Sophie</t>
  </si>
  <si>
    <t>A NanoSIMS Investigation on Timescales Recorded in Volcanic Quartz From the Silicic Chon Aike Province (Patagonia)</t>
  </si>
  <si>
    <t>NanoSIMS; diffusion chronometry; magma storage; Chon Aike Province; quartz zoning textures</t>
  </si>
  <si>
    <t>MAGMA RESERVOIRS; ANTARCTIC PENINSULA; MARIFIL FORMATION; CRYSTAL-GROWTH; ORTHO-PYROXENE; TIME-SCALES; DIFFUSION; ERUPTION; RHYOLITE; SATURATION</t>
  </si>
  <si>
    <t>Textural and chemical differences in coeval rhyolitic effusive and explosive eruptions are commonly observed, and numerical models predict different timescales for the eruption of crystal-rich mushes versus crystal-poor magmas. We compare quartz zonation and diffusion timescales of crystal-rich rhyolitic ignimbrites and crystal-poor rhyolitic lava flows from the Jurassic Chon Aike Province exposed in Patagonia (Argentina). The timescales are assessed by using diffusion modeling based on nanoscale secondary ion mass spectrometry (NanoSIMS) analysis of titanium (Ti) concentration profiles in quartz crystals oriented by image analysis using micro-tomography. Quantitative Ti-data were acquired by SIMS to estimate crystallization temperatures. The textural and geochemical analysis revealed clear differences between crystal-poor rhyolitic lava flows and crystal-rich rhyolitic ignimbrites. Quartz crystals from rhyolitic lava flows display simple oscillatory cathodoluminescence (CL) zoning interpreted to be magmatic and diffusion chronometry suggest a short timescale for quartz crystallization from 5.6 +/- 2.2 to 41.6 +/- 9.8 years. Resorption textures are rare, and hence crystals in rhyolitic lava flows recorded a simple, rapid extraction, transport and eruption history for these crystal-poor melts. Rhyolitic ignimbrites, in contrast, reveal complex zoning patterns, reflecting several episodes of partial resorption and growth throughout their crystallization history. The complex quartz zoning textures together with longer diffusion times (&lt;350 years), rather suggest a storage in a mush with fluctuating pressure and temperature conditions leading to intermittent resorption. Yet, a final quartz overgrowth rim occurred over a much shorter timescale in the order of years (&lt;3 years). This implies, that crystal-rich mushes can be re-mobilized very fast, as fast as crystal-poor magmas. The use of in-situ methods with a high spatial resolution, like NanoSIMS, is critical to resolve very short magmatic timescales.</t>
  </si>
  <si>
    <t>[Seitz, Susanne; Putlitz, Benita; Baumgartner, Lukas; Meibom, Anders; Bouvier, Anne-Sophie] Univ Lausanne, Inst Earth Sci, Lausanne, Switzerland; [Meibom, Anders; Escrig, Stephane] Fed Sch Technol Lausanne, Lab Biol Geochem, Lausanne, Switzerland</t>
  </si>
  <si>
    <t>University of Lausanne</t>
  </si>
  <si>
    <t>Seitz, S; Putlitz, B (corresponding author), Univ Lausanne, Inst Earth Sci, Lausanne, Switzerland.</t>
  </si>
  <si>
    <t>susanne.seitz@unil.ch; benita.putlitz@unil.ch</t>
  </si>
  <si>
    <t>Baumgartner, Lukas P./0000-0003-2304-1772; Escrig, Stephane/0000-0002-7525-4000; Bouvier, Anne-Sophie/0000-0002-5202-603X; Meibom, Anders/0000-0002-4542-2819; Putlitz, Benita/0009-0006-0268-4372</t>
  </si>
  <si>
    <t>Swiss National Science Foundation [200020_172513, 200021_153094]; KIP 6; Swiss National Science Foundation (SNF) [200020_172513, 200021_153094] Funding Source: Swiss National Science Foundation (SNF)</t>
  </si>
  <si>
    <t>Swiss National Science Foundation(Swiss National Science Foundation (SNSF)); KIP 6; Swiss National Science Foundation (SNF)(Swiss National Science Foundation (SNSF))</t>
  </si>
  <si>
    <t>We thank the authorities of the Parque Nacional de los Glaciares (Argentina) for the permission to sample and the rangers in El Chalten for their support. A special thank you goes to A. Kosmal (El Chalten) for his hospitality, logistic support and geological insights. We also like to thank our field assistants N. Buchs and E. May for their help. We thank P. Vonlanthen for the introduction to the cathodoluminescence laboratory. We thank L. Caricchi and O. Muntener for discussions. We greatly acknowledge the constructive suggestions by T. Ubide and C. Deering, which have led to a significant improvement of the manuscript. We acknowledge funding by the Swiss National Science Foundation to BP and LB (200020_172513, 200021_153094) and KIP 6 funding for the Center for Advanced Surface Analysis (to LB and AM).</t>
  </si>
  <si>
    <t>10.3389/feart.2018.00095</t>
  </si>
  <si>
    <t>GQ5TZ</t>
  </si>
  <si>
    <t>WOS:000441756300001</t>
  </si>
  <si>
    <t>Blake, JA; Maciolek, NJ</t>
  </si>
  <si>
    <t>Blake, James A.; Maciolek, Nancy J.</t>
  </si>
  <si>
    <t>New species and records of Uncispionidae and Pygospiopsis (Polychaeta, Spionida) from deep water off the east and west coasts of North America, the Gulf of Mexico, the Antarctic Peninsula, and Southeast Asia</t>
  </si>
  <si>
    <t>Uncopherusa; Uncispio; Rhamphispio; Pygospiopsis; deep-sea; Annelida; Spionidae; new species; new genus; post-larvae</t>
  </si>
  <si>
    <t>NOV POLYCHAETA; SYSTEMATICS</t>
  </si>
  <si>
    <t>Five new species and one new genus of the obscure spioniform family Uncispionidae are described together with three new species of the rare and unusual spionid genus Pygospiopsis Blake, 1983. All species are from offshore habitats with most from deep-sea continental slope depths. Among the Uncispionidae are the second and third species of the genus Uncopherusa Fauchald &amp; Hancock, 1981, collected from off Brunei in the South China Sea and off Louisiana in the Gulf of Mexico; two new species of Uncispio Green, 1982, the third and fourth to be described, from deep water off the U.S. Atlantic coast and the Gulf of Mexico; and a new species of a new genus, Rhamphispio n. gen., from off the U.S. Atlantic coast. All species of Uncispionidae are compared and a key to the known species is presented. The genus Pygospiopsis Blake, 1983, is currently known for only two species: P. dubia (Monro, 1930) from Antarctic and sub-Antarctic waters and P. occipitalis Blake, 1996, from shelf depths off southern California. In the present study, new collections of the type-species P. dubia from the Antarctic Peninsula include post-larvae and juveniles as well as adults, thus permitting documentation of the development of some key adult morphology. Three new species of Pygospiopsis are described from deep water off the U.S. Atlantic and Pacific coasts and from the Antarctic Peninsula. A review of all species of Pygospiopsis suggests that, based on branchial distribution patterns, the closely related Pseudatherospio fauchaldi Lovell, 1994, should be referred to Pygospiopsis, bringing the total known species to six. All of these are compared and contrasted and the generic definition of Pygospiopsis updated. The status of Pygospiopsis within the Spionidae relative to the closely related genus Atherospio Mackie &amp; Duff, 1986, is discussed.</t>
  </si>
  <si>
    <t>[Blake, James A.; Maciolek, Nancy J.] Aquat Res &amp; Consulting, 24 Hitty Tom Rd, Diabury, MA 02332 USA</t>
  </si>
  <si>
    <t>Blake, JA (corresponding author), Aquat Res &amp; Consulting, 24 Hitty Tom Rd, Diabury, MA 02332 USA.</t>
  </si>
  <si>
    <t>U.S. Department of the Interior to Battelle Ocean Sciences [14-12-0001-30064]; U.S. EPA, Region IX, San Francisco, as part of EPA [68-C8-0062]; TESC B, Work Assignment to Science Applications International Corporation (SAIC) [3-61]; National Science Foundation (NSF) [OPP-98114383]; NSF [DEB-0118693]</t>
  </si>
  <si>
    <t>U.S. Department of the Interior to Battelle Ocean Sciences; U.S. EPA, Region IX, San Francisco, as part of EPA; TESC B, Work Assignment to Science Applications International Corporation (SAIC); National Science Foundation (NSF)(National Science Foundation (NSF)); NSF(National Science Foundation (NSF))</t>
  </si>
  <si>
    <t>Collection of the ACSAR material included in this study was made under Contract No. 14-12-0001-30064 from the U.S. Department of the Interior to Battelle Ocean Sciences (1983-1987). Field teams were led by the late Mr. George Hampson (WHOI, U.S. North Atlantic surveys), Ms. Rosemarie Petrecca (then of WHOI, U.S. Mid-Atlantic surveys), and the first author (then of Battelle, U.S. South Atlantic surveys). The survey off northern California (1992) was funded by U.S. EPA, Region IX, San Francisco, as part of EPA Contract No. 68-C8-0062, TESC B, Work Assignment 3-61 to Science Applications International Corporation (SAIC) and was led by the first author out of the former SAIC Office in Woods Hole, Massachusetts. Fieldwork in Antarctica at the Larsen Ice Shelf A (2000) was led by Dr. Eugene Domack, then of Hamilton College, under National Science Foundation (NSF) grant No. OPP-98114383. The field survey at the Matterhorn Platform off Louisiana (2008) was led by the first author as part of a contract to AECOM from TOTAL E&amp;P USA. Dr. Pamela L. Neubert (AECOM) led the field team in SE Asia (2011) as part of a contract to AECOM with Petronas. We thank the many lab technicians at Battelle, SAIC, ENSR, and AECOM who carefully sorted the benthic samples for our various projects.; We thank Ms. Susan Williams formerly of the Allan Hancock Foundation for arranging loans of the holotypes of Uncispio hartmanae and Uncopherusa bifida. Ms. Leslie Harris of the Los Angeles Museum of Natural History arranged for the loan of a paratype of Uncispio reesi. Ms. Emma Sherlock provided the syntypes of Pygospiopsis dubia during a short visit to the Natural History Museum (London) in 2007. Specimens of P. dubia from King George Island were kindly provided by Drs. Jacek Sicinski and Krzysztof Pabis, University of Lodz, Poland. Dr. Gunter Purschke, University of Osnabruck, Germany reviewed the Uncispionidae section at our request, and commented on our interpretation of the unusual oral morphology of these worms. Dr. Jason Williams of Hofstra University prepared the SEMs used in this study. Support for the SEMs and completion of various parts of this study were provided by NSF Grant No. DEB-0118693 (PEET) to Dr. James A. Blake, University of Massachusetts, Boston. We thank Ms. Karen Green and an anonymous reviewer for insightful comments that greatly improved the manuscript.</t>
  </si>
  <si>
    <t>10.11646/zootaxa.4450.2.1</t>
  </si>
  <si>
    <t>GQ0SU</t>
  </si>
  <si>
    <t>WOS:000441330300001</t>
  </si>
  <si>
    <t>Lynn, JS; Canfield, S; Conover, RR; Keene, J; Rudgers, JA</t>
  </si>
  <si>
    <t>Lynn, Joshua S.; Canfield, Samuel; Conover, Ross R.; Keene, Jeremy; Rudgers, Jennifer A.</t>
  </si>
  <si>
    <t>Pocket gopher (Thomomys talpoides) soil disturbance peaks at mid-elevation and is associated with air temperature, forb cover, and plant diversity</t>
  </si>
  <si>
    <t>Alpine; subalpine; climate change; Colorado Rocky Mountains; niche/distribution modeling</t>
  </si>
  <si>
    <t>COLORADO FRONT RANGE; CLIMATE-CHANGE; SPATIAL AUTOCORRELATION; FOSSORIAL HERBIVORE; NIWOT RIDGE; VEGETATION; COMMUNITY; RESPONSES; ABUNDANCE; DYNAMICS</t>
  </si>
  <si>
    <t>Burrowing mammals can be ecosystem engineers by increasing soil aeration and erosion and altering the structure of plant communities. Studies that characterize the constraints on the distributions of fossorial mammal disturbances to soil can help predict changes in ecosystem engineering under future climates. We quantified the density of soil disturbances caused by Thomomys talpoides (northern pocket gopher) over replicate elevation gradients spanning 2,700-4,000 m a.s.l. in the Upper Gunnison Basin, Colorado, USA. As a conceptual framework for predicting biogeographic variation in soil disturbance, we used the abundant center hypothesis (ACH), which proposes that species abundance declines monotonically away from the most abundant location in its distribution, with the assumption that ecosystem engineering scales with gopher abundance. We also evaluated the relative importance of abiotic and biotic variables as correlates of soil disturbance. Gopher disturbance peaked at mid elevations (similar to 3,150 m), supporting the ACH. The best model for predicting gopher-caused soil disturbance contained both abiotic and biotic variables, with increased soil disturbance where mean annual temperature, forb cover, and plant diversity were greatest. Results suggest that mountain ecosystems may experience increases in gopher-caused soil disturbance as climate warms, possibly accompanied by increases in plant diversity and forb cover.</t>
  </si>
  <si>
    <t>[Lynn, Joshua S.; Canfield, Samuel; Conover, Ross R.; Rudgers, Jennifer A.] Rocky Mt Biol Labs, Crested Butte, CO 81224 USA; [Lynn, Joshua S.; Rudgers, Jennifer A.] Univ New Mexico, Dept Biol, Albuquerque, NM 87131 USA; [Canfield, Samuel; Keene, Jeremy] Glenville State Coll, Dept Sci &amp; Math, Glenville, WV USA; [Conover, Ross R.] Paul Smiths Coll, Dept Nat Sci, New York, NY USA</t>
  </si>
  <si>
    <t>Lynn, JS (corresponding author), Rocky Mt Biol Labs, Crested Butte, CO 81224 USA.;Lynn, JS (corresponding author), Univ New Mexico, Dept Biol, Albuquerque, NM 87131 USA.</t>
  </si>
  <si>
    <t>jslynn@unm.edu</t>
  </si>
  <si>
    <t>Keene, Jeremy/GZK-6653-2022; Conover, Ross/IYJ-5457-2023</t>
  </si>
  <si>
    <t>Lynn, Joshua/0000-0002-7190-7991</t>
  </si>
  <si>
    <t>National Science Foundation [DEB-1354972]; UNM's Biology Department Springfield Scholarship; NSF [DBI-0420910, DBI-0821369]</t>
  </si>
  <si>
    <t>National Science Foundation(National Science Foundation (NSF)); UNM's Biology Department Springfield Scholarship; NSF(National Science Foundation (NSF))</t>
  </si>
  <si>
    <t>This research was supported by the National Science Foundation DEB-1354972 awarded to JAR. Work was additionally supported by UNM's Biology Department Springfield Scholarship awarded to JSL. RMBL GIS equipment and weather station infrastructure was supported by NSF DBI-0420910 and DBI-0821369, respectively.</t>
  </si>
  <si>
    <t>e1487659</t>
  </si>
  <si>
    <t>10.1080/15230430.2018.1487659</t>
  </si>
  <si>
    <t>GO7SN</t>
  </si>
  <si>
    <t>WOS:000440274700001</t>
  </si>
  <si>
    <t>Charbonneau, AA; Smith, DJ</t>
  </si>
  <si>
    <t>Charbonneau, Ansley A.; Smith, Dan J.</t>
  </si>
  <si>
    <t>An inventory of rock glaciers in the central British Columbia Coast Mountains, Canada, from high resolution Google Earth imagery</t>
  </si>
  <si>
    <t>Rock glacier; British Columbia Coast Mountains; periglacial; permafrost; tree rings</t>
  </si>
  <si>
    <t>BANFF-NATIONAL-PARK; TREE-RINGS; CLIMATIC SIGNIFICANCE; REGIONAL INVENTORY; PERMAFROST CREEP; WADDINGTON AREA; STUBAI ALPS; ICE; MOVEMENT; SYSTEM</t>
  </si>
  <si>
    <t>Little is known about the presence, distribution, age, or activity of rock glaciers in the British Columbia Coast Mountains of western Canada. Reflecting debris accumulation and mass wasting under a periglacial climate, these rock glaciers describe a geomorphic response to permafrost regimes that may or may not presently exist. An inventory of rock glacier landforms in the eastern front ranges of the Coast Mountains, using high-resolution Google Earth imagery, documented 165 rock glaciers between lat. 50 degrees 10' and 52 degrees 08' N. The majority of these rock glaciers occur at sites positioned between 1,900 and 2,300 m above sea level, where rain shadow effects and continental air masses result in persistent dry, cold conditions. Morphology and field observation suggest that these features contain intact ice. The rock glaciers occupy predominately northwest-to northeast-facing slopes, with talus-derived rock glaciers largely restricted to north-facing slopes. Glacier-derived features outnumber talus-derived features by a ratio of 5:1. Several of the inventoried rock glaciers were located up valley from presumed Younger Dryas terminal moraines, indicating that they formed after 9390 BP. Dendrogeomorphological investigations at one rock glacier record contemporary activity that resulted in 1.3 cm/yr of frontal advance since AD 1674. This inventory is the first to document the presence of rock glaciers in the Coast Mountains and supports preliminary understandings of permafrost distribution in the southwestern Canadian Cordillera.</t>
  </si>
  <si>
    <t>[Charbonneau, Ansley A.; Smith, Dan J.] Univ Victoria, Dept Geog, Victoria, BC, Canada</t>
  </si>
  <si>
    <t>University of Victoria</t>
  </si>
  <si>
    <t>Smith, DJ (corresponding author), Univ Victoria, Dept Geog, Victoria, BC, Canada.</t>
  </si>
  <si>
    <t>smith@uvic.ca</t>
  </si>
  <si>
    <t>Natural Sciences and Engineering Research Council of Canada (NSERC)</t>
  </si>
  <si>
    <t>Natural Sciences and Engineering Research Council of Canada (NSERC)(Natural Sciences and Engineering Research Council of Canada (NSERC))</t>
  </si>
  <si>
    <t>Research funding was provided by a Natural Sciences and Engineering Research Council of Canada (NSERC) Discovery Grant to Smith. We thank Oyvind Paasche and an anonymous reviewer for their thoughtful insights and suggestions for improvement on an earlier version of the manuscript. Special thanks are offered to Bryan Mood and Vikki St-Hilaire for their assistance in the field.</t>
  </si>
  <si>
    <t>UNSP e1489026</t>
  </si>
  <si>
    <t>10.1080/15230430.2018.1489026</t>
  </si>
  <si>
    <t>GO7SQ</t>
  </si>
  <si>
    <t>WOS:000440275100001</t>
  </si>
  <si>
    <t>Griffith, DJ; Bone, EL; Thomalla, SJ; Bernard, S</t>
  </si>
  <si>
    <t>Griffith, Derek J.; Bone, Emma L.; Thomalla, Sandy J.; Bernard, Stewart</t>
  </si>
  <si>
    <t>Calibration of an in-water multi-excitation fluorometer for the measurement of phytoplankton chlorophyll-a fluorescence quantum yield</t>
  </si>
  <si>
    <t>OPTICS EXPRESS</t>
  </si>
  <si>
    <t>ABSORPTION-COEFFICIENTS; NATURAL PHYTOPLANKTON; SPECTRAL ABSORPTION; LIGHT-ABSORPTION; SITU; POPULATIONS; IRRADIANCE; OCEAN; MODEL; VIVO</t>
  </si>
  <si>
    <t>A multi-excitation fluorometer (MFL, JFE Advantech Co., Ltd.), originally designed to discriminate between phytoplankton species present within a population, has been redirected for use in fluorescence quantum yield (FQY) determination. While this calibration for apparent FQY requires no modification of the MFL, it is necessary to have an independent measurement of the spectral absorption coefficient of the subject fluid. Two different approaches to calibration were implemented. The primary method made use of reference fluorescent dye solutions of known quantum yield. The second method made use of acrylic fluorescent plaques and films. The two methods yielded consistent results, except in the 570 and 590 nm LED channels of the MFL. Application of the MFL in FQY determination is illustrated with an in situ Southern Ocean sample. (C) 2018 Optical Society of America under the terms of the OSA Open Access Publishing Agreement</t>
  </si>
  <si>
    <t>[Griffith, Derek J.] CSIR, DPSS, OSS, POB 395, ZA-0001 Pretoria, South Africa; [Bone, Emma L.; Thomalla, Sandy J.; Bernard, Stewart] Univ Cape Town, Dept Oceanog, Marine Res Inst, ZA-7700 Rondebosch, South Africa; [Bone, Emma L.] Univ Cape Town, Marine Res Inst, Nansen Tutu Ctr Marine Environm Res, Rondebosch, South Africa; [Thomalla, Sandy J.; Bernard, Stewart] CSIR, Nat Resources &amp; Environm, Southern Ocean Carbon &amp; Climate Observ, ZA-7700 Rondebosch, South Africa; [Bone, Emma L.; Bernard, Stewart] CSIR, Nat Resources &amp; Environm, Earth Observat, ZA-7700 Rondebosch, South Africa</t>
  </si>
  <si>
    <t>Council for Scientific &amp; Industrial Research (CSIR) - South Africa; University of Cape Town; University of Cape Town; Council for Scientific &amp; Industrial Research (CSIR) - South Africa; Council for Scientific &amp; Industrial Research (CSIR) - South Africa</t>
  </si>
  <si>
    <t>Griffith, DJ (corresponding author), CSIR, DPSS, OSS, POB 395, ZA-0001 Pretoria, South Africa.</t>
  </si>
  <si>
    <t>dgriffith@csir.co.za</t>
  </si>
  <si>
    <t>Thomalla, Sandy/AAS-4133-2021; Griffith, Derek/H-5693-2014</t>
  </si>
  <si>
    <t>Bernard, Stewart/0000-0001-6537-3682; Griffith, Derek/0000-0003-4498-9212</t>
  </si>
  <si>
    <t>Council for Scientific and Industrial Research (CSIR) [SNA2011112600001]; Applied Centre for Climate and Earth Systems Science (ACCESS) National Research Foundation (NRF) grant [69461]; South African National Antarctic Program (SANAP) NRF grant [SNA14073184298]; University of Cape Town's Marine Research Institute (Ma-Re); Nansen-Tutu Centre for Marine Environmental Research, Ma-Re</t>
  </si>
  <si>
    <t>Council for Scientific and Industrial Research (CSIR)(Council of Scientific &amp; Industrial Research (CSIR) - India); Applied Centre for Climate and Earth Systems Science (ACCESS) National Research Foundation (NRF) grant; South African National Antarctic Program (SANAP) NRF grant; University of Cape Town's Marine Research Institute (Ma-Re); Nansen-Tutu Centre for Marine Environmental Research, Ma-Re</t>
  </si>
  <si>
    <t>Council for Scientific and Industrial Research (CSIR) Parliamentary grant (SNA2011112600001); Applied Centre for Climate and Earth Systems Science (ACCESS) National Research Foundation (NRF) grant (69461); South African National Antarctic Program (SANAP) NRF grant (SNA14073184298); University of Cape Town's Marine Research Institute (Ma-Re); Nansen-Tutu Centre for Marine Environmental Research, Ma-Re.</t>
  </si>
  <si>
    <t>OPTICAL SOC AMER</t>
  </si>
  <si>
    <t>2010 MASSACHUSETTS AVE NW, WASHINGTON, DC 20036 USA</t>
  </si>
  <si>
    <t>1094-4087</t>
  </si>
  <si>
    <t>OPT EXPRESS</t>
  </si>
  <si>
    <t>Opt. Express</t>
  </si>
  <si>
    <t>JUL 23</t>
  </si>
  <si>
    <t>10.1364/OE.26.018863</t>
  </si>
  <si>
    <t>GN9AW</t>
  </si>
  <si>
    <t>WOS:000439472400006</t>
  </si>
  <si>
    <t>Cho, SM; Lee, H; Jo, H; Lee, H; Kang, Y; Park, H; Lee, J</t>
  </si>
  <si>
    <t>Cho, Sung Mi; Lee, Hyoungseok; Jo, Hojin; Lee, Horim; Kang, Yoonjee; Park, Hyun; Lee, Jungeun</t>
  </si>
  <si>
    <t>Comparative transcriptome analysis of field- and chamber-grown samples of Colobanthus quitensis (Kunth) Bartl, an Antarctic flowering plant</t>
  </si>
  <si>
    <t>CYCLIC ELECTRON FLOW; COLD-ACCLIMATION; VASCULAR PLANTS; DESCHAMPSIA-ANTARCTICA; REACTIVE OXYGEN; 2 ECOTYPES; STRESS; LEAF; GENES; TOLERANCE</t>
  </si>
  <si>
    <t>Colobanthus quitensis is one of the two vascular plants inhabiting the Antarctic. In natural habitats, it grows in the form of a cushion or mats, commonly observed in high latitudes or alpine vegetation. Although this species has been investigated over many years to study its geographical distribution and physiological adaptations to climate change, very limited genetic information is available. The high-throughput sequencing with a de novo assembly analysis yielded 47,070 contigs with blast-hits. Through the functional classification and enrichment analysis, we identified that photosynthesis and phenylpropanoid pathway genes show differential expression depending on the habitat environment. We found that the known 'plant core environmental stress response (PCESR)' genes were abundantly expressed in Antarctic samples, and confirmed that their expression is mainly induced by low-temperature. In addition, we suggest that differential expression of thermomorphogenesis-related genes may contribute to phenotypic plasticity of the plant, for instance, displaying a cushion-like phenotype to adapt to harsh environments.</t>
  </si>
  <si>
    <t>[Cho, Sung Mi; Lee, Hyoungseok; Jo, Hojin; Kang, Yoonjee; Park, Hyun; Lee, Jungeun] KIOST, Korea Polar Res Inst, Unit Polar Genom, Incheon 21990, South Korea; [Lee, Hyoungseok; Jo, Hojin; Park, Hyun; Lee, Jungeun] Univ Sci &amp; Technol, Polar Sci, Incheon 21990, South Korea; [Lee, Horim] Duksung Womens Univ, Dept Biotechnol, Seoul 01369, South Korea</t>
  </si>
  <si>
    <t>Korea Polar Research Institute (KOPRI); Korea Institute of Ocean Science &amp; Technology (KIOST); Duksung Women's University</t>
  </si>
  <si>
    <t>Lee, J (corresponding author), KIOST, Korea Polar Res Inst, Unit Polar Genom, Incheon 21990, South Korea.;Lee, J (corresponding author), Univ Sci &amp; Technol, Polar Sci, Incheon 21990, South Korea.</t>
  </si>
  <si>
    <t>jelee@kopri.re.kr</t>
  </si>
  <si>
    <t>Cho, Sung Mi/0000-0001-5414-7727; Lee, Hyoungseok/0000-0002-5831-6345; Park, Hyun/0000-0002-8055-2010</t>
  </si>
  <si>
    <t>'Polar Genome 101 Project' grant - Korea Polar Research Institute (KOPRI) [PE18080]</t>
  </si>
  <si>
    <t>'Polar Genome 101 Project' grant - Korea Polar Research Institute (KOPRI)(Korea Polar Research Institute of Marine Research Placement (KOPRI))</t>
  </si>
  <si>
    <t>This work was supported by 'Polar Genome 101 Project' grant (PE18080) funded by the Korea Polar Research Institute (KOPRI).</t>
  </si>
  <si>
    <t>10.1038/s41598-018-29335-4</t>
  </si>
  <si>
    <t>GN8NP</t>
  </si>
  <si>
    <t>WOS:000439421600017</t>
  </si>
  <si>
    <t>Pandel, A; Rawat, N; Sivakumar, K; Sathyakumar, S; Mathur, VB; Mondol, S</t>
  </si>
  <si>
    <t>Pandel, Anant; Rawat, Nidhi; Sivakumar, Kuppusamy; Sathyakumar, Sambandam; Mathur, Vinod B.; Mondol, Samrat</t>
  </si>
  <si>
    <t>Cross-species screening of microsatellite markers for individual identification of snow petrel Pagodroma nivea and Wilson's storm petrel Oceanites oceanicus in Antarctica</t>
  </si>
  <si>
    <t>Antarctic seabirds; Genetic monitoring; Procellariiformes; Genetic diversity</t>
  </si>
  <si>
    <t>SEABIRDS; GENETICS; AMPLIFICATION; POPULATIONS; EVOLUTION; ECOLOGY; BIRDS; RATES; SIZE</t>
  </si>
  <si>
    <t>Seabirds are important indicators of marine ecosystem health. Species within the order Procellariiformes are the most abundant seabird species group distributed from warm tropical to cold temperate regions including Antarctica. There is a paucity of information on basic biology of the pelagic seabird species nesting on the Antarctic continents, and long-term studies are required to gather data on their population demography, genetics and other ecological parameters. Under the 'Biology and Environmental Sciences' component of the Indian Antarctic programme, long-term monitoring of Antarctic biodiversity is being conducted. In this paper, we describe results of cross-species screening of a panel of 12 and 10 microsatellite markers in two relatively little studied seabird species in Antarctica, the snow petrel Pagodroma nivea and the Wilson's storm petrel Oceanites oceanicus, respectively. These loci showed high amplification success and moderate levels of polymorphism in snow petrel (mean no. of alleles 7.08 +/- 3.01 and mean observed heterozygosity 0.35 +/- 0.23), but low polymorphism in Wilson's storm petrel (mean no. of alleles 3.9 +/- 1.3 and mean observed heterozygosity 0.28 +/- 0.18). The results demonstrate that these panels can unambiguously identify individuals of both species (cumulative PID (sibs )for snow petrel is 3.7 x 10(-03) and Wilson's storm petrel is 1.9 x 10(-02)) from field-collected samples. This work forms a baseline for undertaking long-term genetic research of these Antarctic seabird species and provides critical insights into their population genetics.</t>
  </si>
  <si>
    <t>[Pandel, Anant; Sivakumar, Kuppusamy; Sathyakumar, Sambandam] Wildlife Inst India, Endangered Species Management, Dehra Dun, Uttar Pradesh, India; [Rawat, Nidhi; Mondol, Samrat] Wildlife Inst India, Anim Ecol &amp; Conservat Biol, Dehra Dun, Uttar Pradesh, India; [Mathur, Vinod B.] Wildlife Inst India, Dehra Dun, Uttar Pradesh, India</t>
  </si>
  <si>
    <t>Wildlife Institute of India; Wildlife Institute of India; Wildlife Institute of India</t>
  </si>
  <si>
    <t>Mondol, S (corresponding author), Wildlife Inst India, Anim Ecol &amp; Conservat Biol, Dehra Dun, Uttar Pradesh, India.</t>
  </si>
  <si>
    <t>samrat@wii.gov.in</t>
  </si>
  <si>
    <t>Mondol, Samrat/JXN-4527-2024</t>
  </si>
  <si>
    <t>Pande, Anant/0000-0002-2835-1481; Mondol, Samrat/0000-0003-3034-9396; Kuppusamy, Sivakumar/0000-0002-6938-7480</t>
  </si>
  <si>
    <t>Wildlife Institute of India; DST-Inspire Faculty Award [IFA12-LSBM-47]</t>
  </si>
  <si>
    <t>Wildlife Institute of India; DST-Inspire Faculty Award</t>
  </si>
  <si>
    <t>The Wildlife Institute of India and DST-Inspire Faculty Award to Samrat Mondol (Grant no: IFA12-LSBM-47) provided financial support for this study. The funders had no role in study design, data collection and analysis, decision to publish, or preparation of the manuscript.</t>
  </si>
  <si>
    <t>JUL 20</t>
  </si>
  <si>
    <t>e5243</t>
  </si>
  <si>
    <t>10.7717/peerj.5243</t>
  </si>
  <si>
    <t>GO0TF</t>
  </si>
  <si>
    <t>WOS:000439652200006</t>
  </si>
  <si>
    <t>Hodgson, DA; Hogan, K; Smiths, JM; Smith, JA; Hillenbrand, CD; Graham, AGC; Fretwell, P; Allen, C; Pecks, V; Arndt, JE; Dorschel, B; Hübscher, C; Smith, AM; Larter, R</t>
  </si>
  <si>
    <t>Hodgson, Dominic A.; Hogan, Kelly; Smiths, James M.; Smith, James A.; Hillenbrand, Claus-Dieter; Graham, Alastair G. C.; Fretwell, Peter; Allen, Claire; Pecks, Vicky; Arndt, Jan-Erik; Dorschel, Boris; Huebscher, Christian; Smith, Andrew M.; Larter, Robert</t>
  </si>
  <si>
    <t>Deglaciation and future stability of the Coats Land ice margin, Antarctica</t>
  </si>
  <si>
    <t>WEDDELL SEA EMBAYMENT; LAST GLACIAL MAXIMUM; GROUNDING-LINE; FILCHNER TROUGH; WEST ANTARCTICA; EAST ANTARCTICA; EXPOSURE AGES; SHEET; STREAM; FLOW</t>
  </si>
  <si>
    <t>The East Antarctic Ice Sheet discharges into the Weddell Sea via the Coats Land ice margin. We have used geophysical data to determine the changing ice-sheet configuration in this region through its last glacial advance and Holocene retreat and to identify constraints on its future stability. Methods included high-resolution multibeam bathymetry, sub-bottom profiles, seismic-reflection profiles, sediment core analysis and satellite altimetry. These provide evidence that Coats Land glaciers and ice streams merged with the palaeo-Filchner Ice Stream during the last glacial advance. Retreat of this ice stream from 12 848 to 8351 cal. yr BP resulted in its progressive southwards decoupling from Coats Land outlet glaciers. Moraines and grounding-zone wedges document the subsequent retreat and thinning of these glaciers, their loss of contact with the bed and the formation of ice shelves, which re-advanced to pinning points on topographic highs at the distal end of the troughs. Once fully detached from the bed, these ice shelves were predisposed to rapid retreat back to coastal grounding lines. This was due to reverse-bed slopes, the consequent absence of further pinning points in the troughs and potentially to the loss of structural integrity resulting from weaknesses inherited at the grounding line. These processes explain why there are no large ice shelves in the eastern Weddell Sea between 75.5 and 77 degrees S.</t>
  </si>
  <si>
    <t>[Hodgson, Dominic A.; Hogan, Kelly; Smiths, James M.; Smith, James A.; Hillenbrand, Claus-Dieter; Fretwell, Peter; Allen, Claire; Pecks, Vicky; Smith, Andrew M.; Larter, Robert] British Antarctic Survey, Madingley Rd, Cambridge CB3 0ET, England; [Hodgson, Dominic A.] Univ Durham, Dept Geog, Durham DH1 3LE, England; [Graham, Alastair G. C.] Univ Exeter, Dept Geog, Exeter EX4 4RJ, Devon, England; [Arndt, Jan-Erik; Dorschel, Boris] Alfred Wegener Inst, Van Ronzelen Str 2, D-27568 Bremerhaven, Germany; [Huebscher, Christian] Univ Hamburg, Inst Geophys, Bundesstr 55, D-20146 Hamburg, Germany</t>
  </si>
  <si>
    <t>UK Research &amp; Innovation (UKRI); Natural Environment Research Council (NERC); NERC British Antarctic Survey; Durham University; University of Exeter; Helmholtz Association; Alfred Wegener Institute, Helmholtz Centre for Polar &amp; Marine Research; University of Hamburg</t>
  </si>
  <si>
    <t>Hodgson, DA (corresponding author), British Antarctic Survey, Madingley Rd, Cambridge CB3 0ET, England.;Hodgson, DA (corresponding author), Univ Durham, Dept Geog, Durham DH1 3LE, England.</t>
  </si>
  <si>
    <t>daho@bas.ac.uk</t>
  </si>
  <si>
    <t>Huebscher, Christian/Q-4563-2019</t>
  </si>
  <si>
    <t>Huebscher, Christian/0000-0001-7380-2344; Arndt, Jan Erik/0000-0002-9413-1612</t>
  </si>
  <si>
    <t>Deutsche Forschungsgemeinschaft (DFG, German Research Foundation) [AR 1087/1-1]; NERC grant [NE/K003674/1]; NERC [bosc01001, bas010011, NE/S00954X/1, bas0100034, bas0100030, NE/K003674/1] Funding Source: UKRI</t>
  </si>
  <si>
    <t>Deutsche Forschungsgemeinschaft (DFG, German Research Foundation)(German Research Foundation (DFG)); NERC grant(UK Research &amp; Innovation (UKRI)Natural Environment Research Council (NERC)); NERC(UK Research &amp; Innovation (UKRI)Natural Environment Research Council (NERC))</t>
  </si>
  <si>
    <t>This study was supported by the captain, officers and ship's crew of RRS James Clark Ross cruise JR244 as well as other members of the shipboard scientific party, including Jenny A. Gales, Svein Osterhus, Mark O. Preston, Mark W. Robinson, Jeremy P. Robst, Marcel Ruhnau, Daniela Sprenk and Jonas Wagner. Jan-Erik Arndt was funded by the Deutsche Forschungsgemeinschaft (DFG, German Research Foundation) grant AR 1087/1-1. This research contributes to NERC grant NE/K003674/1 Reducing the uncertainty in estimates of the sea level contribution from the westernmost part of the East Antarctic Ice Sheet. The editor and reviewers are thanked for their constructive suggestions that improved the manuscript.</t>
  </si>
  <si>
    <t>10.5194/tc-12-2383-2018</t>
  </si>
  <si>
    <t>GN8DN</t>
  </si>
  <si>
    <t>WOS:000439386700002</t>
  </si>
  <si>
    <t>Salonen, JS; Helmens, KF; Brendryen, J; Kuosmanen, N; Väliranta, M; Goring, S; Korpela, M; Kylander, M; Philip, A; Plikk, A; Renssen, H; Luoto, M</t>
  </si>
  <si>
    <t>Salonen, J. Sakari; Helmens, Karin F.; Brendryen, Jo; Kuosmanen, Niina; Valiranta, Minna; Goring, Simon; Korpela, Mikko; Kylander, Malin; Philip, Annemarie; Plikk, Anna; Renssen, Hans; Luoto, Miska</t>
  </si>
  <si>
    <t>Abrupt high-latitude climate events and decoupled seasonal trends during the Eemian</t>
  </si>
  <si>
    <t>INTERGLACIAL-GLACIAL CYCLE; ICE-SHEET; CHRONOLOGY AICC2012; LAKE EVOLUTION; EARLY HOLOCENE; ANTARCTIC ICE; LAST; SOKLI; TEMPERATURE; RECORD</t>
  </si>
  <si>
    <t>The Eemian (the Last Interglacial; ca. 129-116 thousand years ago) presents a testbed for assessing environmental responses and climate feedbacks under warmer-than-present boundary conditions. However, climate syntheses for the Eemian remain hampered by lack of data from the high-latitude land areas, masking the climate response and feedbacks in the Arctic. Here we present a high-resolution (sub-centennial) record of Eemian palaeoclimate from northern Finland, with multi-model reconstructions for July and January air temperature. In contrast with the mid-latitudes of Europe, our data show decoupled seasonal trends with falling July and rising January temperatures over the Eemian, due to orbital and oceanic forcings. This leads to an oceanic Late-Eemian climate, consistent with an earlier hypothesis of glacial inception in Europe. The interglacial is further intersected by two strong cooling and drying events. These abrupt events parallel shifts in marine proxy data, linked to disturbances in the North Atlantic oceanic circulation regime.</t>
  </si>
  <si>
    <t>[Salonen, J. Sakari; Korpela, Mikko; Luoto, Miska] Univ Helsinki, Dept Geosci &amp; Geog, POB 64, FI-00014 Helsinki, Finland; [Helmens, Karin F.; Plikk, Anna] Stockholm Univ, Dept Phys Geog, S-10691 Stockholm, Sweden; [Helmens, Karin F.; Kylander, Malin; Plikk, Anna] Stockholm Univ, Bolin Ctr Climate Res, S-10691 Stockholm, Sweden; [Brendryen, Jo] Univ Bergen, Bjerknes Ctr Climate Res, Dept Earth Sci, POB 7803, N-5020 Bergen, Norway; [Brendryen, Jo] Univ Bergen, Jebsen Ctr Deep Sea Res, POB 7803, N-5020 Bergen, Norway; [Kuosmanen, Niina] Czech Univ Life Sci Prague, Fac Forestry &amp; Wood Sci, Dept Forest Ecol, Kamycka 129, Prague 16521 6, Czech Republic; [Valiranta, Minna] Univ Helsinki, ECRU, Ecosyst &amp; Environm Res Programme, POB 65, FI-00014 Helsinki, Finland; [Goring, Simon] Univ Wisconsin, Dept Geog, Madison 550 M Pk St, Madison, WI 53706 USA; [Kylander, Malin] Stockholm Univ, Dept Geol Sci, S-10691 Stockholm, Sweden; [Philip, Annemarie] Univ Amsterdam, Inst Biodivers &amp; Ecosyst Dynam, Ecosyst &amp; Landscape Dynam, POB 94216, NL-1090 GE Amsterdam, Netherlands; [Renssen, Hans] Univ Coll Southeast Norway, Dept Nat Sci &amp; Environm Hlth, N-3800 Bo I Telemark, Norway; [Renssen, Hans] Vrije Univ Amsterdam, Dept Earth Sci, NL-1081 HV Amsterdam, Netherlands</t>
  </si>
  <si>
    <t>University of Helsinki; Stockholm University; Stockholm University; University of Bergen; Bjerknes Centre for Climate Research; University of Bergen; Czech University of Life Sciences Prague; University of Helsinki; University of Wisconsin System; University of Wisconsin Madison; Stockholm University; University of Amsterdam; University College of Southeast Norway; Vrije Universiteit Amsterdam</t>
  </si>
  <si>
    <t>Salonen, JS (corresponding author), Univ Helsinki, Dept Geosci &amp; Geog, POB 64, FI-00014 Helsinki, Finland.</t>
  </si>
  <si>
    <t>sakari.salonen@helsinki.fi</t>
  </si>
  <si>
    <t>Luoto, Miska/E-6693-2014</t>
  </si>
  <si>
    <t>Goring, Simon/0000-0002-2700-4605; Luoto, Miska/0000-0001-6203-5143; Kylander, Malin/0000-0001-8787-5069; Salonen, Sakari/0000-0002-8847-9081</t>
  </si>
  <si>
    <t>Academy of Finland [1278692, 1310649]; Finnish Cultural Foundation; Swedish Nuclear Fuel and Waste Management Company (SKB); Bolin Centre for Climate Research at Stockholm University, Sweden; Research Council of Norway [221999]; Bergen Research Foundation through the project Earth System Interactions and Information Transfer</t>
  </si>
  <si>
    <t>Academy of Finland(Research Council of Finland); Finnish Cultural Foundation(Finnish Cultural FoundationFinnish IT center for science); Swedish Nuclear Fuel and Waste Management Company (SKB)(Swedish Nuclear Fuel &amp; Waste Management Company (SKB)); Bolin Centre for Climate Research at Stockholm University, Sweden; Research Council of Norway(Research Council of Norway); Bergen Research Foundation through the project Earth System Interactions and Information Transfer</t>
  </si>
  <si>
    <t>J.S.S. acknowledges funding from Academy of Finland (projects 1278692 and 1310649) and the Finnish Cultural Foundation, K.H. from the Swedish Nuclear Fuel and Waste Management Company (SKB) and the Bolin Centre for Climate Research at Stockholm University, Sweden, and J.B. from the Research Council of Norway through grant no. 221999 and from the Bergen Research Foundation through the project Earth System Interactions and Information Transfer. We thank Emilie Capron, Aline Govin, Michael Meyer, and Anastasia Zhuravleva for their help in acquiring data for this study, and N. Frank (Institute of Environmental Physics, Heidelberg, Germany) for the Korallgrottan stalagmite dating results.</t>
  </si>
  <si>
    <t>10.1038/s41467-018-05314-1</t>
  </si>
  <si>
    <t>GN7FU</t>
  </si>
  <si>
    <t>WOS:000439297100010</t>
  </si>
  <si>
    <t>Santer, BD; Po-Chedley, S; Zelinka, MD; Cvijanovic, I; Bonfils, C; Durack, PJ; Fu, Q; Kiehl, J; Mears, C; Painter, J; Pallotta, G; Solomon, S; Wentz, FJ; Zou, CZ</t>
  </si>
  <si>
    <t>Santer, Benjamin D.; Po-Chedley, Stephen; Zelinka, Mark D.; Cvijanovic, Ivana; Bonfils, Celine; Durack, Paul J.; Fu, Qiang; Kiehl, Jeffrey; Mears, Carl; Painter, Jeffrey; Pallotta, Giuliana; Solomon, Susan; Wentz, Frank J.; Zou, Cheng-Zhi</t>
  </si>
  <si>
    <t>Human influence on the seasonal cycle of tropospheric temperature</t>
  </si>
  <si>
    <t>MICROWAVE SOUNDING UNIT; ANTARCTIC OZONE HOLE; CLIMATE-CHANGE; GREENHOUSE-GAS; THERMAL STRUCTURE; PROJECTED CHANGES; SUMMER DRYNESS; TRENDS; MODEL; AEROSOL</t>
  </si>
  <si>
    <t>We provide scientific evidence that a human-caused signal in the seasonal cycle of tropospheric temperature has emerged from the background noise of natural variability. Satellite data and the anthropogenic fingerprint predicted by climate models show common large-scale changes in geographical patterns of seasonal cycle amplitude. These common features include increases in amplitude at mid-latitudes in both hemispheres, amplitude decreases at high latitudes in the Southern Hemisphere, and small changes in the tropics. Simple physical mechanisms explain these features. The model fingerprint of seasonal cycle changes is identifiable with high statistical confidence in five out of six satellite temperature datasets. Our results suggest that attribution studies with the changing seasonal cycle provide powerful evidence for a significant human effect on Earth's climate.</t>
  </si>
  <si>
    <t>[Santer, Benjamin D.; Po-Chedley, Stephen; Zelinka, Mark D.; Cvijanovic, Ivana; Bonfils, Celine; Durack, Paul J.; Painter, Jeffrey; Pallotta, Giuliana] Lawrence Livermore Natl Lab, PCMDI, Livermore, CA 94550 USA; [Fu, Qiang] Univ Washington, Dept Atmospher Sci, Seattle, WA 98195 USA; [Kiehl, Jeffrey] Univ Calif Santa Cruz, Earth &amp; Planetary Sci, Santa Cruz, CA 95064 USA; [Mears, Carl; Wentz, Frank J.] Remote Sensing Syst, Santa Rosa, CA 95401 USA; [Solomon, Susan] MIT, Earth Atmospher &amp; Planetary Sci, 77 Massachusetts Ave, Cambridge, MA 02139 USA; [Zou, Cheng-Zhi] NOAA NESDIS, Ctr Satellite Applicat &amp; Res, College Pk, MD 20740 USA</t>
  </si>
  <si>
    <t>United States Department of Energy (DOE); Lawrence Livermore National Laboratory; University of Washington; University of Washington Seattle; University of California System; University of California Santa Cruz; Massachusetts Institute of Technology (MIT); National Oceanic Atmospheric Admin (NOAA) - USA</t>
  </si>
  <si>
    <t>Santer, BD (corresponding author), Lawrence Livermore Natl Lab, PCMDI, Livermore, CA 94550 USA.</t>
  </si>
  <si>
    <t>santer1@llnl.gov</t>
  </si>
  <si>
    <t>Santer, Ben/ABA-1099-2021; Zelinka, Mark/C-4627-2011; Durack, Paul James/A-8758-2010; Bonfils, Celine/H-2356-2012; Santer, Benjamin D/F-9781-2011; Zou, Cheng-Zhi/E-3085-2010; Fu, Qiang/W-5836-2019; Po-Chedley, Stephen/O-3450-2019; Cvijanovic, Ivana/KBB-2963-2024; Po-Chedley, Stephen/E-9706-2013</t>
  </si>
  <si>
    <t>Zelinka, Mark/0000-0002-6570-5445; Durack, Paul James/0000-0003-2835-1438; Bonfils, Celine/0000-0002-4674-5708; Zou, Cheng-Zhi/0000-0003-4124-6448; Cvijanovic, Ivana/0000-0002-1738-7745; Santer, Benjamin/0000-0002-9717-460X; Po-Chedley, Stephen/0000-0002-0390-238X; Mears, Carl/0000-0002-6020-9354; Painter, Jeffrey/0000-0001-7920-4337; Pallotta, Giuliana/0000-0003-1028-6287</t>
  </si>
  <si>
    <t>U.S. Department of Energy [DE-AC52-07NA27344]; Early Career Research Program [SCW1295]; LLNL-LDRD Program [13-ERD-032]; Lee and Geraldine Martin Professorship at MIT; NASA [NNH12CF05C, NNX13AN49G]</t>
  </si>
  <si>
    <t>U.S. Department of Energy(United States Department of Energy (DOE)); Early Career Research Program; LLNL-LDRD Program; Lee and Geraldine Martin Professorship at MIT; NASA(National Aeronautics &amp; Space Administration (NASA))</t>
  </si>
  <si>
    <t>Work at LLNL was performed under the auspices of the U.S. Department of Energy under contract DE-AC52-07NA27344 through the Regional and Global Model Analysis Program (B.D.S., S.P.-C., M.D.Z., P.J.D., and J.P.) and the Early Career Research Program Award SCW1295 (I.C., C.B.). Additional support was provided by the LLNL-LDRD Program under project no. 13-ERD-032 (B.D.S., I.C., and C.B.); the Lee and Geraldine Martin Professorship at MIT (S.S.); NASA grant NNH12CF05C (F.J.W. and C.M.);and NASA grant NNX13AN49G (Q.F.).</t>
  </si>
  <si>
    <t>eaas8806</t>
  </si>
  <si>
    <t>10.1126/science.aas8806</t>
  </si>
  <si>
    <t>GN5YR</t>
  </si>
  <si>
    <t>WOS:000439145800034</t>
  </si>
  <si>
    <t>Wu, CJ; Usoskin, IG; Krivova, N; Kovaltsov, GA; Baroni, M; Bard, E; Solanki, SK</t>
  </si>
  <si>
    <t>Wu, C. J.; Usoskin, I. G.; Krivova, N.; Kovaltsov, G. A.; Baroni, M.; Bard, E.; Solanki, S. K.</t>
  </si>
  <si>
    <t>Solar activity over nine millennia: A consistent multi-proxy reconstruction</t>
  </si>
  <si>
    <t>ASTRONOMY &amp; ASTROPHYSICS</t>
  </si>
  <si>
    <t>Sun: activity; solar-terrestrial relations; sunspots</t>
  </si>
  <si>
    <t>GREENLAND ICE-CORE; COSMIC-RAY MODULATION; MAUNDER MINIMUM; COSMOGENIC ISOTOPES; CHRONOLOGY AICC2012; ATMOSPHERIC C-14; ANTARCTIC ICE; GRAND MINIMA; POLAR ICE; BE-10</t>
  </si>
  <si>
    <t>Aims. The solar activity in the past millennia can only be reconstructed from cosmogenic radionuclide proxy records in terrestrial archives. However, because of the diversity of the proxy archives, it is difficult to build a homogeneous reconstruction. All previous studies were based on individual, sometimes statistically averaged, proxy datasets. Here we aim to provide a new consistent multi-proxy reconstruction of the solar activity over the last 9000 yr, using all available long-span datasets of Be-10 and C-14 in terrestrial archives. Methods. A new method, based on a Bayesian approach, was applied for the first time to solar activity reconstruction. A Monte Carlo search (using the chi(2) statistic) for the most probable value of the modulation potential was performed to match data from different datasets for a given time. This provides a straightforward estimate of the related uncertainties. We used six Be-10 series of different lengths (from 500-10 000 yr) from Greenland and Antarctica, and the global C-14 production series. The Be-10 series were resampled to match wiggles related to the grand minima in the C-14 reference dataset. The stability of the long data series was tested. Results. The Greenland Ice-core Project (GRIP) and the Antarctic EDML (EPICA Dronning Maud Land) Be-10 series diverge from each other during the second half of the Holocene, while the C-14 series lies in between them. A likely reason for the discrepancy is the insufficiently precise beryllium transport and deposition model for Greenland, which leads to an undercorrection of the GRIP series for the geomagnetic shielding effect. A slow 6-7 millennia variability with lows at ca. 5500 BC and 1500 AD in the long-term evolution of solar activity is found. Two components of solar activity can be statistically distinguished: the main component, corresponding to the normal moderate level, and a component corresponding to grand minima A possible existence of a component representing grand maxima is indicated, but it cannot be separated from the main component in a statistically significant manner. Conclusions. A new consistent reconstruction of solar activity over the last nine millennia is presented with the most probable values of decadal sunspot numbers and their realistic uncertainties. Independent components of solar activity corresponding to the main moderate activity and the grand-minimum state are identified; they may be related to different operation modes of the dynamo.</t>
  </si>
  <si>
    <t>[Wu, C. J.; Krivova, N.; Solanki, S. K.] Max Planck Inst Sonnensyst Forsch, Gottingen, Germany; [Usoskin, I. G.] Univ Oulu, Space Climate Res Unit, Oulu, Finland; [Usoskin, I. G.] Univ Oulu, Sodankyla Geophys Observ, Oulu, Finland; [Kovaltsov, G. A.] Ioffe Phys Tech Inst, St Petersburg 194021, Russia; [Baroni, M.; Bard, E.] Aix Marseille Univ, Coll France, CEREGE, CNRS,NRD,INRA, Technopole Arbois, Aix En Provence, France; [Solanki, S. K.] Kyung Hee Univ, Sch Space Res, Yongin 446701, Gyeonggi, South Korea</t>
  </si>
  <si>
    <t>University of Oulu; University of Oulu; Russian Academy of Sciences; St. Petersburg Scientific Centre of the Russian Academy of Sciences; Ioffe Physical Technical Institute; INRAE; Aix-Marseille Universite; Centre National de la Recherche Scientifique (CNRS); Universite PSL; College de France; Kyung Hee University</t>
  </si>
  <si>
    <t>Usoskin, IG (corresponding author), Univ Oulu, Space Climate Res Unit, Oulu, Finland.;Usoskin, IG (corresponding author), Univ Oulu, Sodankyla Geophys Observ, Oulu, Finland.</t>
  </si>
  <si>
    <t>Ilya.Usoskin@oulu.fi</t>
  </si>
  <si>
    <t>Kovaltsov, Gennady A/F-5191-2014; Krivova, Natalie/ADU-1247-2022; Solanki, Sami K/E-2487-2013; Usoskin, Ilya/E-5089-2014</t>
  </si>
  <si>
    <t>Krivova, Natalie/0000-0002-1377-3067; Solanki, Sami K/0000-0002-3418-8449; Usoskin, Ilya/0000-0001-8227-9081</t>
  </si>
  <si>
    <t>Academy of Finland [272157]; International Max Planck Research School for Solar System Science; BK21 plus program through the National Research Foundation (NRF) - Ministry of Education of Korea; Academy of Finland (AKA) [272157] Funding Source: Academy of Finland (AKA)</t>
  </si>
  <si>
    <t>Academy of Finland(Research Council of Finland); International Max Planck Research School for Solar System Science; BK21 plus program through the National Research Foundation (NRF) - Ministry of Education of Korea(Ministry of Education (MOE), Republic of KoreaNational Research Foundation of Korea); Academy of Finland (AKA)(Research Council of Finland)</t>
  </si>
  <si>
    <t>We acknowledge Mads Knudsen for consultations on the GRIP series in GICC05 timescale and Raimund Muscheler for discussions about the ice core chronologies. Support by the Academy of Finland to the ReSoLVE Center of Excellence (project no. 272157) is acknowledged. C.J.W. acknowledges postgraduate fellowship of the International Max Planck Research School for Solar System Science. This work has been partly supported by the BK21 plus program through the National Research Foundation (NRF) funded by the Ministry of Education of Korea.</t>
  </si>
  <si>
    <t>EDP SCIENCES S A</t>
  </si>
  <si>
    <t>LES ULIS CEDEX A</t>
  </si>
  <si>
    <t>17, AVE DU HOGGAR, PA COURTABOEUF, BP 112, F-91944 LES ULIS CEDEX A, FRANCE</t>
  </si>
  <si>
    <t>0004-6361</t>
  </si>
  <si>
    <t>1432-0746</t>
  </si>
  <si>
    <t>ASTRON ASTROPHYS</t>
  </si>
  <si>
    <t>Astron. Astrophys.</t>
  </si>
  <si>
    <t>JUL 19</t>
  </si>
  <si>
    <t>A93</t>
  </si>
  <si>
    <t>10.1051/0004-6361/201731892</t>
  </si>
  <si>
    <t>GN9MW</t>
  </si>
  <si>
    <t>WOS:000439526600002</t>
  </si>
  <si>
    <t>Schannwell, C; Cornford, S; Pollard, D; Barrand, NE</t>
  </si>
  <si>
    <t>Schannwell, Clemens; Cornford, Stephen; Pollard, David; Barrand, Nicholas E.</t>
  </si>
  <si>
    <t>Dynamic response of Antarctic Peninsula Ice Sheet to potential collapse of Larsen C and George VI ice shelves</t>
  </si>
  <si>
    <t>SEA-LEVEL RISE; STABILITY; SURFACE; GLACIERS; CLIMATE; MODEL; FLOW; RESOLUTION; TIDEWATER; SCENARIOS</t>
  </si>
  <si>
    <t>Ice shelf break-up and disintegration events over the past 5 decades have led to speed-up, thinning, and retreat of upstream tributary glaciers and increases to rates of global sea-level rise. The southward progression of these episodes indicates a climatic cause and in turn suggests that the larger Larsen C and George VI ice shelves may undergo a similar collapse in the future. However, the extent to which removal of the Larsen C and George VI ice shelves will affect upstream tributary glaciers and add to global sea levels is unknown. Here we apply numerical ice-sheet models of varying complexity to show that the centennial sea-level commitment of Larsen C embayment glaciers following immediate shelf collapse is low (&lt; 2.5 mm to 2100, &lt; 4.2 mm to 2300). Despite its large size, Larsen C does not provide strong buttressing forces to upstream basins and its collapse does not result in large additional discharge from its tributary glaciers in any of our model scenarios. In contrast, the response of inland glaciers to a collapse of the George VI Ice Shelf may add up to 8 mm to global sea levels by 2100 and 22 mm by 2300 due in part to the mechanism of marine ice sheet instability. Our results demonstrate the varying and relative importance to sea level of the large Antarctic Peninsula ice shelves considered to present a risk of collapse.</t>
  </si>
  <si>
    <t>[Schannwell, Clemens; Barrand, Nicholas E.] Univ Birmingham, Sch Geog Earth &amp; Environm Sci, Birmingham, W Midlands, England; [Schannwell, Clemens] British Antarctic Survey, Nat Environm Res Council, Cambridge, England; [Cornford, Stephen] Univ Bristol, Sch Geog Sci, Ctr Polar Observat &amp; Modelling, Bristol, Avon, England; [Pollard, David] Penn State Univ, Earth &amp; Environm Syst Inst, University Pk, PA 16802 USA</t>
  </si>
  <si>
    <t>University of Birmingham; UK Research &amp; Innovation (UKRI); Natural Environment Research Council (NERC); NERC British Antarctic Survey; University of Bristol; Pennsylvania Commonwealth System of Higher Education (PCSHE); Pennsylvania State University; Pennsylvania State University - University Park</t>
  </si>
  <si>
    <t>Schannwell, C (corresponding author), Univ Birmingham, Sch Geog Earth &amp; Environm Sci, Birmingham, W Midlands, England.;Schannwell, C (corresponding author), British Antarctic Survey, Nat Environm Res Council, Cambridge, England.</t>
  </si>
  <si>
    <t>clemens.schannwell@uni-tuebingen.de</t>
  </si>
  <si>
    <t>Cornford, Stephen/0000-0003-1844-274X; Barrand, Nicholas/0000-0003-4428-1863; Schannwell, Clemens/0000-0002-6160-2107</t>
  </si>
  <si>
    <t>University of Birmingham; NERC [bas0100034] Funding Source: UKRI</t>
  </si>
  <si>
    <t>University of Birmingham; NERC(UK Research &amp; Innovation (UKRI)Natural Environment Research Council (NERC))</t>
  </si>
  <si>
    <t>Clemens Schannwell was supported by a PhD studentship from the University of Birmingham. The computations described in this paper were performed using the University of Birmingham BlueBEAR HPC service, which provides a high-performance computing service to the university's research community. See http://www.birmingham.ac.uk/bear (last access: 9 July 2018) for more details. We acknowledge the World Climate Research Programmes Working Group on Coupled Modelling, which is responsible for CMIP, and we thank the climate modelling groups for producing and making available their model output (available at http://pcmdi9.llnl.gov/, last access: 9 July 2018). For CMIP the U.S. Department of Energy's Program for Climate Model Diagnosis and Intercomparison provides coordinating support and led the development of software infrastructure in partnership with the Global Organization for Earth System Science Portals. We thank the editor Olivier Gagliardini, Lionel Favier and an anonymous reviewer for comments which improved the manuscript.</t>
  </si>
  <si>
    <t>10.5194/tc-12-2307-2018</t>
  </si>
  <si>
    <t>GN6FD</t>
  </si>
  <si>
    <t>WOS:000439170100001</t>
  </si>
  <si>
    <t>Dolan, AM; de Boer, B; Bernales, J; Hill, DJ; Haywood, AM</t>
  </si>
  <si>
    <t>Dolan, Aisling M.; de Boer, Bas; Bernales, Jorge; Hill, Daniel J.; Haywood, Alan M.</t>
  </si>
  <si>
    <t>High climate model dependency of Pliocene Antarctic ice-sheet predictions</t>
  </si>
  <si>
    <t>PLIOMIP EXPERIMENTS 1; SEA-LEVEL; WARM PERIOD; NUMERICAL SIMULATIONS; EXPERIMENTAL-DESIGN; DYNAMIC TOPOGRAPHY; SOUTHERN-OCEAN; TEMPERATURE; SENSITIVITY; SURFACE</t>
  </si>
  <si>
    <t>The mid-Pliocene warm period provides a natural laboratory to investigate the long-term response of the Earth's ice-sheets and sea level in a warmer-than-present-day world. Proxy data suggest that during the warm Pliocene, portions of the Antarctic ice-sheets, including West Antarctica could have been lost. Ice-sheet modelling forced by Pliocene climate model outputs is an essential way to improve our understanding of ice-sheets during the Pliocene. However, uncertainty exists regarding the degree to which results are model-dependent. Using climatological forcing from an international climate modelling intercomparison project, we demonstrate the high dependency of Antarctic ice-sheet volume predictions on the climate model-based forcing used. In addition, the collapse of the vulnerable marine basins of Antarctica is dependent on the ice-sheet model used. These results demonstrate that great caution is required in order to avoid making unsound statements about the nature of the Pliocene Antarctic ice-sheet based on model results that do not account for structural uncertainty in both the climate and ice sheet models.</t>
  </si>
  <si>
    <t>[Dolan, Aisling M.; de Boer, Bas; Hill, Daniel J.; Haywood, Alan M.] Univ Leeds, Sch Earth &amp; Environm, Leeds LS2 9JT, W Yorkshire, England; [de Boer, Bas] Univ Utrecht, Inst Marine &amp; Atmospher Res Utrecht, NL-3584 CC Utrecht, Netherlands; [Bernales, Jorge] GFZ German Res Ctr Geosci, Helmholtz Ctr Potsdam, D-14473 Potsdam, Germany; [Bernales, Jorge] Univ Bremen, MARUM Ctr Marine Environm Sci, D-28359 Bremen, Germany</t>
  </si>
  <si>
    <t>University of Leeds; Utrecht University; Helmholtz Association; Helmholtz-Center Potsdam GFZ German Research Center for Geosciences; University of Bremen</t>
  </si>
  <si>
    <t>Dolan, AM; de Boer, B (corresponding author), Univ Leeds, Sch Earth &amp; Environm, Leeds LS2 9JT, W Yorkshire, England.;de Boer, B (corresponding author), Univ Utrecht, Inst Marine &amp; Atmospher Res Utrecht, NL-3584 CC Utrecht, Netherlands.</t>
  </si>
  <si>
    <t>A.M.Dolan@leeds.ac.uk; b.deboer@uu.nl</t>
  </si>
  <si>
    <t>Dolan, Aisling M/D-2625-2012</t>
  </si>
  <si>
    <t>Hill, Daniel/0000-0001-5492-3925; de Boer, Bas/0000-0002-3696-6654</t>
  </si>
  <si>
    <t>European Research Council under the European Union's Seventh Framework Programme (FP7)/ERC [278636]; European Union's Horizon 2020 research and innovation programme under the Marie Sklodowska-Curie grant [660814]; NWO Earth and Life Sciences (ALW) [863.15.019]; NWO-EW; SurfSARA Computing and Networking Services; Helmholtz graduate school GeoSim; MAGIC-DML project through DFG [SPP 1158 (RO 4262/1-6)]; University of Leeds HPC; Past Earth Network (EPSRC) [EP/M008363/1]; Marie Curie Actions (MSCA) [660814] Funding Source: Marie Curie Actions (MSCA)</t>
  </si>
  <si>
    <t>European Research Council under the European Union's Seventh Framework Programme (FP7)/ERC(European Research Council (ERC)); European Union's Horizon 2020 research and innovation programme under the Marie Sklodowska-Curie grant(Marie Curie Actions); NWO Earth and Life Sciences (ALW); NWO-EW(Netherlands Organization for Scientific Research (NWO)); SurfSARA Computing and Networking Services; Helmholtz graduate school GeoSim; MAGIC-DML project through DFG(German Research Foundation (DFG)); University of Leeds HPC; Past Earth Network (EPSRC)(UK Research &amp; Innovation (UKRI)Engineering &amp; Physical Sciences Research Council (EPSRC)); Marie Curie Actions (MSCA)(Marie Curie Actions)</t>
  </si>
  <si>
    <t>A.M.D. and A.M.H. acknowledge receipt of funding from the European Research Council under the European Union's Seventh Framework Programme (FP7/2007-2013)/ERC grant agreement no. 278636. B.d.B. has received funding from the European Union's Horizon 2020 research and innovation programme under the Marie Sklodowska-Curie grant agreement no. 660814 and is currently funded by NWO Earth and Life Sciences (ALW), project 863.15.019. ANICE model runs were performed on the LISA Computer Cluster. B.d.B. acknowledges funding from NWO-EW and would like to acknowledge SurfSARA Computing and Networking Services for their support. J.B. has been supported by the Helmholtz graduate school GeoSim and the MAGIC-DML project through DFG SPP 1158 (RO 4262/1-6). SICOPOLIS model simulations were performed on the GLIC computer cluster at GFZ Potsdam. A.M.D. and D.J.H. thank the support of the University of Leeds HPC facilities to run the BASISM simulations. All authors acknowledge the Past Earth Network (EPSRC Grant No: EP/M008363/1). The authors would also like to thank the participants of the PlioMIP project for their climate modelling and other contributions: Bette Otto-Bliesner, Ayako Abe-Ouchi, Fran Bragg,</t>
  </si>
  <si>
    <t>JUL 18</t>
  </si>
  <si>
    <t>10.1038/s41467-018-05179-4</t>
  </si>
  <si>
    <t>GN4UC</t>
  </si>
  <si>
    <t>WOS:000439030100009</t>
  </si>
  <si>
    <t>Stec, D; Kristensen, RM; Michalczyk, L</t>
  </si>
  <si>
    <t>Stec, Daniel; Kristensen, Reinhardt Mobjerg; Michalczyk, Lukasz</t>
  </si>
  <si>
    <t>Integrative taxonomy identifies Macrobiotus papei, a new tardigrade species of the Macrobiotus hufelandi complex (Eutardigrada: Macrobiotidae) from the Udzungwa Mountains National Park (Tanzania)</t>
  </si>
  <si>
    <t>18S rRNA; 28S rRNA; Africa; COI; ITS-2; M. paulinae; M. polypiformis; new species; species complex</t>
  </si>
  <si>
    <t>RAMAZZOTTIUS-SUBANOMALUS BISEROV; MOLECULAR-DATA; SP NOV.; PHYLOGENY; DNA; MORPHOLOGY; MAFFT</t>
  </si>
  <si>
    <t>In this paper we describe Macrobiotus papei, a new species of the Macrobiotus hufelandi complex from the Udzungwa Mountains National Park in Tanzania. Our research included the traditional morphology-based taxonomic analysis, supported by morphometrics, light and scanning electron microscopy imaging, as well as analysis of nucleotide sequences of three nuclear (18S rRNA, 28S rRNA, ITS-2) and one mitochondrial (COI) marker. The molecular sequences provided a more accurate description and independent verification of the taxonomic status of M. papei sp. nov. Such integrative approach requires a considerable number of individuals and eggs, which we obtained by establishing a laboratory culture of the new species. Our analyses revealed that M. papei sp. nov., by having the flexible filaments on the terminal discs of the egg processes, is most similar to Macrobiotus paulinae Stec et al., 2015 from Africa and Macrobiotus polypiformis Roszkowska et al., 2017 from South America. However, the new species can be easily distinguished from both these species by patches of cuticular granulation on the external and internal surface of legs I-III (only external patches present in in M. paulinae and M. polypiformis), two separate lateral transversal ridges with a rounded median tooth between instead of a single thin ventral transverse ridge in the third band of teeth in the oral cavity, smooth terminal discs and filaments on the egg processes (terminal discs and filaments covered by aggregations of small microgranules in M. paulinae and M. polypiformis), and by some morphometric characters of both adults and eggs.</t>
  </si>
  <si>
    <t>[Stec, Daniel; Michalczyk, Lukasz] Jagiellonian Univ, Inst Zool &amp; Biomed Res, Gronostajowa 9, PL-30387 Krakow, Poland; [Kristensen, Reinhardt Mobjerg] Univ Copenhagen, Sect Biosystemat, Zool Museum, Nat Hist Museum Denmark, Univ Pk 15, DK-2100 Copenhagen O, Denmark</t>
  </si>
  <si>
    <t>Jagiellonian University; University of Copenhagen</t>
  </si>
  <si>
    <t>Stec, D (corresponding author), Jagiellonian Univ, Inst Zool &amp; Biomed Res, Gronostajowa 9, PL-30387 Krakow, Poland.</t>
  </si>
  <si>
    <t>daniel_stec@interia.eu</t>
  </si>
  <si>
    <t>Kristensen, Reinhardt M/A-8772-2013; Stec, Daniel/AAL-3532-2020; Michalczyk, Lukasz/D-1362-2009</t>
  </si>
  <si>
    <t>Stec, Daniel/0000-0001-6876-0717; Michalczyk, Lukasz/0000-0002-2912-4870</t>
  </si>
  <si>
    <t>Sonata Bis programme of the Polish National Science Centre [2016/22/E/NZ8/00417]; European Commission's programme Transnational Access to Major Research Infrastructures [DK-TAF-5609]</t>
  </si>
  <si>
    <t>Sonata Bis programme of the Polish National Science Centre; European Commission's programme Transnational Access to Major Research Infrastructures(European Union (EU)European Commission Joint Research Centre)</t>
  </si>
  <si>
    <t>We are grateful to Brian Blagden (Scottish Environment Protection Agency, UK), Thomas Pape (Natural History Museum of Denmark), and Zootaxa Editor, Sandra McInnes (British Antarctic Survey, UK) as well as to three anonymous reviewers for their valuable comments and English improvements to this manuscript. Thomas Pape, by organising permits and collecting samples, made this study possible. Also we would like to thank to the Aquatic Ecosystems Team from the Institute of Environmental Sciences (Jagiellonian University) for making the rotifers available for the cultures. The study was supported by the Sonata Bis programme of the Polish National Science Centre (grant no. 2016/22/E/NZ8/00417 to LM) and by the grant from the European Commission's programme Transnational Access to Major Research Infrastructures to SYNTHESYS (grant no. DK-TAF-5609 to DS).</t>
  </si>
  <si>
    <t>250F Marua Road Mt Wellington, AUCKLAND, ST LUKES 1023, NEW ZEALAND</t>
  </si>
  <si>
    <t>JUL 17</t>
  </si>
  <si>
    <t>10.11646/zootaxa.4446.2.7</t>
  </si>
  <si>
    <t>GN2AE</t>
  </si>
  <si>
    <t>WOS:000438796200007</t>
  </si>
  <si>
    <t>Flaviani, F; Schroeder, DC; Lebret, K; Balestreri, C; Highfield, AC; Schroeder, JL; Thorpe, SE; Moore, K; Pasckiewicz, K; Pfaff, MC; Rybicki, EP</t>
  </si>
  <si>
    <t>Flaviani, Flavia; Schroeder, Declan C.; Lebret, Karen; Balestreri, Cecilia; Highfield, Andrea C.; Schroeder, Joanna L.; Thorpe, Sally E.; Moore, Karen; Pasckiewicz, Konrad; Pfaff, Maya C.; Rybicki, Edward P.</t>
  </si>
  <si>
    <t>Distinct Oceanic Microbiomes From Viruses to Protists Located Near the Antarctic Circumpolar Current</t>
  </si>
  <si>
    <t>Antarctic Polar Front; marine microbes; eDNA; meDNA; viruses; microbiome</t>
  </si>
  <si>
    <t>FILTERABLE MARINE-BACTERIA; SOUTHERN-OCEAN; ENVIRONMENTAL DNA; COMMUNITY COMPOSITION; CHLORELLA VIRUSES; GIANT VIRUSES; BIOGEOCHEMICAL SIGNIFICANCE; SAMPLING EXPEDITION; POLAR FRONT; DEEP-SEA</t>
  </si>
  <si>
    <t>Microbes occupy diverse ecological niches and only through recent advances in next generation sequencing technologies have the true microbial diversity been revealed. Furthermore, lack of perceivable marine barriers to genetic dispersal (i.e., mountains or islands) has allowed the speculation that organisms that can be easily transported by currents and therefore proliferate everywhere. That said, ocean currents are now commonly being recognized as barriers for microbial dispersal. Here we analyzed samples collected from a total of six stations, four located in the Indian Ocean, and two in the Southern Ocean. Amplicon sequencing was used to characterize both prokaryotic and eukaryotic plankton communities, while shotgun sequencing was used for the combined environmental DNA (eDNA), microbial eDNA (meDNA), and viral fractions. We found that Cyanobacteria dominated the prokaryotic component in the South-West Indian Ocean, while gamma-Proteobacteria dominated the South-East Indian Ocean. A combination of gamma- and alpha-Proteobacteria dominated the Southern Ocean. Alveolates dominated almost exclusively the eukaryotic component, with variation in the ratio of Protoalveolata and Dinoflagellata depending on station. However, an increase in haptophyte relative abundance was observed in the Southern Ocean. Similarly, the viral fraction was dominated by members of the order Caudovirales across all stations; however, a higher presence of nucleocytoplasmic large DNA viruses (mainly chloroviruses and mimiviruses) was observed in the Southern Ocean. To our knowledge, this is the first that a statistical difference in the microbiome (from viruses to protists) between the subtropical Indian and Southern Oceans. We also show that not all phylotypes can be found everywhere, and that meDNA is not a suitable resource for monitoring aquatic microbial diversity.</t>
  </si>
  <si>
    <t>[Flaviani, Flavia; Rybicki, Edward P.] Univ Cape Town, Biopharming Res Unit, Dept Mol &amp; Cell Biol, Cape Town, South Africa; [Flaviani, Flavia; Schroeder, Declan C.; Lebret, Karen; Balestreri, Cecilia; Highfield, Andrea C.; Schroeder, Joanna L.] Marine Biol Assoc UK, Citadel Hill, Plymouth, Devon, England; [Schroeder, Declan C.] Univ Reading, Sch Biol Sci, Reading, Berks, England; [Schroeder, Declan C.] Univ Minnesota Twin Cities, Coll Vet Med, Minneapolis, MN 55455 USA; [Lebret, Karen] Uppsala Univ, Limnol, Dept Ecol &amp; Genet, Uppsala, Sweden; [Thorpe, Sally E.] NERC, British Antarctic Survey, Cambridge, England; [Moore, Karen; Pasckiewicz, Konrad] Univ Exeter, Exeter Sequencing Serv, Biosci, Exeter, Devon, England; [Pfaff, Maya C.] Oceans &amp; Coasts, Dept Environm Affairs, Cape Town, South Africa</t>
  </si>
  <si>
    <t>University of Cape Town; Marine Biological Association United Kingdom; University of Reading; University of Minnesota System; University of Minnesota Twin Cities; Uppsala University; UK Research &amp; Innovation (UKRI); Natural Environment Research Council (NERC); NERC British Antarctic Survey; University of Exeter; Department of Environment, Forestry &amp; Fisheries</t>
  </si>
  <si>
    <t>Rybicki, EP (corresponding author), Univ Cape Town, Biopharming Res Unit, Dept Mol &amp; Cell Biol, Cape Town, South Africa.;Schroeder, DC (corresponding author), Marine Biol Assoc UK, Citadel Hill, Plymouth, Devon, England.;Schroeder, DC (corresponding author), Univ Reading, Sch Biol Sci, Reading, Berks, England.;Schroeder, DC (corresponding author), Univ Minnesota Twin Cities, Coll Vet Med, Minneapolis, MN 55455 USA.</t>
  </si>
  <si>
    <t>D.C.Schroeder@reading.ac.uk; ed.rybicki@uct.ac.za</t>
  </si>
  <si>
    <t>Rybicki, Ed/B-8918-2008; Schroeder, Declan C./O-9131-2019</t>
  </si>
  <si>
    <t>Schroeder, Declan C./0000-0001-5991-2838; Flaviani, Flavia/0000-0002-4210-0451; Balestreri, Cecilia/0000-0002-8855-7772</t>
  </si>
  <si>
    <t>South African National Research Foundation (NRF) [CPR20110717000020991]; MicroB3 [287589]; NERC eDNA award [NE/N006151/1]; Ocean Ecosystems Program at the British Antarctic Survey (NERC, United Kingdom); NERC [bas0100035, NE/N006151/1] Funding Source: UKRI</t>
  </si>
  <si>
    <t>South African National Research Foundation (NRF)(National Research Foundation - South Africa); MicroB3; NERC eDNA award; Ocean Ecosystems Program at the British Antarctic Survey (NERC, United Kingdom); NERC(UK Research &amp; Innovation (UKRI)Natural Environment Research Council (NERC))</t>
  </si>
  <si>
    <t>The project was funded by a South African National Research Foundation (NRF) grant to ER (CPR20110717000020991). DS was funded by the FP7-OCEAN-2011 call, MicroB3 (grant number 287589) and the NERC eDNA award (grant number NE/N006151/1). ST was funded through the Ocean Ecosystems Program at the British Antarctic Survey (NERC, United Kingdom).</t>
  </si>
  <si>
    <t>10.3389/fmicb.2018.01474</t>
  </si>
  <si>
    <t>GN3QG</t>
  </si>
  <si>
    <t>WOS:000438921400001</t>
  </si>
  <si>
    <t>Mayer, C; Schaffer, J; Hattermann, T; Floricioiu, D; Krieger, L; Dodd, PA; Kanzow, T; Licciulli, C; Schannwell, C</t>
  </si>
  <si>
    <t>Mayer, Christoph; Schaffer, Janin; Hattermann, Tore; Floricioiu, Dana; Krieger, Lukas; Dodd, Paul A.; Kanzow, Torsten; Licciulli, Carlo; Schannwell, Clemens</t>
  </si>
  <si>
    <t>Large ice loss variability at Nioghalvfjerdsfjorden Glacier, Northeast-Greenland</t>
  </si>
  <si>
    <t>LABRADOR SEA; ARCTIC-OCEAN; SHEET; ATLANTIC; WATER; CIRCULATION; CONVECTION; GENERATION; CAVITY; MODEL</t>
  </si>
  <si>
    <t>Nioghalvfjerdsfjorden is a major outlet glacier in Northeast-Greenland. Although earlier studies showed that the floating part near the grounding line thinned by 30% between 1999 and 2014, the temporal ice loss evolution, its relation to external forcing and the implications for the grounded ice sheet remain largely unclear. By combining observations of surface features, ice thickness and bedrock data, we find that the ice shelf mass balance has been out of equilibrium since 2001, with large variations of the thinning rates on annual/multiannual time scales. Changes in ice flux and surface ablation are too small to produce this variability. An increased ocean heat flux is the most plausible cause of the observed thinning. For sustained environmental conditions, the ice shelf will lose large parts of its area within a few decades and ice modeling shows a significant, but locally restricted thinning upstream of the grounding line in response.</t>
  </si>
  <si>
    <t>[Mayer, Christoph; Licciulli, Carlo] Bavarian Acad Sci &amp; Humanities, Alfons Goppel Str 11, D-80539 Munich, Germany; [Schaffer, Janin; Hattermann, Tore; Kanzow, Torsten] Helmholtz Ctr Polar &amp; Marine Res, Alfred Wegener Inst, Handelshafen 12, D-27570 Bremerhaven, Germany; [Hattermann, Tore] Akvaplan Niva AS, Fram Ctr, Postbox 66069296, Tromso, Norway; [Floricioiu, Dana; Krieger, Lukas] German Aerosp Ctr DLR, Remote Sensing Technol Inst, Munchener Str 20, D-82234 Oberpfaffenhofen, Wessling, Germany; [Dodd, Paul A.] Norwegian Polar Res Inst, Fram Ctr, Postbox 66069296, Tromso, Norway; [Schannwell, Clemens] Univ Tubingen, Geol &amp; Geodynam, Wilhelmstr 56, D-72074 Tubingen, Germany</t>
  </si>
  <si>
    <t>Helmholtz Association; Alfred Wegener Institute, Helmholtz Centre for Polar &amp; Marine Research; Akvaplan-niva; Helmholtz Association; German Aerospace Centre (DLR); Norwegian Polar Institute; Eberhard Karls University of Tubingen</t>
  </si>
  <si>
    <t>Mayer, C (corresponding author), Bavarian Acad Sci &amp; Humanities, Alfons Goppel Str 11, D-80539 Munich, Germany.</t>
  </si>
  <si>
    <t>christoph.mayer@keg.badw.de</t>
  </si>
  <si>
    <t>Licciulli, Carlo/0000-0003-3757-6129; Kanzow, Torsten/0000-0002-5786-3435; Schannwell, Clemens/0000-0002-6160-2107; Mayer, Christoph/0000-0002-4226-4608; Krieger, Lukas/0000-0002-2464-3102; Floricioiu, Dana/0000-0002-1647-7191</t>
  </si>
  <si>
    <t>Deutsche Forschungsgemeinschaft (DFG) [FL 848/1-1, OGreen79, 1889, MA 3347/10-1]</t>
  </si>
  <si>
    <t>Deutsche Forschungsgemeinschaft (DFG)(German Research Foundation (DFG))</t>
  </si>
  <si>
    <t>The TanDEM-X global DEM tiles and CoSSC were provided by DLR under the research proposals DEM_GLAC0671 and XTI_GLA6663 (c) DLR 2017. The work was partly supported by Deutsche Forschungsgemeinschaft (DFG, FL 848/1-1). Surface-elevation measurements were provided by NASA's Airborne Topographic Mapper (ATM) Program. This work was supported in part through grant (OGreen79) from the Deutsche Forschungsgemeinschaft (DFG) as part of the Special Priority Program (SPP)-1889 Regional Sea Level Change and Society (SeaLevel). C.S. was supported by the Deutsche Forschungsgemeinschaft (DFG) in the framework of the priority programme Antarctic Research with comparative investigations in Arctic ice areas by the grant MA 3347/10-1. The Microwaves and Remote Sensing Division, Danish Technical University (DTU) is acknowledged for providing the airborne ice thickness data.</t>
  </si>
  <si>
    <t>10.1038/s41467-018-05180-x</t>
  </si>
  <si>
    <t>GN2UO</t>
  </si>
  <si>
    <t>WOS:000438856900008</t>
  </si>
  <si>
    <t>Golynsky, AV; Ferraccioli, F; Hong, JK; Golynsky, DA; von Frese, RRB; Young, DA; Blankenship, DD; Holt, JW; Ivanov, SV; Kiselev, AV; Masolov, VN; Eagles, G; Gohl, K; Jokat, W; Damaske, D; Finn, C; Aitken, A; Bell, RE; Armadillo, E; Jordan, TA; Greenbaum, JS; Bozzo, E; Caneva, G; Forsberg, R; Ghidella, M; Galindo-Zaldivar, J; Bohoyo, F; Martos, YM; Nogi, Y; Quartini, E; Kim, HR; Roberts, JL</t>
  </si>
  <si>
    <t>Golynsky, A. V.; Ferraccioli, F.; Hong, J. K.; Golynsky, D. A.; von Frese, R. R. B.; Young, D. A.; Blankenship, D. D.; Holt, J. W.; Ivanov, S. V.; Kiselev, A. V.; Masolov, V. N.; Eagles, G.; Gohl, K.; Jokat, W.; Damaske, D.; Finn, C.; Aitken, A.; Bell, R. E.; Armadillo, E.; Jordan, T. A.; Greenbaum, J. S.; Bozzo, E.; Caneva, G.; Forsberg, R.; Ghidella, M.; Galindo-Zaldivar, J.; Bohoyo, F.; Martos, Y. M.; Nogi, Y.; Quartini, E.; Kim, H. R.; Roberts, J. L.</t>
  </si>
  <si>
    <t>New Magnetic Anomaly Map of the Antarctic</t>
  </si>
  <si>
    <t>DRONNING MAUD LAND; REGIONAL AEROMAGNETIC DATA; WILKES SUBGLACIAL BASIN; GEOTHERMAL HEAT-FLUX; PINE ISLAND GLACIER; SEA RIFT SYSTEM; EAST ANTARCTICA; WEST ANTARCTICA; TRANSANTARCTIC MOUNTAINS; AEROGEOPHYSICAL DATA</t>
  </si>
  <si>
    <t>The second generation Antarctic magnetic anomaly compilation for the region south of 60 degrees S includes some 3.5 million line-km of aeromagnetic and marine magnetic data that more than doubles the initial map's near-surface database. For the new compilation, the magnetic data sets were corrected for the International Geomagnetic Reference Field, diurnal effects, and high-frequency errors and leveled, gridded, and stitched together. The new magnetic data further constrain the crustal architecture and geological evolution of the Antarctic Peninsula and the West Antarctic Rift System in West Antarctica, as well as Dronning Maud Land, the Gamburtsev Subglacial Mountains, the Prince Charles Mountains, Princess Elizabeth Land, and Wilkes Land in East Antarctica and the circumjacent oceanic margins. Overall, the magnetic anomaly compilation helps unify disparate regional geologic and geophysical studies by providing new constraints on major tectonic and magmatic processes that affected the Antarctic from Precambrian to Cenozoic times. Plain Language Summary Given the ubiquitous polar cover of snow, ice, and seawater, the magnetic anomaly compilation offers important constraints on the global tectonic processes and crustal properties of the Antarctic. It also links widely separated areas of outcrop to help unify disparate geologic studies and provides insights on the lithospheric transition between Antarctica and adjacent oceans, as well as the geodynamic evolution of the Antarctic lithosphere in the assembly and breakup of the Gondwana, Rodinia, and Columbia supercontinents and key piercing points for reconstructing linkages between the protocontinents. The magnetic data together with ice-probing radar and gravity information greatly facilitate understanding the evolution of fundamental large-scale geological processes such as continental rifting, intraplate mountain building, subduction and terrane accretion processes, and intraplate basin formation.</t>
  </si>
  <si>
    <t>[Golynsky, A. V.; Golynsky, D. A.] All Russian Sci Res Inst Geol &amp; Mineral Resources, VNIIOkeangeol, St Petersburg, Russia; [Ferraccioli, F.; Jordan, T. A.] British Antarctic Survey, Cambridge, England; [Hong, J. K.] Korea Polar Res Inst, Incheon, South Korea; [von Frese, R. R. B.] Ohio State Univ, Sch Earth Sci, Columbus, OH 43210 USA; [Young, D. A.; Blankenship, D. D.; Holt, J. W.; Greenbaum, J. S.; Quartini, E.] Univ Texas Austin, Inst Geophys, Jackson Sch Geosci, Austin, TX USA; [Ivanov, S. V.; Kiselev, A. V.; Masolov, V. N.] Polar Marine Geosurvey Expedit, Lomonosov, Russia; [Eagles, G.; Gohl, K.; Jokat, W.] Alfred Wegener Inst Helmholtz Zentrum Polar &amp; Mee, Bremerhaven, Germany; [Damaske, D.] Bundesanstalt Geowissensch &amp; Rohstoffe, Hannover, Germany; [Finn, C.] US Geol Survey, Denver Fed Ctr, Denver, CO USA; [Aitken, A.] Univ Western Australia, Ctr Explorat Targeting, Perth, WA, Australia; [Bell, R. E.] Columbia Univ, Lamont Doherty Earth Observ, Palisades, NY USA; [Armadillo, E.; Bozzo, E.; Caneva, G.] Univ Genoa, DISTAV, Genoa, Italy; [Forsberg, R.] Tech Univ Denmark, Natl Space Inst, Copenhagen, Denmark; [Ghidella, M.] Inst Antartico Argentino, Buenos Aires, DF, Argentina; [Galindo-Zaldivar, J.] Univ Granada, CSIC, Inst Andaluz Ciencias Tierra, Granada, Spain; [Bohoyo, F.] Inst Geol &amp; Minero Espana, Madrid, Spain; [Martos, Y. M.] NASA, Goddard Space Flight Ctr, College Pk, MD USA; [Nogi, Y.] Natl Inst Polar Res, Tokyo, Japan; [Quartini, E.] Univ Texas Austin, Jackson Sch Geosci, Dept Geol Sci, Austin, TX USA; [Kim, H. R.] Kongju Natl Univ, Dept Geoenvironm Sci, Kong Ju, South Korea; [Roberts, J. L.] Australian Antarctic Div, Dept Environm, Kingston, Tas, Australia; [Roberts, J. L.] Univ Tasmania, Antarctic Climate &amp; Ecosyst Cooperat Res Ctr, Hobart, Tas, Australia</t>
  </si>
  <si>
    <t>UK Research &amp; Innovation (UKRI); Natural Environment Research Council (NERC); NERC British Antarctic Survey; Korea Polar Research Institute (KOPRI); University System of Ohio; Ohio State University; University of Texas System; University of Texas Austin; Helmholtz Association; Alfred Wegener Institute, Helmholtz Centre for Polar &amp; Marine Research; United States Department of the Interior; United States Geological Survey; University of Western Australia; Columbia University; University of Genoa; Technical University of Denmark; Instituto Antartico Argentino; University of Granada; Consejo Superior de Investigaciones Cientificas (CSIC); CSIC - Instituto Andaluz de Ciencias de la Tierra (IACT); National Aeronautics &amp; Space Administration (NASA); NASA Goddard Space Flight Center; Research Organization of Information &amp; Systems (ROIS); National Institute of Polar Research (NIPR) - Japan; University of Texas System; University of Texas Austin; Kongju National University; Australian Antarctic Division; Antarctic Climate &amp; Ecosystems Cooperative Research Centre (ACE CRC); University of Tasmania</t>
  </si>
  <si>
    <t>Golynsky, AV (corresponding author), All Russian Sci Res Inst Geol &amp; Mineral Resources, VNIIOkeangeol, St Petersburg, Russia.;Hong, JK (corresponding author), Korea Polar Res Inst, Incheon, South Korea.</t>
  </si>
  <si>
    <t>sasha@vniio.nw.ru; jkhong@kopri.re.kr</t>
  </si>
  <si>
    <t>Blankenship, Donald D./G-5935-2010; Armadillo, Egidio/AAD-2877-2021; Finn, Carol A/HKN-9277-2023; Bohoyo, Fernando/AAZ-5990-2021; Galindo-Zaldivar, Jesus/K-3640-2012; Roberts, Jason L/B-2235-2012; Bohoyo, Fernando/C-1062-2011; Young, Duncan/G-6256-2010</t>
  </si>
  <si>
    <t>Armadillo, Egidio/0000-0003-0982-6629; Finn, Carol A/0000-0002-6178-0405; Bohoyo, Fernando/0000-0002-1044-8816; Galindo-Zaldivar, Jesus/0000-0002-3493-2637; Roberts, Jason L/0000-0002-3477-4069; Bohoyo, Fernando/0000-0002-1044-8816; Bozzo, Enrico/0000-0002-8201-1525; Aitken, Alan/0000-0002-6375-2504; Jokat, Wilfried/0000-0002-7793-5854; Golynsky, Alexander/0000-0003-2546-4082; Ferraccioli, Fausto/0000-0002-9347-4736; Forsberg, Rene/0000-0002-7288-9545; Eagles, Graeme/0000-0001-5325-0810; Gohl, Karsten/0000-0002-9558-2116; Nogi, Yoshifumi/0000-0001-8457-4244; Young, Duncan/0000-0002-6866-8176; Kim, Hyung Rae/0000-0002-6576-9457; Golynsky, Dmitry/0000-0001-8717-0894</t>
  </si>
  <si>
    <t>Korea Polar Research Institute (KOPRI) programs [PM15040, PE17050]; Germany's AWI/Helmholtz Center for Polar and Marine Research; Federal Institute for Geosciences and Natural Resources; British Antarctic Survey/Natural Environmental Research Council; Italian Antarctic Research Programme; Russian Ministry of Natural Resources; U.S. National Science Foundation; National Space and Aeronautics Administration; Australian Antarctic Division and Antarctic Climate &amp; Ecosystem Cooperative Research Centre; French Polar Institute; global geomagnetic observatories network (INTERMAGNET); NERC [bas0100029, NE/R016038/1] Funding Source: UKRI</t>
  </si>
  <si>
    <t>Korea Polar Research Institute (KOPRI) programs; Germany's AWI/Helmholtz Center for Polar and Marine Research; Federal Institute for Geosciences and Natural Resources; British Antarctic Survey/Natural Environmental Research Council; Italian Antarctic Research Programme; Russian Ministry of Natural Resources; U.S. National Science Foundation(National Science Foundation (NSF)); National Space and Aeronautics Administration; Australian Antarctic Division and Antarctic Climate &amp; Ecosystem Cooperative Research Centre; French Polar Institute; global geomagnetic observatories network (INTERMAGNET); NERC(UK Research &amp; Innovation (UKRI)Natural Environment Research Council (NERC))</t>
  </si>
  <si>
    <t>The members of SCAR's ADMAP expert group and their affiliated institutions contributed raw and processed magnetic survey data and cooperated in developing the new compilation. SCAR supported the ADMAP expert group's activities, and the Korea Polar Research Institute (KOPRI) programs, PM15040 and PE17050, funded the compilation at the All-Russian Scientific Research Institute for Geology and Mineral Resources of the World Ocean (VNIIOkeangeologia). New data acquisitions were supported by Germany's AWI/Helmholtz Center for Polar and Marine Research and the Federal Institute for Geosciences and Natural Resources, the British Antarctic Survey/Natural Environmental Research Council, the Italian Antarctic Research Programme, the Russian Ministry of Natural Resources, the U.S. National Science Foundation and National Space and Aeronautics Administration, the Australian Antarctic Division and Antarctic Climate &amp; Ecosystem Cooperative Research Centre, the French Polar Institute, and the global geomagnetic observatories network (INTERMAGNET). The manuscript benefitted from the constructive comments of Joachim Jacobs and an anonymous reviewer.</t>
  </si>
  <si>
    <t>JUL 16</t>
  </si>
  <si>
    <t>10.1029/2018GL078153</t>
  </si>
  <si>
    <t>GO2FL</t>
  </si>
  <si>
    <t>WOS:000439784300013</t>
  </si>
  <si>
    <t>Dong, ZW; Shao, YP; Qin, DH; Zhang, LY; Hou, XL; Wei, T; Kang, SC; Qin, X</t>
  </si>
  <si>
    <t>Dong, Zhiwen; Shao, Yaping; Qin, Dahe; Zhang, Luyuan; Hou, Xiaolin; Wei, Ting; Kang, Shichang; Qin, Xiang</t>
  </si>
  <si>
    <t>Insight Into Radio-Isotope 129I Deposition in Fresh Snow at a Remote Glacier Basin of Northeast Tibetan Plateau, China</t>
  </si>
  <si>
    <t>I-129; human nuclear activities; elevational distribution; glacier snowpack; pollution transport in troposphere</t>
  </si>
  <si>
    <t>ATMOSPHERIC FALLOUT; FUKUSHIMA; PRECIPITATION; RADIONUCLIDES; SPECIATION; SEAWATER; JAPAN; LEVEL; CL-36</t>
  </si>
  <si>
    <t>We present data of I-129 deposition in fresh snow in the Laohugou glacier basin, northeast Tibetan Plateau, in summer 2016 and 2017, and trace its source and elevational distribution in the troposphere. Our results show that the I-129/I-127 atomic ratios in the fresh snow on the glacier surface are about 2 orders of magnitude larger than those in the Antarctic fresh snow and 4 orders the prenuclear level, indicating a predominantly anthropogenic source of the I-129 in the mountain glacier environment of northeast Tibetan Plateau. The I-129 level in the Laohugou glacier basin is 1-2 orders of magnitude lower than at representative European locations, and not significantly higher than that observed at other sites in Asia. The I-129/I-127 atomic ratio and I-129 level show clear increases with elevation from 4,300 to 5,100m above sea level. The I-129 in the Laohugou glacier basin is probably deposited from the upper troposphere where there exists a local maximum of I-129. A conceptual model for interpretation of the observed I-129 concentration and profile in Laohugou is provided. Thus, this work is of importance in providing a more complete view on the transport, dispersion, and removal of I-129 in the atmosphere. Plain Language Summary We measured the concentration measurements of I-129, together with I-129/I-127 atomic ratios, deposited in the fresh snow at various altitudes, in the Laohugou glacier basin, western Qilian Mountains, northeast Tibetan Plateau. This unique dataset provides the first evidence how I-129 deposition varies with height in the middle troposphere, and a glimpse on the dispersion and pathway of anthropogenic radioiodine pollutants to the remote Tibetan Plateau glaciers. The dataset is thus an important addition to the global I-129 database. The observations at Laohugou show that I-129 increases, in contrast to I-127 and heavy metals Pb and Ni which decrease, with height in the middle troposphere. This suggests that the source of the deposited I-129 is located in the upper troposphere. A hypothetic interpretation of the observed I-129 profile is provided.</t>
  </si>
  <si>
    <t>[Dong, Zhiwen; Qin, Dahe; Wei, Ting; Kang, Shichang; Qin, Xiang] Chinese Acad Sci, Northwest Inst Ecoenvironm &amp; Resources, State Key Lab Cryosphere Sci, Lanzhou, Gansu, Peoples R China; [Dong, Zhiwen; Shao, Yaping] Univ Cologne, Inst Geophys &amp; Meteorol, Cologne, Germany; [Zhang, Luyuan; Hou, Xiaolin] Chinese Acad Sci, Inst Earth Environm, Xian, Shaanxi, Peoples R China; [Qin, Xiang] Chinese Acad Sci, Northwest Inst Ecoenvironm &amp; Resources, Qilian Mt Glacier &amp; Ecol Environm Res Stn, Lanzhou, Gansu, Peoples R China</t>
  </si>
  <si>
    <t>Chinese Academy of Sciences; University of Cologne; Chinese Academy of Sciences; Institute of Earth Environment, CAS; Chinese Academy of Sciences</t>
  </si>
  <si>
    <t>Dong, ZW (corresponding author), Chinese Acad Sci, Northwest Inst Ecoenvironm &amp; Resources, State Key Lab Cryosphere Sci, Lanzhou, Gansu, Peoples R China.;Dong, ZW (corresponding author), Univ Cologne, Inst Geophys &amp; Meteorol, Cologne, Germany.</t>
  </si>
  <si>
    <t>dongzhiwen@lzb.ac.cn</t>
  </si>
  <si>
    <t>UzK, IGMK/HGU-4003-2022; Zhang, Luyuan/I-8887-2014; Shao, Yaping/G-3606-2013; Hou, Xiaolin/A-1585-2008; Kang, Shichang/I-6830-2018</t>
  </si>
  <si>
    <t>Zhang, Luyuan/0000-0001-9972-0742; Shao, Yaping/0000-0002-2041-5479; Hou, Xiaolin/0000-0002-4851-4858; Kang, Shichang/0000-0003-2115-9005; Dong, Zhiwen/0000-0003-4871-219X</t>
  </si>
  <si>
    <t>National Natural Science Foundation of China [41671062, 41721091]; State Key Laboratory of Cryosphere Sciences [SKLCS-ZZ-2018]; Youth Innovation Promotion Association, CAS [2015347]; West Light Program for Talent Cultivation of Chinese Academy of Sciences</t>
  </si>
  <si>
    <t>National Natural Science Foundation of China(National Natural Science Foundation of China (NSFC)); State Key Laboratory of Cryosphere Sciences; Youth Innovation Promotion Association, CAS; West Light Program for Talent Cultivation of Chinese Academy of Sciences</t>
  </si>
  <si>
    <t>We gratefully acknowledged the funding under the National Natural Science Foundation of China (41671062 and 41721091), State Key Laboratory of Cryosphere Sciences (SKLCS-ZZ-2018), the Youth Innovation Promotion Association, CAS (2015347), and the West Light Program for Talent Cultivation of Chinese Academy of Sciences. The paper was significantly improved by thorough and helpful reviews by two anonymous reviewers. All data used are contained within the paper and figures, supporting information, and references.</t>
  </si>
  <si>
    <t>10.1029/2018GL078480</t>
  </si>
  <si>
    <t>WOS:000439784300045</t>
  </si>
  <si>
    <t>Orsolini, YJ; Smith-Johnsen, C; Marsh, DR; Stordal, F; Rodger, CJ; Verronen, PT; Clilverd, MA</t>
  </si>
  <si>
    <t>Orsolini, Yvan J.; Smith-Johnsen, Christine; Marsh, Daniel R.; Stordal, Frode; Rodger, Craig J.; Verronen, Pekka T.; Clilverd, Mark A.</t>
  </si>
  <si>
    <t>Mesospheric Nitric Acid Enhancements During Energetic Electron Precipitation Events Simulated by WACCM-D</t>
  </si>
  <si>
    <t>energetic electron precipitation; whole-atmosphere model; nitric acid; ion chemistry</t>
  </si>
  <si>
    <t>ODIN OBSERVATIONS; SOLAR; STRATOSPHERE; CHEMISTRY; MODEL</t>
  </si>
  <si>
    <t>While observed mesospheric polar nitric acid enhancements have been attributed to energetic particle precipitation through ion cluster chemistry in the past, this phenomenon is not reproduced in current whole-atmosphere chemistry-climate models. We investigate such nitric acid enhancements resulting from energetic electron precipitation events using a recently developed variant of the Whole Atmosphere Community Climate Model (WACCM) that includes a sophisticated ion chemistry tailored for the D-layer of the ionosphere (50-90km), namely, WACCM-D. Using the specified dynamics mode, that is, nudging dynamics in the troposphere and stratosphere to meteorological reanalyses, we perform a 1-year-long simulation (July 2009-June 2010) and contrast WACCM-D with the standard WACCM. Both WACCM and WACCM-D simulations are performed with and without forcing from medium-to-high energy electron precipitation, allowing a better representation of the energetic electrons penetrating into the mesosphere. We demonstrate the effects of the strong particle precipitation events which occurred during April and May 2010 on nitric acid and on key ion cluster species, as well as other relevant species of the nitrogen family. The 1-year-long simulation allows the event-related changes in neutral and ionic species to be placed in the context of their annual cycle. We especially highlight the role played by medium-to-high energy electrons in triggering ion cluster chemistry and ion-ion recombinations in the mesosphere and lower thermosphere during the precipitation event, leading to enhanced production of nitric acid and raising its abundance by 2 orders of magnitude from 10(-4) to a few 10(-2)ppb.</t>
  </si>
  <si>
    <t>[Orsolini, Yvan J.] NILU Norwegian Inst Air Res, Kjeller, Norway; [Orsolini, Yvan J.; Smith-Johnsen, Christine] Univ Bergen, Birkeland Ctr Space Sci, Bergen, Norway; [Smith-Johnsen, Christine; Stordal, Frode] Univ Oslo, Dept Geosci, Oslo, Norway; [Marsh, Daniel R.] NCAR, Boulder, CO USA; [Rodger, Craig J.] Univ Otago, Dept Phys, Dunedin, New Zealand; [Verronen, Pekka T.] Finnish Meteorol Inst, Space &amp; Earth Observat Ctr, Helsinki, Finland; [Clilverd, Mark A.] British Antarctic Survey, Cambridge, England</t>
  </si>
  <si>
    <t>NILU; University of Bergen; University of Oslo; National Center Atmospheric Research (NCAR) - USA; University of Otago; Finnish Meteorological Institute; UK Research &amp; Innovation (UKRI); Natural Environment Research Council (NERC); NERC British Antarctic Survey</t>
  </si>
  <si>
    <t>Orsolini, YJ (corresponding author), NILU Norwegian Inst Air Res, Kjeller, Norway.;Orsolini, YJ (corresponding author), Univ Bergen, Birkeland Ctr Space Sci, Bergen, Norway.</t>
  </si>
  <si>
    <t>yvan.orsolini@nilu.no</t>
  </si>
  <si>
    <t>Marsh, Daniel/A-8406-2008; Rodger, Craig/A-1501-2011; Verronen, P. T./AIE-0203-2022; Verronen, Pekka T/G-6658-2014</t>
  </si>
  <si>
    <t>Marsh, Daniel/0000-0001-6699-494X; Verronen, P. T./0000-0002-3479-9071; Rodger, Craig J./0000-0002-6770-2707; Orsolini, Yvan/0000-0001-7454-026X</t>
  </si>
  <si>
    <t>Norwegian Research Council [222390, 223252/F50]; NASA LWS [NNX14AH54G]; U.S. National Science Foundation (NSF); Academy of Finland [276926]; International Space Science Institute, Bern, Switzerland; NSF; Office of Science of the U.S. Department of Energy; NERC [bas0100031] Funding Source: UKRI; Academy of Finland (AKA) [276926] Funding Source: Academy of Finland (AKA)</t>
  </si>
  <si>
    <t>Norwegian Research Council(Research Council of Norway); NASA LWS(National Aeronautics &amp; Space Administration (NASA)); U.S. National Science Foundation (NSF)(National Science Foundation (NSF)); Academy of Finland(Research Council of Finland); International Space Science Institute, Bern, Switzerland; NSF(National Science Foundation (NSF)); Office of Science of the U.S. Department of Energy(United States Department of Energy (DOE)); NERC(UK Research &amp; Innovation (UKRI)Natural Environment Research Council (NERC)); Academy of Finland (AKA)</t>
  </si>
  <si>
    <t>We are grateful to the three anonymous reviewers for their thorough reviews of this article. The research has been funded by the Norwegian Research Council, through project 222390, Solar-Terrestrial Coupling through High Energy Particle Precipitation in the Atmosphere: a Norwegian contribution. Y.O. is also supported by the Norwegian Research Council under contract 223252/F50. D.R.M. is supported in part by NASA LWS grant NNX14AH54G. The National Center for Atmospheric Research (NCAR) is sponsored by the U.S. National Science Foundation (NSF). P.T.V. was supported by the Academy of Finland through project 276926 (SECTIC: Sun-Earth Connection Through Ion Chemistry). D.R.M., P.T.V., M.A.C., and C.J.R. would like to thank the International Space Science Institute, Bern, Switzerland for supporting the project Quantifying Hemispheric Differences in Particle Forcing Effects on Stratospheric Ozone (PI: D. R. Marsh). WACCM is a component of the Community Earth System Model (CESM), which is supported by NSF and the Office of Science of the U.S. Department of Energy. WACCM is an open-source community model. All model simulations were performed at NCAR, are archived on the NCAR High Performance Storage System, accessible via the Earth System Grid (https://www.earthsystemgrid.org/), and are also accessible at the Norwegian Center for Research Data (http://www.nsd.uib.no/nsd/english/index.html).</t>
  </si>
  <si>
    <t>10.1029/2017JD028211</t>
  </si>
  <si>
    <t>GO2KL</t>
  </si>
  <si>
    <t>WOS:000439799300018</t>
  </si>
  <si>
    <t>Lilien, DA; Fudge, TJ; Koutnik, MR; Conway, H; Osterberg, EC; Ferris, DG; Waddington, ED; Stevens, CM</t>
  </si>
  <si>
    <t>Lilien, David A.; Fudge, T. J.; Koutnik, Michelle R.; Conway, Howard; Osterberg, Erich C.; Ferris, David G.; Waddington, Edwin D.; Stevens, C. Max</t>
  </si>
  <si>
    <t>Holocene Ice-Flow Speedup in the Vicinity of the South Pole</t>
  </si>
  <si>
    <t>ice core; SPICEcore; ice-penetrating radar; EAIS; South Pole</t>
  </si>
  <si>
    <t>ANTARCTIC ICE; WEST ANTARCTICA; CHRONOLOGY AICC2012; EAST ANTARCTICA; CORE; SHEET; ACCUMULATION; SURFACE; KA; TEMPERATURE</t>
  </si>
  <si>
    <t>The South Pole Ice Core (SPICEcore) was drilled at least 180 km from an ice-flow divide. Thus, the annual-equivalent layer thicknesses in the core are affected by spatial variations in accumulation upstream in addition to temporal variations in regional accumulation. We use a new method to compare the SPICEcore accumulation record, derived by correcting measured layer thicknesses for thinning, with an accumulation record derived from new GPS and radar measurements upstream. When ice speeds are modeled as increasing by 15% since 10 ka, the upstream accumulation explains 77% of the variance in the SPICEcore-derived accumulation (versus 22% without speedup). This result demonstrates that the ice-flow direction and spatial pattern of accumulation were stable throughout the Holocene. The 15% speedup in turn suggests a slight (3-4%) steepening or thickening of the ice-sheet interior and provides a new constraint on the evolution of the East Antarctic Ice Sheet following the glacial termination. Plain Language Summary Understanding past changes in the flow of Antarctic ice is key to contextualizing modern glacier speedup and retreat, but there are few estimates of past flow speeds in the Antarctic interior. We used a new method to compare a direct record of the past 10,000 years of snowfall accumulation near the South Pole, derived from layers in the new South Pole Ice Core, with an estimate of the snowfall upstream over the last 150 years. By seeing how these records correlate, we provide a new constraint on past ice flow in the region, showing that the flow direction has been unchanged for 10,000 years while flow speeds have increased slightly during that time. This analysis also shows that most of the variations of layer thickness in the South Pole Ice Core result from ice flow rather than variations in accumulation through time. These results provide new data that can help improve models of ice flow over the last 10,000 years.</t>
  </si>
  <si>
    <t>[Lilien, David A.; Fudge, T. J.; Koutnik, Michelle R.; Conway, Howard; Waddington, Edwin D.; Stevens, C. Max] Univ Washington, Dept Earth &amp; Space Sci, Seattle, WA 98195 USA; [Lilien, David A.] Univ Washington, Appl Phys Lab, Seattle, WA 98105 USA; [Osterberg, Erich C.; Ferris, David G.] Dartmouth Coll, Dept Earth Sci, Hanover, NH 03755 USA</t>
  </si>
  <si>
    <t>University of Washington; University of Washington Seattle; University of Washington; University of Washington Seattle; Dartmouth College</t>
  </si>
  <si>
    <t>Lilien, DA (corresponding author), Univ Washington, Dept Earth &amp; Space Sci, Seattle, WA 98195 USA.;Lilien, DA (corresponding author), Univ Washington, Appl Phys Lab, Seattle, WA 98105 USA.</t>
  </si>
  <si>
    <t>dal22@uw.edu</t>
  </si>
  <si>
    <t>Lilien, David A./HNQ-6542-2023; Lilien, David A./H-1716-2018</t>
  </si>
  <si>
    <t>Lilien, David A./0000-0001-8667-8020; Lilien, David A./0000-0001-8667-8020; Fudge, Tyler/0000-0002-6818-7479; Conway, Howard/0000-0003-4634-3474; Ferris, David/0000-0003-2336-6163; Waddington, Edwin/0000-0003-4947-3223; Osterberg, Erich/0000-0002-0675-1230; Stevens, Christopher Max/0000-0003-2005-0876</t>
  </si>
  <si>
    <t>National Science Foundation [PLR-1443471, 1443232]; NASA Earth and Space Sciences Fellowship [NNX15AN53H]; Directorate For Geosciences; Office of Polar Programs (OPP) [1141839, 1443471] Funding Source: National Science Foundation; NASA [800156, NNX15AN53H] Funding Source: Federal RePORTER</t>
  </si>
  <si>
    <t>National Science Foundation(National Science Foundation (NSF)); NASA Earth and Space Sciences Fellowship; Directorate For Geosciences; Office of Polar Programs (OPP)(National Science Foundation (NSF)NSF - Directorate for Geosciences (GEO)); NASA(National Aeronautics &amp; Space Administration (NASA))</t>
  </si>
  <si>
    <t>This project was supported by the National Science Foundation (grants PLR-1443471 and 1443232). D. L. was partially supported by a NASA Earth and Space Sciences Fellowship (NNX15AN53H). We thank the Antarctic Support Contractor, Air National Guard, South Pole Station, UNAVCO, and Ice Drilling and Design Office (IDDO) for logistical support. We also thank Maurice Conway, David Clemens-Sewall, Austin Danicic, Elizabeth Morton, and Mike Waszkiewicz for assistance in the field. The South Pole GPS data are available at https://www.unavco.org/instrumentation/networks/status/polar/overview/AMU2; ECM volcanic ties tied to the SP-ECM, and our GPS and radar data are archived at the U.S. Antarctic Program Data Center (http://www.usapdc.org/view/dataset/601099 and http://www.usap-dc.org/view/dataset/601100).</t>
  </si>
  <si>
    <t>10.1029/2018GL078253</t>
  </si>
  <si>
    <t>WOS:000439784300026</t>
  </si>
  <si>
    <t>Köhler, P; Knorr, G; Stap, LB; Ganopolski, A; de Boer, B; van de Wal, RSW; Barker, S; Rüpke, LH</t>
  </si>
  <si>
    <t>Koehler, Peter; Knorr, Gregor; Stap, Lennert B.; Ganopolski, Andrey; de Boer, Bas; van de Wal, Roderik S. W.; Barker, Stephen; Ruepke, Lars H.</t>
  </si>
  <si>
    <t>The Effect of Obliquity-Driven Changes on Paleoclimate Sensitivity During the Late Pleistocene</t>
  </si>
  <si>
    <t>climate sensitivity; ECS; state dependence; Pleistocene; proxies; simulation</t>
  </si>
  <si>
    <t>EQUILIBRIUM CLIMATE SENSITIVITY; CHRONOLOGY AICC2012; GLOBAL TEMPERATURE; ANTARCTIC ICE; LAST; STATE; CO2; DEPENDENCY; SIMULATION; EVOLUTION</t>
  </si>
  <si>
    <t>We reanalyze existing paleodata of global mean surface temperature T-g and radiative forcing Delta R of CO2 and land ice albedo for the last 800,000 years to show that a state-dependency in paleoclimate sensitivity S, as previously suggested, is only found if Delta T-g is based on reconstructions, and not when Delta T-g is based on model simulations. Furthermore, during times of decreasing obliquity (periods of land ice sheet growth and sea level fall) the multimillennial component of reconstructed Delta T-g diverges from CO2, while in simulations both variables vary more synchronously, suggesting that the differences during these times are due to relatively low rates of simulated land ice growth and associated cooling. To produce a reconstruction-based extrapolation of S for the future, we exclude intervals with strong Delta T-g-CO2 divergence and find that S is less state-dependent, or even constant state-independent), yielding a mean equilibrium warming of 2-4K for a doubling of CO2. Plain Language Summary Anthropogenic carbon dioxide (CO2) emissions will lead to rising global mean temperature through the greenhouse effect. The amplitude of this warming, as estimated with computer simulations for the equilibrium climate response to a doubling of atmospheric CO2 concentration, is called climate sensitivity. It is necessary to verify these simulation-based quantifications of climate sensitivity with independent alternative approaches. One such approach is the analysis of past (paleo) climates, which has indicated a state-dependent paleoclimate sensitivity. Here we compare different data-based reconstructions and computer-based simulations of paleoclimate sensitivity of the last 800,000 years and find that they disagree. In data-based reconstructions global mean temperature and CO2 diverge during intervals when land ice growth is particularly pronounced. This temperature-CO2 divergence is not observed in simulations, probably due to an underestimation of the rate of land ice growth and the associated cooling. However, these periods of pronounced land ice growth are not of relevance for a warming future and can therefore be neglected when estimating climate sensitivity from reconstructions of the past. Consequently, we find that paleoclimate sensitivity derived from reconstructions is less state-dependent than previously thought and agrees with warming estimates of 2-4 degrees C as derived from simulated equilibrium climate response for CO2 doubling.</t>
  </si>
  <si>
    <t>[Koehler, Peter; Knorr, Gregor; Stap, Lennert B.] Helmholtz Zentrum Polar &amp; Meeresforsch, AWI, Bremerhaven, Germany; [Ganopolski, Andrey] Potsdam Inst Climate Impact Res PIK, Potsdam, Germany; [de Boer, Bas; van de Wal, Roderik S. W.] Univ Utrecht, Inst Marine &amp; Atmospher Res Utrecht IMAU, Utrecht, Netherlands; [Barker, Stephen] Cardiff Univ, Sch Earth &amp; Ocean Sci, Cardiff, S Glam, Wales; [Ruepke, Lars H.] GEOMAR Helmholtz Ctr Ocean Res Kiel, Kiel, Germany</t>
  </si>
  <si>
    <t>Helmholtz Association; Alfred Wegener Institute, Helmholtz Centre for Polar &amp; Marine Research; Potsdam Institut fur Klimafolgenforschung; Utrecht University; Cardiff University; Helmholtz Association; GEOMAR Helmholtz Center for Ocean Research Kiel</t>
  </si>
  <si>
    <t>Köhler, P (corresponding author), Helmholtz Zentrum Polar &amp; Meeresforsch, AWI, Bremerhaven, Germany.</t>
  </si>
  <si>
    <t>Peter.Koehler@awi.de</t>
  </si>
  <si>
    <t>Ruepke, Lars/AAA-4099-2020; Köhler, Peter/F-7293-2010; Stephen, Barker/C-2770-2009; van de wal, roderik/D-1705-2011</t>
  </si>
  <si>
    <t>Ruepke, Lars/0000-0001-7025-4362; Köhler, Peter/0000-0003-0904-8484; van de wal, roderik/0000-0003-2543-3892; Knorr, Gregor/0000-0002-8317-5046; Stap, Lennert/0000-0002-2108-3533; Barker, Stephen/0000-0001-7870-6431; de Boer, Bas/0000-0002-3696-6654</t>
  </si>
  <si>
    <t>AWI via the research program PACES-II of the Helmholtz Association; Helmholtz Climate Initiative REKLIM (Regional Climate Change); Helmholtz Association of German research centers (HGF); NWO Earth and Life Sciences (ALW) [863.15.019]</t>
  </si>
  <si>
    <t>AWI via the research program PACES-II of the Helmholtz Association; Helmholtz Climate Initiative REKLIM (Regional Climate Change); Helmholtz Association of German research centers (HGF)(Helmholtz Association); NWO Earth and Life Sciences (ALW)</t>
  </si>
  <si>
    <t>This is work institutional-funded at AWI via the research program PACES-II of the Helmholtz Association. It contributes to PALMOD, the German Paleomodeling Research Project funded by BMBF. Gregor Knorr acknowledges funding by Helmholtz Climate Initiative REKLIM (Regional Climate Change), a joint research project of the Helmholtz Association of German research centers (HGF). B. de Boer is funded by NWO Earth and Life Sciences (ALW), project 863.15.019. This work contributes to the Netherlands Earth System Science Centre (NESSC). We thank Tobias Friedrich for providing data and Emma Smith for language editing. No new data have been generated for this work. All analyzed data sets have been taken from the cited literature.</t>
  </si>
  <si>
    <t>10.1029/2018GL077717</t>
  </si>
  <si>
    <t>WOS:000439784300038</t>
  </si>
  <si>
    <t>Scheffler, G; Pulido, M; Rodas, C</t>
  </si>
  <si>
    <t>Scheffler, Guillermo; Pulido, Manuel; Rodas, Claudio</t>
  </si>
  <si>
    <t>The Role of Gravity Wave Drag Optimization in the Splitting of the Antarctic Vortex in the 2002 Sudden Stratospheric Warming</t>
  </si>
  <si>
    <t>stratospheric circulation; sudden stratospheric warming; gravity waves; data assimilation</t>
  </si>
  <si>
    <t>DATA ASSIMILATION PRINCIPLES; SOUTHERN-HEMISPHERE; CLIMATOLOGY; DYNAMICS; FLUX</t>
  </si>
  <si>
    <t>The impact of gravity wave drag on the Antarctic sudden stratospheric warming (SSW) in 2002 is examined through a mechanistic middle atmosphere model combined with a variational data assimilation system. Significant differences in the SSW representation are found between a model integration that uses reference gravity wave parameters and one that uses parameters estimated using data assimilation. Upon identical wave forcings at 100 hPa, the vortex breakdown may arise as either a vortex splitting event or a displacement vortex event depending on gravity wave parameters. A local enhancement of Rossby waves is found in the integration with estimated parameters, leading to a split SSW. The changes in the vortex breakdown are associated with changes in the vortex geometry caused entirely by modifying the gravity wave parameters. Gravity wave drag proved to play an instrumental role in preconditioning the stratosphere near a resonant excitation point that triggers the split SSW. Plain Language Summary Sudden stratospheric warming (SSW) events are manifestations of an abrupt change of the wintertime polar jet stream circulation, with consequences on tropospheric weather. The associated vortex breakdown is characterized by either a displacement or split of the vortex. This work focuses on the unprecedented 2002 Antarctic SSW and compares a model integration using standard model parameters, with an integration using parameters optimized using data assimilation methods. The optimized parameters are the ones in the gravity wave drag parameterization. Only the integration with optimal parameters is able to accurately reproduce the vortex splitting. Our results show that gravity wave drag parameterizations play an essential role when modeling SSWs. Data assimilation methods may be a useful tool to properly adjust these types of parameterizations.</t>
  </si>
  <si>
    <t>[Scheffler, Guillermo] UBA, CONICET, Ctr Invest Mar &amp; Atmosfera, Buenos Aires, DF, Argentina; [Scheffler, Guillermo] Univ Nacl Nordeste, Dept Math, FaCENA, Corrientes, Argentina; [Pulido, Manuel; Rodas, Claudio] Univ Nacl Nordeste, Dept Phys, FaCENA, Corrientes, Argentina; [Pulido, Manuel] Consejo Nacl Invest Cient &amp; Tecn, Corrientes, Argentina; [Pulido, Manuel] Univ Reading, Dept Meteorol, Reading, Berks, England</t>
  </si>
  <si>
    <t>University of Buenos Aires; Consejo Nacional de Investigaciones Cientificas y Tecnicas (CONICET); Consejo Nacional de Investigaciones Cientificas y Tecnicas (CONICET); University of Reading</t>
  </si>
  <si>
    <t>Scheffler, G (corresponding author), UBA, CONICET, Ctr Invest Mar &amp; Atmosfera, Buenos Aires, DF, Argentina.;Scheffler, G (corresponding author), Univ Nacl Nordeste, Dept Math, FaCENA, Corrientes, Argentina.</t>
  </si>
  <si>
    <t>guillermo.scheffler@cima.fcen.uba.ar</t>
  </si>
  <si>
    <t>Pulido, Manuel/0000-0003-3992-8044</t>
  </si>
  <si>
    <t>ANPCyT [PICT2015-2368]</t>
  </si>
  <si>
    <t>ANPCyT(ANPCyT)</t>
  </si>
  <si>
    <t>This work used the computational facilities at CECONEA (UNNE) and was partially funded by ANPCyT PICT2015-2368. MERRA data have been provided by the Global Modeling and Assimilation (GMA) at NASA Goddard Space Flight Center and is available through the NASA GES-DISC archive.</t>
  </si>
  <si>
    <t>10.1029/2018GL077993</t>
  </si>
  <si>
    <t>WOS:000439784300044</t>
  </si>
  <si>
    <t>Pattyn, F</t>
  </si>
  <si>
    <t>Pattyn, Frank</t>
  </si>
  <si>
    <t>The paradigm shift in Antarctic ice sheet modelling</t>
  </si>
  <si>
    <t>GLACIERS</t>
  </si>
  <si>
    <t>The Antarctic ice sheet is one of the largest potential contributors to future sea level rise. Predicting its future behaviour using physically-based ice sheet models has been a bottleneck for the past decades, but major advances are ongoing.</t>
  </si>
  <si>
    <t>[Pattyn, Frank] ULB, Lab Glaciol, B-1050 Brussels, Belgium</t>
  </si>
  <si>
    <t>Universite Libre de Bruxelles</t>
  </si>
  <si>
    <t>Pattyn, F (corresponding author), ULB, Lab Glaciol, B-1050 Brussels, Belgium.</t>
  </si>
  <si>
    <t>fpattyn@ulb.ac.be</t>
  </si>
  <si>
    <t>Pattyn, Frank/AAA-9640-2019</t>
  </si>
  <si>
    <t>Pattyn, Frank/0000-0003-4805-5636</t>
  </si>
  <si>
    <t>Fonds de la Recherche Scientifique-FNRS [O0100718F, 30454083]</t>
  </si>
  <si>
    <t>Fonds de la Recherche Scientifique-FNRS(Fonds de la Recherche Scientifique - FNRS)</t>
  </si>
  <si>
    <t>F.P. thanks Lionel Favier for the preparation of the figure. This comment is a contribution to the PARAMOUR project 'Decadal predictability and variability of polar climate: the role of atmosphere-ocean-cryosphere multiscale interactions' supported by the Fonds de la Recherche Scientifique-FNRS under Grant number O0100718F (EOS ID 30454083).</t>
  </si>
  <si>
    <t>10.1038/s41467-018-05003-z</t>
  </si>
  <si>
    <t>GN0RP</t>
  </si>
  <si>
    <t>WOS:000438683100001</t>
  </si>
  <si>
    <t>Steig, EJ; Neff, PD</t>
  </si>
  <si>
    <t>Steig, Eric J.; Neff, Peter D.</t>
  </si>
  <si>
    <t>The prescience of paleoclimatology and the future of the Antarctic ice sheet</t>
  </si>
  <si>
    <t>SEA-LEVEL RISE; WEST ANTARCTICA; PINE ISLAND; GLACIER; COLLAPSE; RETREAT; CLIMATE; DISINTEGRATION; PLEISTOCENE; PENINSULA</t>
  </si>
  <si>
    <t>The emerging view that the West Antarctic ice sheet is in the early stage of collapse owes as much to paleoclimatology as to contemporary observations.</t>
  </si>
  <si>
    <t>[Steig, Eric J.; Neff, Peter D.] Univ Washington, Dept Earth &amp; Space Sci, Box 351310, Seattle, WA 98195 USA</t>
  </si>
  <si>
    <t>Steig, EJ (corresponding author), Univ Washington, Dept Earth &amp; Space Sci, Box 351310, Seattle, WA 98195 USA.</t>
  </si>
  <si>
    <t>steig@uw.edu</t>
  </si>
  <si>
    <t>Steig, Eric J/G-9088-2015; Neff, Peter David/ABB-7688-2021</t>
  </si>
  <si>
    <t>Neff, Peter/0000-0003-1697-0936</t>
  </si>
  <si>
    <t>10.1038/s41467-018-05001-1</t>
  </si>
  <si>
    <t>WOS:000438683100003</t>
  </si>
  <si>
    <t>Deng, J; Wu, ZH; Zhang, M; Huang, NE; Wang, SZ; Qiao, FL</t>
  </si>
  <si>
    <t>Deng, Jia; Wu, Zhaohua; Zhang, Min; Huang, Norden E.; Wang, Shizhu; Qiao, Fangli</t>
  </si>
  <si>
    <t>Using Holo-Hilbert spectral analysis to quantify the modulation of Dansgaard-Oeschger events by obliquity</t>
  </si>
  <si>
    <t>Pleistocene; Paleoclimatology; Greenland; Antarctica; Data treatment; Data analysis; Dansgaard-oeschger (DO) events; Obliquity forcing; Phase preference; Holo-hilbert spectral analysis; Amplitude modulation</t>
  </si>
  <si>
    <t>EMPIRICAL MODE DECOMPOSITION; GREENLAND ICE-CORE; MILLENNIAL-SCALE; CLIMATE; TIME; VARIABILITY; NOISE; RECORDS; GISP2; CYCLE</t>
  </si>
  <si>
    <t>Astronomical forcing (obliquity and precession) has been thought to modulate Dansgaard-Oeschger (DO) events, yet the detailed quantification of such modulations has not been examined. In this study, we apply the novel Holo-Hilbert Spectral Analysis (HHSA) to five polar ice core records, quantifying astronomical forcing's time-varying amplitude modulation of DO events and identifying the preferred obliquity phases for large amplitude modulations. The unique advantages of HHSA over the widely used windowed Fourier spectral analysis for quantifying astronomical forcing's nonlinear modulations of DO events is first demonstrated with a synthetic data that closely resembles DO events recorded in Greenland ice cores (NGRIP, GRIP, and GISP2 cores on GICC05 modelext timescale). The analysis of paleoclimatic proxies show that statistically significantly more frequent DO events, with larger amplitude modulation in the Greenland region, tend to occur in the decreasing phase of obliquity, especially from its mean value to its minimum value. In the eastern Antarctic, although statistically significantly more DO events tend to occur in the decreasing obliquity phase in general, the preferred phase of obliquity for large amplitude modulation on DO events is a segment of the increasing phase near the maximum obliquity, implying that the physical mechanisms of DO events may be different for the two polar regions. Additionally, by using cross-spectrum and magnitude-squared analyses, Greenland DO mode at a timescale of about 1400 years leads the Antarctic DO mode at the same timescale by about 1000 years. (C) 2018 Elsevier Ltd. All rights reserved.</t>
  </si>
  <si>
    <t>[Deng, Jia; Wu, Zhaohua; Zhang, Min; Huang, Norden E.; Wang, Shizhu; Qiao, Fangli] State Ocean Adm, Inst Oceanog 1, Qingdao 266061, Peoples R China; [Deng, Jia; Wu, Zhaohua; Zhang, Min; Huang, Norden E.; Qiao, Fangli] Qingdao Natl Lab Marine Sci &amp; Technol, Lab Reg Oceanog &amp; Numer Modelling, Qingdao 266071, Peoples R China; [Deng, Jia; Zhang, Min; Huang, Norden E.] State Ocean Adm, Key Lab Data Anal &amp; Applicat, Qingdao 266061, Peoples R China; [Wu, Zhaohua] Florida State Univ, Dept Earth Ocean &amp; Atmospher Sci, Tallahassee, FL 32306 USA; [Wu, Zhaohua] Florida State Univ, Ctr Ocean Atmospher Predict Studies, Tallahassee, FL 32306 USA; [Wang, Shizhu; Qiao, Fangli] State Ocean Adm, Key Lab Marine Sci &amp; Numer Modelling, Qingdao 266061, Peoples R China</t>
  </si>
  <si>
    <t>First Institute of Oceanography, Ministry of Natural Resources; Laoshan Laboratory; State University System of Florida; Florida State University; State University System of Florida; Florida State University</t>
  </si>
  <si>
    <t>Qiao, FL (corresponding author), State Ocean Adm, Inst Oceanog 1, Qingdao 266061, Peoples R China.</t>
  </si>
  <si>
    <t>qiaofl@fio.org.cn</t>
  </si>
  <si>
    <t>Zhang, Min/ABC-2866-2021; Wu, Zhaohua/N-7102-2013</t>
  </si>
  <si>
    <t>Wu, Zhaohua/0000-0003-1660-0724</t>
  </si>
  <si>
    <t>National Basic Research Program of China [201203957802]; National Natural Science Foundation of China (NSFC) [41506067]; Basic Scientific Fund for National Public Research Institutes of China [2015G04]; US National Science Foundation [AGS-1723300]; NSFC-Shandong Joint Fund for Marine Science Research Centers [U1606405]; National Programme on Global Change and Air-Sea Interaction [GASI-IPOVAI-05]</t>
  </si>
  <si>
    <t>National Basic Research Program of China(National Basic Research Program of China); National Natural Science Foundation of China (NSFC)(National Natural Science Foundation of China (NSFC)); Basic Scientific Fund for National Public Research Institutes of China; US National Science Foundation(National Science Foundation (NSF)); NSFC-Shandong Joint Fund for Marine Science Research Centers; National Programme on Global Change and Air-Sea Interaction</t>
  </si>
  <si>
    <t>This work was jointly supported by the National Basic Research Program of China (Grant No. 201203957802); the National Natural Science Foundation of China (NSFC) (Grant No. 41506067); the Basic Scientific Fund for National Public Research Institutes of China (Grant No. 2015G04); the US National Science Foundation (Grant No. AGS-1723300); the NSFC-Shandong Joint Fund for Marine Science Research Centers (Grant No. U1606405); and the National Programme on Global Change and Air-Sea Interaction (Grant No. GASI-IPOVAI-05).</t>
  </si>
  <si>
    <t>JUL 15</t>
  </si>
  <si>
    <t>10.1016/j.quascirev.2018.05.019</t>
  </si>
  <si>
    <t>GM5LV</t>
  </si>
  <si>
    <t>WOS:000438179800020</t>
  </si>
  <si>
    <t>Pedro, JB; Jochum, M; Buizert, C; He, F; Barker, S; Rasmussen, SO</t>
  </si>
  <si>
    <t>Pedro, Joel B.; Jochum, Markus; Buizert, Christo; He, Feng; Barker, Stephen; Rasmussen, Sune O.</t>
  </si>
  <si>
    <t>Beyond the bipolar seesaw: Toward a process understanding of interhemispheric coupling</t>
  </si>
  <si>
    <t>Bipolar ocean seesaw; Atlantic Meridional Overturning Circulation; Millennial-scale climate variability; Dansgaard-oeschger event; Antarctic Isotope Maximum; Sea ice; Southern Ocean; Antarctic Circumpolar Current</t>
  </si>
  <si>
    <t>MERIDIONAL OVERTURNING CIRCULATION; ABRUPT CLIMATE-CHANGE; LAST GLACIAL MAXIMUM; ATLANTIC DEEP-WATER; GLOBAL ATMOSPHERIC TELECONNECTIONS; SEA-SURFACE TEMPERATURES; ICE-CORE RECORDS; NORTH-ATLANTIC; SOUTHERN-OCEAN; FRESH-WATER</t>
  </si>
  <si>
    <t>The thermal bipolar ocean seesaw hypothesis was advanced by Stocker and Johnsen (2003) as the 'simplest possible thermodynamic model' to explain the time relationship between Dansgaard Oeschger (DO) and Antarctic Isotope Maxima (AIM) events. In this review we combine palaeoclimate observations, theory and general circulation model experiments to advance from the conceptual model toward a process understanding of interhemispheric coupling and the forcing of AIM events. We present four main results: (1) Changes in Atlantic heat transport invoked by the thermal seesaw are partially compensated by opposing changes in heat transport by the global atmosphere and Pacific Ocean. This compensation is an integral part of interhemispheric coupling, with a major influence on the global pattern of climate anomalies. (2) We support the role of a heat reservoir in interhemispheric coupling but argue that its location is the global interior ocean to the north of the Antarctic Circumpolar Current (ACC), not the commonly assumed Southern Ocean. (3) Energy budget analysis indicates that the process driving Antarctic warming during AIM events is an increase in poleward atmospheric heat and moisture transport following sea ice retreat and surface warming over the Southern Ocean. (4) The Antarctic sea ice retreat is itself driven by eddy-heat fluxes across the ACC, amplified by sea-ice albedo feedbacks. The lag of Antarctic warming after AMOC collapse reflects the time required for heat to accumulate in the ocean interior north of the ACC (predominantly the upper 1500m), before it can be mixed across this dynamic barrier by eddies. (C) 2018 The Authors. Published by Elsevier Ltd.</t>
  </si>
  <si>
    <t>[Pedro, Joel B.; Jochum, Markus; Rasmussen, Sune O.] Univ Copenhagen, Niels Bohr Inst, Ctr Ice &amp; Climate, Copenhagen, Denmark; [Buizert, Christo; He, Feng] Oregon State Univ, Coll Earth Ocean &amp; Atmospher Sci, Corvallis, OR 97331 USA; [He, Feng] Univ Wisconsin, Nelson Inst Environm Studies, Ctr Climat Res, Madison, WI USA; [Barker, Stephen] Cardiff Univ, Sch Earth &amp; Ocean Sci, Cardiff, S Glam, Wales</t>
  </si>
  <si>
    <t>University of Copenhagen; Niels Bohr Institute; Oregon State University; University of Wisconsin System; University of Wisconsin Madison; Cardiff University</t>
  </si>
  <si>
    <t>Pedro, JB (corresponding author), Univ Copenhagen, Niels Bohr Inst, Ctr Ice &amp; Climate, Copenhagen, Denmark.</t>
  </si>
  <si>
    <t>jpedro@nbi.ku.dk</t>
  </si>
  <si>
    <t>Rasmussen, Sune/B-5560-2008; Stephen, Barker/C-2770-2009; Pedro, Joel/M-5632-2014; Pedro, Joel Benjamin/L-8918-2019; He, Feng/B-3583-2008; jochum, markus/AAQ-7967-2020; Rasmussen, Sune Olander/AAA-3190-2021; he, feng/HOF-1989-2023; jochum, markus/F-8237-2013</t>
  </si>
  <si>
    <t>Pedro, Joel/0000-0002-0728-2712; Pedro, Joel Benjamin/0000-0002-0728-2712; jochum, markus/0000-0003-2690-3139; Rasmussen, Sune Olander/0000-0002-4177-3611; Barker, Stephen/0000-0001-7870-6431; He, Feng/0000-0002-3355-6406</t>
  </si>
  <si>
    <t>European Research Council under the European Communitys Seventh Framework Programme (FP7)/ERC [610055]; European Union Horizon 2020 research and innovation programme under Marie Sk1odowska Curie [330552]; US National Science Foundation [ANT 1643394]; NERC [NE/L006405/1] Funding Source: UKRI</t>
  </si>
  <si>
    <t>European Research Council under the European Communitys Seventh Framework Programme (FP7)/ERC(European Research Council (ERC)); European Union Horizon 2020 research and innovation programme under Marie Sk1odowska Curie; US National Science Foundation(National Science Foundation (NSF)); NERC(UK Research &amp; Innovation (UKRI)Natural Environment Research Council (NERC))</t>
  </si>
  <si>
    <t>This research was supported by the European Research Council under the European Communitys Seventh Framework Programme (FP7/2007-2013)/ERC grant agreement 610055 (the ice2ice project). JBP acknowledges financial support from the European Union Horizon 2020 research and innovation programme under Marie Sk1odowska Curie grant agreement 330552. CB acknowledges financial support from the US National Science Foundation (ANT 1643394). We thank participants in the ice2ice Southern Ocean and MIS 3 workshop and also Thomas Stocker, Laura Herraiz Borreguero, Helen Bostock, Torge Martin, Jonathan RheinInder and Eric Steig for stimulating discussions that helped inspire this paper. We are grateful for constructive feedback from two anonymous reviewers. We thank Roman Nuterman for coding assistance.</t>
  </si>
  <si>
    <t>10.1016/j.quascirev.2018.05.005</t>
  </si>
  <si>
    <t>WOS:000438179800002</t>
  </si>
  <si>
    <t>Kim, S; Yoo, KC; Lee, JI; Khim, BK; Bak, YS; Lee, MK; Lee, J; Domack, EW; Christ, AJ; Yoon, HI</t>
  </si>
  <si>
    <t>Kim, Sunghan; Yoo, Kyu-Cheul; Lee, Jae Il; Khim, Boo-Keun; Bak, Young-Suk; Lee, Min Kyung; Lee, Jongmin; Domack, Eugene W.; Christ, Andrew J.; Yoon, Ho Il</t>
  </si>
  <si>
    <t>Holocene paleoceanography of Bigo Bay, west Antarctic Peninsula: Connections between surface water productivity and nutrient utilization and its implication for surface-deep water mass exchange</t>
  </si>
  <si>
    <t>Holocene; Paleoceanography; West Antarctic Peninsula; Marine core; Geochemistry; Nutrient utilization</t>
  </si>
  <si>
    <t>VI ICE SHELF; SEA-ICE; SOUTHERN-OCEAN; CONTINENTAL-SHELF; CLIMATE-CHANGE; OCEANOGRAPHIC VARIABILITY; ROSS SEA; RETREAT; DIATOM; RADIOCARBON</t>
  </si>
  <si>
    <t>Paleoceanographic changes in response to Holocene climate variability in Bigo Bay, west Antarctic Peninsula (WAP) were reconstructed through geochemical, isotopic, sedimentological, and microfossil analysis. Core WAP13-GC47 is composed of 4 lithologic units. Unit 4 was deposited under ice shelf settings. Unit 3 represents the mid-Holocene open marine conditions. Unit 2 indicates lateral sediment transport by a glacier advance during the Neoglacial period. The chronological contrast between the timing of open marine conditions at core WAP13-GC47 (ca. 7060 cal. yr BP at 540 cm) and the ages of calcareous shell fragments (ca. 8500 cal. yr BP) in Unit 2b suggests sediment reworking during the Neoglacial period. Unit 1 was deposited during the Medieval Warm Period (MWP) and the Little Ice Age (LIA). Surface water productivity, represented by biogenic opal and total organic carbon (TOC) concentrations, increased and bulk delta N-15 (nitrate utilization) decreased during the warmer early to middle Holocene and the MWP. In contrast, surface water productivity decreased with increased bulk delta N-15 during the colder Neoglacial period and LIA in Bigo Bay. The nitrate utilization was enhanced during cold periods in association with strong surface water stratification resulting from increased sea ice meltwater discharge or proximity to an ice shelf calving front in Bigo Bay. Reduced nitrate utilization during warm periods is related to weak stratification induced by less sea ice meltwater input and stronger Circumpolar Deep Water influence. (C) 2018 Elsevier Ltd. All rights reserved.</t>
  </si>
  <si>
    <t>[Kim, Sunghan; Yoo, Kyu-Cheul; Lee, Jae Il; Lee, Min Kyung; Yoon, Ho Il] Korea Polar Res Inst, Incheon 21990, South Korea; [Khim, Boo-Keun; Lee, Jongmin] Pusan Natl Univ, Dept Oceanog, Busan 46241, South Korea; [Bak, Young-Suk] Chonbuk Natl Univ, Dept Earth &amp; Environm Sci, Jeonju 54896, South Korea; [Domack, Eugene W.] Univ S Florida, Coll Marine Sci, Tampa, FL 33620 USA; [Christ, Andrew J.] Boston Univ, Dept Earth &amp; Environm, Boston, MA 02115 USA</t>
  </si>
  <si>
    <t>Korea Polar Research Institute (KOPRI); Pusan National University; Jeonbuk National University; State University System of Florida; University of South Florida; Boston University</t>
  </si>
  <si>
    <t>Yoo, KC (corresponding author), Korea Polar Res Inst, Incheon 21990, South Korea.</t>
  </si>
  <si>
    <t>kcyoo@kopri.re.kr</t>
  </si>
  <si>
    <t>Kim, Sunghan/CAG-2289-2022; Christ, Andrew J./AAA-7777-2020</t>
  </si>
  <si>
    <t>Christ, Andrew J./0000-0003-0989-6491</t>
  </si>
  <si>
    <t>KOPRI [PE18030]</t>
  </si>
  <si>
    <t>KOPRI(Korea Polar Research Institute of Marine Research Placement (KOPRI))</t>
  </si>
  <si>
    <t>We would like to thank the crew and scientific party of the R/V Araon for all their help during the gravity coring on board. We would like to thank KOPRI laboratory members for all their help during experimental measurements. We appreciate the handling editor (Dr. Ingrid Hendy) and two anonymous reviewers for their critical and constructive comments to improve data interpretation and manuscript structure. This research was supported by KOPRI project (PE18030). Finally, we would like to pay our deepest respects to our late colleague, Eugene Domack. He was an excellent and enthusiastic scientist who was dedicated to mentoring young scientists and collaborating with his many colleagues across the globe, all in the pursuit of expanding scientific knowledge. Rest in peace, Gene.</t>
  </si>
  <si>
    <t>10.1016/j.quascirev.2018.05.028</t>
  </si>
  <si>
    <t>WOS:000438179800004</t>
  </si>
  <si>
    <t>Montelli, A; Dowdeswell, JA; Ottesen, D; Johansen, SE</t>
  </si>
  <si>
    <t>Montelli, A.; Dowdeswell, J. A.; Ottesen, D.; Johansen, S. E.</t>
  </si>
  <si>
    <t>Architecture and sedimentary processes on the mid-Norwegian continental slope: A 2.7 Myr record from extensive seismic evidence</t>
  </si>
  <si>
    <t>Seismic stratigraphy; Continental slope; Marine geology; Palaeo-glaciology; Glacial geomorphology; Debris flows; Turbidity currents; Slope processes; Ice streams; Fennoscandian ice sheet</t>
  </si>
  <si>
    <t>TROUGH-MOUTH FAN; ANTARCTIC ICE-SHEET; BARENTS SEA MARGIN; PLEISTOCENE-HOLOCENE RETREAT; GLACIGENIC DEBRIS-FLOWS; LATE CENOZOIC EROSION; ROSS SEA; DEPOSITIONAL PROCESSES; TRAENADJUPET SLIDE; SUBMARINE SLIDES</t>
  </si>
  <si>
    <t>Quaternary architectural evolution and sedimentary processes on the mid-Norwegian continental slope are investigated using margin-wide three- and two-dimensional seismic datasets. Of similar to 100,000 km(3) sediments delivered to the mid-Norwegian shelf and slope over the Quaternary, similar to 75,000 km(3) comprise the slope succession. The structural high of the Vering Plateau, characterised by initially low (similar to 1-2 degrees) slope gradients and reduced accommodation space, exerted a strong control over the long-term architectural evolution of the margin. Slope sediment fluxes were higher on the Wiring Plateau area, increasing up to similar to 32 km(3) ka(-1) during the middle Pleistocene, when fast-flowing ice streams advanced to the palaeo-shelf edge. Resulted in a more rapid slope progradation on the Vining Plateau, these rates of sediment delivery are high compared to the maximum of similar to 7 km(3) ka(-1) in the adjacent sectors of the slope, characterised by steeper slope (similar to 3-5 degrees), more available accommodation space and smaller or no palaeo-ice streams on the adjacent shelves. In addition to the broad-scale architectural evolution, identification of more than 300 buried slope landforms provides an unprecedented level of detailed, process-based palaeoenvironmental reconstruction. Channels dominate the Early Pleistocene record (similar to 2.7-0.8 Ma), during which glacimarine sedimentation on the slope was influenced by dense bottom-water flow and turbidity currents. Morphologic signature of glacigenic debris-flows appear within the Middle-Late Pleistocene (similar to 0.8-0 Ma) succession. Their abundance increases towards Late Pleistocene, marking a decreasing role for channelized turbidity currents and dense water flows. This broad-scale palaeo-environmental shift coincides with the intensification of Northern Hemispheric glaciations, highlighting first-order climate control on the sedimentary processes in high-latitude continental slopes. (C) 2018 Elsevier Ltd. All rights reserved.</t>
  </si>
  <si>
    <t>[Montelli, A.; Dowdeswell, J. A.] Univ Cambridge, Scott Polar Res Inst, Cambridge CB2 1ER, England; [Ottesen, D.] Geol Survey Norway, N-7491 Trondheim, Norway; [Johansen, S. E.] Norwegian Univ Sci &amp; Technol, Dept Geosci &amp; Petr, N-7031 Trondheim, Norway</t>
  </si>
  <si>
    <t>University of Cambridge; Geological Survey of Norway; Norwegian University of Science &amp; Technology (NTNU)</t>
  </si>
  <si>
    <t>Montelli, A (corresponding author), Univ Cambridge, Scott Polar Res Inst, Cambridge CB2 1ER, England.</t>
  </si>
  <si>
    <t>aim39@cam.ac.uk</t>
  </si>
  <si>
    <t>Dowdeswell, Julian/0000-0003-1369-9482</t>
  </si>
  <si>
    <t>Gates Cambridge Trust</t>
  </si>
  <si>
    <t>Doctoral funding for A.M. was from the Gates Cambridge Trust. Datasets were provided by the Norwegian Petroleum Directorate (NPD), and Norwegian University of Science and Technology (NTNU) from the Schlumberger Petrel Ready Database. Petrel Schlumberger Software was provided by NTNU Department of Geoscience and Petroleum. The authors would like to thank the reviewers for their constructive comments. In addition, we thank Mr. Roman Brodetski for his assistance with slope profile analysis.</t>
  </si>
  <si>
    <t>10.1016/j.quascirev.2018.05.034</t>
  </si>
  <si>
    <t>WOS:000438179800013</t>
  </si>
  <si>
    <t>Song, JX; Guo, J; Zhang, S; Gong, YM</t>
  </si>
  <si>
    <t>Song, Jingxing; Guo, Jing; Zhang, Sen; Gong, Yumei</t>
  </si>
  <si>
    <t>Properties of cellulose/Antarctic krill protein composite fibers prepared in different coagulation baths</t>
  </si>
  <si>
    <t>Cellulose; Antarctic krill protein; Fiber; Coagulation bath</t>
  </si>
  <si>
    <t>NANOFIBROUS MATS; IONIC LIQUID; CELLULOSE</t>
  </si>
  <si>
    <t>In this paper, cellulose/Antarctic krill protein composite fibers were obtained by wet spinning. The raw materials were recyclable cellulose (C) and Antarctic krill protein (AKP), while the solvent was an aqueous solution containing 7 wt% NaOH and 12 wt% urea, which is eco-friendly. The fiber was stretched in a coagulation bath containing H2SO4 and Na2SO4. The effects of coagulation at different bath concentrations on the mechanical performance, crystallinity, and morphology of the C/AKP composite fibers were studied systematically. The break strength firstly increased and then decreased with an increase in the concentration of the bath. At a coagulation bath concentration of H2SO2/Na2SO4 (12 wt%/12 wt%), the crystallinity was 15.16%. Scanning electron microscopy (SEM) observations revealed the presence of grooves on the fiber surface. The type and percentage of hydrogen bonds in the C/AMP composite fibers were analyzed by Fourier transform infrared spectroscopy (FT-IR). On the basis of the obtained results, we finally optimized the coagulation bath composition and concentration. (C) 2018 Elsevier B.V. All rights reserved.</t>
  </si>
  <si>
    <t>[Song, Jingxing; Guo, Jing; Zhang, Sen; Gong, Yumei] Dalian Polytech Univ, Dalian 116034, Liaoning, Peoples R China; [Guo, Jing] Dalian Polytech Univ, Liaoning Engn Technol Res Ctr Funct Fiber &amp; Its C, Dalian 116034, Peoples R China</t>
  </si>
  <si>
    <t>Dalian Polytechnic University; Dalian Polytechnic University</t>
  </si>
  <si>
    <t>Guo, J (corresponding author), Dalian Polytech Univ, Liaoning Engn Technol Res Ctr Funct Fiber &amp; Its C, Dalian 116034, Peoples R China.</t>
  </si>
  <si>
    <t>guojing8161@163.com</t>
  </si>
  <si>
    <t>Zhang, Sen/0000-0001-7429-7300;</t>
  </si>
  <si>
    <t>National Natural Science Foundation of China [51773024, 51403028]; Liaoning Science and Technology Foundation of China [2015020221]; Surface Project of Liaoning Science and Technology Department [20170540077]</t>
  </si>
  <si>
    <t>National Natural Science Foundation of China(National Natural Science Foundation of China (NSFC)); Liaoning Science and Technology Foundation of China; Surface Project of Liaoning Science and Technology Department</t>
  </si>
  <si>
    <t>This work was supported by the National Natural Science Foundation of China (No. 51773024 &amp; No. 51403028) and Liaoning Science and Technology Foundation of China (No. 2015020221). Support from the Surface Project of Liaoning Science and Technology Department (No. 20170540077) is also gratefully acknowledged.</t>
  </si>
  <si>
    <t>10.1016/j.ijbiomac.2018.03.118</t>
  </si>
  <si>
    <t>GJ1VV</t>
  </si>
  <si>
    <t>WOS:000435056900038</t>
  </si>
  <si>
    <t>Wu, NP; Farquhar, J; Dottin, JW; Magalhaes, N</t>
  </si>
  <si>
    <t>Wu, Nanping; Farquhar, James; Dottin, James W., III; Magalhaes, Nivea</t>
  </si>
  <si>
    <t>Sulfur isotope signatures of eucrites and diogenites</t>
  </si>
  <si>
    <t>Sulfur isotope; HED meteorites; Asteroid 4 Vesta</t>
  </si>
  <si>
    <t>EARLY SOLAR-SYSTEM; MAGMA OCEAN CRYSTALLIZATION; PARENT BODY; MN-53-CR-53 SYSTEMATICS; SIDEROPHILE ELEMENTS; LATE ACCRETION; CORE FORMATION; VESTA; METEORITES; PLANETARY</t>
  </si>
  <si>
    <t>High precision sulfur isotope data on eight eucrites and two diogenites are reported to explore the provenance of sulfur and processes that affected the sulfur isotope composition and sulfur abundance within the HED (Howardite, Eucrite, Diogenite) parent body (Asteroid 4 Vesta) or parent bodies for eucrite-like meteorites. Sulfur isotope values for a subset of six of the eucrites (EET 90020, PCA 82502, BTN 00300, MIL 11290, QUE 97014, and Sioux County) and two diogenites (Johnstown and Shalka) converge on a singular sulfur isotope composition, yielding a mean delta S-34 of 0.26 +/- 0.17 parts per thousand (2 SD), Delta S-33 of 0.010 +/- 0.007 parts per thousand (2 SD), and Delta S-36 of -0.22 +/- 0.21 parts per thousand (2 SD). The variances on these mean values can be entirely accounted for by analytical uncertainties. The homogenous positive Delta S-33 for these samples suggests that sulfur in Asteroid 4 Vesta has a Delta S-33 of 0.010 +/- 0.002 parts per thousand (2 SE) which is consistent with the occurrence of a process that allowed for promoted-isotopic-exchange within the parent body to homogenize Delta S-33. This process was previously recognized in the homogenous Delta O-17 composition that has been linked to large-scale silicate melting and mixing. The positive delta S-34 of this group of samples is attributed to fractionations associated with sulfur loss, and the homogeneity of sulfur isotopes suggests that this loss predates the mixing event. The sulfur isotope data alone do not differentiate whether this loss occurred prior to or post core formation, or even prior to accretion. Two eucrites (GRA 98098 and CMS 04049) yield isotopic compositions that are distinct from this mean for delta S-34, and in the case of CMS 04049, for Delta S-33 as well. GRA 98098 yields delta S-34 of 0.81 +/- 0.18 parts per thousand (2 sigma(est), estimated external precision), delta S-33 of 0.010 +/- 0.008 parts per thousand (2 sigma(est)) and Delta S-36 of 0.01 +/- 0.34 parts per thousand (2 sigma(est)). CMS 04049 yields delta S-34 of -0.22 +/- 0.18 parts per thousand (2 sigma(est)), Delta S-33 of 0.024 +/- 0.008 parts per thousand (2 sigma(est)), and Delta S-36 of -0.17 +/- 0.34 parts per thousand (2 sigma(est)). The more positive delta S-34 of GRA98098 suggests fractionation of sulfur (S-34/S-32) by a combination of parent body processes that may be linked to evaporation. The more positive Delta S-33 and the negative delta S-34 of CMS 04049 suggests that this meteorite may be from another 'Vesta-like' parent body. (C) 2018 Elsevier Ltd. All rights reserved.</t>
  </si>
  <si>
    <t>[Wu, Nanping; Farquhar, James; Dottin, James W., III; Magalhaes, Nivea] Univ Maryland, Dept Geol, College Pk, MD 20740 USA; [Farquhar, James] Univ Maryland, ESSIC, College Pk, MD 20740 USA</t>
  </si>
  <si>
    <t>University System of Maryland; University of Maryland College Park; University System of Maryland; University of Maryland College Park</t>
  </si>
  <si>
    <t>Wu, NP (corresponding author), Univ Maryland, Dept Geol, College Pk, MD 20740 USA.</t>
  </si>
  <si>
    <t>wunanping@gmail.com</t>
  </si>
  <si>
    <t>wu, nanping/HWR-9221-2023; Wu, Nanping/L-2077-2019</t>
  </si>
  <si>
    <t>wu, nanping/0000-0002-9327-9957; Farquhar, James/0000-0003-3388-612X; Magalhaes, Nivea/0000-0002-0028-1776</t>
  </si>
  <si>
    <t>NASA [NNX16AG39G, NNH12ZDA001N-COS]; Government of Brazil's Science without Borders fellowship [BEX 1136-13-5]; NASA [904282, NNX16AG39G] Funding Source: Federal RePORTER</t>
  </si>
  <si>
    <t>NASA(National Aeronautics &amp; Space Administration (NASA)); Government of Brazil's Science without Borders fellowship; NASA(National Aeronautics &amp; Space Administration (NASA))</t>
  </si>
  <si>
    <t>This work was funded by the NASA (NNX16AG39G, and NNH12ZDA001N-COS) and the Government of Brazil's Science without Borders fellowship (BEX 1136-13-5) (NM). We thank the three anonymous reviewers and editors (Dr. James Day and Dr. Marc Norman) for their scrutinizing the manuscript and providing insightful comments and constructive suggestions. The authors acknowledge Dr. Joost Hoek for Laboratory guidance and are grateful to the Antarctic Meteorite Collection and MWG, NMNH, and ASU for allocating samples used in this study. Dr. Jabrane Labidi is thanked for discussion on sulfur isotope chemistry at the earlier stage of this study.</t>
  </si>
  <si>
    <t>10.1016/j.gca.2018.05.002</t>
  </si>
  <si>
    <t>GH8EM</t>
  </si>
  <si>
    <t>WOS:000433900000001</t>
  </si>
  <si>
    <t>Cordier, C; Baecker, B; Ott, U; Folco, L; Trieloff, M</t>
  </si>
  <si>
    <t>Cordier, Carole; Baecker, Bastian; Ott, Ulrich; Folco, Luigi; Trieloff, Mario</t>
  </si>
  <si>
    <t>A new type of oxidized and pre-irradiated micrometeorite</t>
  </si>
  <si>
    <t>Micrometeorite; Interplanetary dust; CK chondrites; Oxidation; Noble gases; Cosmogenic Ne and Ar; Pre-irradiation</t>
  </si>
  <si>
    <t>INTERPLANETARY DUST PARTICLES; SOLAR ENERGETIC PARTICLES; COSMIC SPHERULES; NOBLE-GASES; ANTARCTIC MICROMETEORITES; OXYGEN-ISOTOPE; TRANSANTARCTIC MOUNTAINS; COSMOGENIC NUCLIDES; HEATING EXPERIMENTS; STONY METEORITES</t>
  </si>
  <si>
    <t>This paper investigates the mineralogy and noble gas composition of a unique micrometeorite from the Transantarctic Mountains, #45c.29. The magnetite rim and the particle interior with olivine, pyroxene and magnetite relict grains (30-250 mu m in size) set in a vesicular mesostasis are typical features of coarse-grained, partially melted micrometeorites. Particle #45c.29 stands out from other micrometeorites of this type by the texture of the mesostasis made of abundant plagioclase and augite laths, the remarkably high Ni contents in magnetite and olivine relict grains, and by the similarly high abundance of cosmogenic noble gases (Ne-21(cos) up to 1.62 x 10(-7) cm(-3) STP/g and Ar-38 up to 7.2 x 10(-8) cm(-3) STP/g). The high Ni content of Fa(26) olivine relict grains (NiO similar to 0.65 wt%), the high Ni (NiO similar to 0.8 wt%) and Ti (TiO2 similar to 0.3 wt%) contents of magnetite relicts, and the oxygen isotope composition of a sample of the particle (delta O-18 similar to 2.3 parts per thousand, delta O-17 similar to -1.5 parts per thousand), suggest a parentage with rare equilibrated CK chondrites. Pyroxene and plagioclase are not expected to crystallize during atmospheric entry of micrometeoroids. Their occurrence in #45c.29 may be explained by the Ca-, Al- and Na- rich composition of its precursor -in agreement with the high abundance of plagioclase reported in the matrix of CK chondrites - if combined with a relatively low cooling rate and, therefore, unusual atmospheric entry parameters (velocity/angle) of the micrometeoroid. Given these specific entry parameters, the particle has recorded unique information on mineralogical and textural transformations of micrometeoroids during atmospheric entry, with solid-state oxidation of the olivine relict grains in the igneous rim, and partial melting of relict mineral phases and relict/melt reactions in the particle interior. The cosmogenic Ne-21/Ne-22 ratio of 0.94 +/- 0.02 is incompatible with major production by cosmogenic ray irradiation of a small particle in space. We propose that micrometeorite #45c.29 mostly records an earlier irradiation stage, in a meteoroid or more likely near the surface (&lt;20 cm in depth) of an asteroid. In contrast, most of the other unmelted and scoriaceous micrometeorites analyzed for noble gases - if coming from asteroidal sources of the Main Belt - seem to have sampled deeper parts of their parent body, where they were shielded from cosmic rays and from where they were excavated during high-energy disruptive processes. (C) 2018 Elsevier Ltd. All rights reserved.</t>
  </si>
  <si>
    <t>[Cordier, Carole] Univ Grenoble Alpes, Univ Savoie Mont Blanc, CNRS, IRD,IFSTTAR,ISTerre, F-38000 Grenoble, France; [Baecker, Bastian; Ott, Ulrich; Trieloff, Mario] Heidelberg Univ, Inst Geowissensch Klaus Tschira Labor Kosmochem, Neuenheimer Feld 234-236, D-69120 Heidelberg, Germany; [Baecker, Bastian; Ott, Ulrich] Max Planck Inst Chem, Hahn Meitner Weg 1, D-55128 Mainz, Germany; [Ott, Ulrich] Magyar Tudomanyos Akad Atommagkutato Intezet, Bem Ter 18-C, H-4026 Debrecen, Hungary; [Folco, Luigi] Univ Pisa, Dipartimento Sci Terra, Via S Maria 53, I-65126 Pisa, Italy</t>
  </si>
  <si>
    <t>Universite Gustave-Eiffel; Communaute Universite Grenoble Alpes; Universite Grenoble Alpes (UGA); Centre National de la Recherche Scientifique (CNRS); Institut de Recherche pour le Developpement (IRD); Universite Savoie Mont Blanc; Ruprecht Karls University Heidelberg; Max Planck Society; University of Pisa</t>
  </si>
  <si>
    <t>Cordier, C (corresponding author), Univ Grenoble Alpes, Univ Savoie Mont Blanc, CNRS, IRD,IFSTTAR,ISTerre, F-38000 Grenoble, France.</t>
  </si>
  <si>
    <t>carole.cordier@univ-grenoble-alpes.fr</t>
  </si>
  <si>
    <t>Folco, Luigi/AAA-6351-2020; Folco, Luigi/AAB-8586-2021; Ott, Ulrich/ABH-2337-2020</t>
  </si>
  <si>
    <t>Ulrich, Ott/0000-0003-3574-9591; Folco, Luigi/0000-0002-7276-3483</t>
  </si>
  <si>
    <t>Italian Ministero della Istruzione, Universita e Ricerca (MIUER) through the Programma Nazionale delle Ricerche in Antartide (PNRA) Meteoriti Antartiche project [PNRA1600029]; Italian Ministero della Istruzione, Universita e Ricerca (MIUER) through the Progetti di Rilevenza Nazionale Cosmic Dust project [PRIN201520158W4JZ7]; DFG [OT 171/5-1, OT 171/5-2]; Fundation Klaus Tschira Stiftung</t>
  </si>
  <si>
    <t>Italian Ministero della Istruzione, Universita e Ricerca (MIUER) through the Programma Nazionale delle Ricerche in Antartide (PNRA) Meteoriti Antartiche project; Italian Ministero della Istruzione, Universita e Ricerca (MIUER) through the Progetti di Rilevenza Nazionale Cosmic Dust project; DFG(German Research Foundation (DFG)); Fundation Klaus Tschira Stiftung</t>
  </si>
  <si>
    <t>This work was supported by the Italian Ministero della Istruzione, Universita e Ricerca (MIUER) through the Programma Nazionale delle Ricerche in Antartide (PNRA) Meteoriti Antartiche project (grant ID: PNRA1600029) and the Progetti di Rilevenza Nazionale Cosmic Dust project (grant ID: PRIN201520158W4JZ7). Carole Cordier is part of Labex OSUG@2020 (ANR10 LABX56). Bastian Baecker was supported by DFG grants OT 171/5-1 and 5-2. Authors are grateful to Andreas Pack (Georg-August-Universitat Gottingen, Germany) for measuring the oxygen isotope composition of the particle and to Valentina Batanova (ISTerre, France), John Spratt (Natural History Museum, London, UK) and Andrea Cavallo (Certema, Italy) for their help during EPMA analytical sessions. Support by the Fundation Klaus Tschira Stiftung is acknowledged. The constructive comments of Matthew J. Genge and two anonymous reviewers have helped to improve the manuscript. We also thank Alexander N. Krot for his editorial handling.</t>
  </si>
  <si>
    <t>10.1016/j.gca.2018.04.010</t>
  </si>
  <si>
    <t>WOS:000433900000009</t>
  </si>
  <si>
    <t>Muniz, MC; Anjos, RM; Cardoso, RP; Rosa, LH; Vieira, R; Marotta, H; Macario, K; Neto, AA; Felizardo, JP; Barboza, CDN; Rodrigues, LF; Alves, EQ</t>
  </si>
  <si>
    <t>Muniz, M. C.; Anjos, R. M.; Cardoso, R. P.; Rosa, L. H.; Vieira, R.; Marotta, H.; Macario, K.; Ayres Neto, A.; Felizardo, J. P.; Barboza, C. D. N.; Rodrigues, L. F.; Alves, E. Q.</t>
  </si>
  <si>
    <t>Post-caldera evolution of Deception Island (Bransfield Strait, Antarctica) over Holocene timescales</t>
  </si>
  <si>
    <t>Cryoturbation process; delta C-13 and delta N-15; TOC:TN ratio; C-14 dating; Alluvial sedimentation</t>
  </si>
  <si>
    <t>SOUTH-SHETLAND ISLANDS; SOIL ORGANIC-MATTER; KING-GEORGE-ISLAND; LIVINGSTON ISLAND; ORNITHOGENIC SEDIMENTS; BYERS PENINSULA; LAC-UFF; RADIOCARBON; CARBON; MARITIME</t>
  </si>
  <si>
    <t>The study of palaeoclimatic changes in fast warming regions can contribute to the understanding of the forcing mechanisms responsible for the global changes that are presently happening. Deception is an active volcanic island in the Bransfield basin that has a complex history strongly influenced by both magmatic and tectonic processes. However, without accurate information on the distribution of melt, depth of sediments and Holocene timescales of its volcanic eruptions, the models for the post-caldera evolution of Deception Island are poorly constrained. Although this region has undergone severe environmental changes due to recent eruptions, hindering the location of potential study areas of paleo-volcanic eruptions, it is still possible to reconstruct postcaldera evolution at a local scale. Employing analyses such as radiocarbon dating, stable carbon and nitrogen isotopic compositions and particle-size distributions in subsoil horizons, we have studied the coastal areas of Whalers Bay and between Wensleydale Beacon and Cross Hill to identify the major periods of alluvial sedimentation on Deception Island. Whalers Bay was influenced by a large amount of moving water generated by ice melting. The coastal location of both sampling sites contributes to preserve the sedimentation history in their soil profiles, despite the severe environmental changes due to recent eruptions. Our findings indicate that from approximately 13 to 5 cal kyr BP, the accumulation of organic matter was stable and the landforms were not altered. After that time, post-caldera eruptions occurred, melting the glacier and, consequently, flooding surficial soil layers with mud. These changes are consistent with old C-14 ages for subsoil organic matter and, therefore, with the occurrence of intense cryogenic disturbance processes.</t>
  </si>
  <si>
    <t>[Muniz, M. C.; Anjos, R. M.; Cardoso, R. P.; Vieira, R.; Marotta, H.; Macario, K.; Ayres Neto, A.; Felizardo, J. P.; Barboza, C. D. N.; Rodrigues, L. F.; Alves, E. Q.] Univ Fed Fluminense, Inst Fis, Av Gal Milton Tavares de Souza S-No, BR-24210346 Niteroi, RJ, Brazil; [Muniz, M. C.; Anjos, R. M.; Cardoso, R. P.; Vieira, R.; Marotta, H.; Macario, K.; Ayres Neto, A.; Felizardo, J. P.; Barboza, C. D. N.; Rodrigues, L. F.; Alves, E. Q.] Univ Fed Fluminense, Inst Geociencias, Av Gal Milton Tavares de Souza S-No, BR-24210346 Niteroi, RJ, Brazil; [Rosa, L. H.] Univ Fed Minas Gerais, Inst Ciencias Biol, Av Pres Antonio Carlos,6627,Campus UFMG, BR-3127090 Belo Horizonte, MG, Brazil; [Rodrigues, L. F.] Pontificia Univ Catolica Rio Grande do Sul, Inst Petr &amp; Recursos Nat, Av Ipiranga 6681-96J, BR-90619900 Porto Alegre, RS, Brazil; [Alves, E. Q.] Univ Oxford, Oxford Radiocarbon Accelerator Unit, Dyson Perrins Bldg,South Pk Rd, Oxford OX1 3QY, England</t>
  </si>
  <si>
    <t>Universidade Federal Fluminense; Universidade Federal Fluminense; Universidade Federal de Minas Gerais; Pontificia Universidade Catolica Do Rio Grande Do Sul; University of Oxford</t>
  </si>
  <si>
    <t>Anjos, RM (corresponding author), Univ Fed Fluminense, Inst Fis, Av Gal Milton Tavares de Souza S-No, BR-24210346 Niteroi, RJ, Brazil.;Anjos, RM (corresponding author), Univ Fed Fluminense, Inst Geociencias, Av Gal Milton Tavares de Souza S-No, BR-24210346 Niteroi, RJ, Brazil.</t>
  </si>
  <si>
    <t>meigikos@if.uff.br</t>
  </si>
  <si>
    <t>Neto, Arthur Ayres/AAL-2963-2021; Queiroz Alves, Eduardo/IAM-0963-2023; dos Anjos, Roberto Meigikos/P-8055-2014; Cardoso, Renan/W-9973-2019; Marotta, Humberto/F-9554-2012; Macario, Kita/B-6859-2014; Macario, Kita/ADE-6381-2022</t>
  </si>
  <si>
    <t>Neto, Arthur Ayres/0000-0002-2982-245X; Queiroz Alves, Eduardo/0000-0003-0919-326X; dos Anjos, Roberto Meigikos/0000-0003-3314-8602; Marotta, Humberto/0000-0002-2828-6595; Macario, Kita/0000-0002-0581-9854; Vieira, Rosemary/0000-0003-0312-2890; Felizardo, Joao Paulo/0000-0001-6579-7071; Muniz, Marcelo/0000-0003-0633-6755</t>
  </si>
  <si>
    <t>CNPq (Conselho Nacional de Desenvolvimento Cientifico e Tecnologico) [302066/2015-2, 402309/2013-8, 305079/2014-0]; CNPq (Conselho Nacional de Desenvolvimento Cientifico e Tecnologico: INCT-FNA) [464898/2014-5]; FAPERJ (Fundacao Carlos Chagas Filho de Amparo a Pesquisa do Estado do Rio de Janeiro) [E-26/202.794/2017, E-26/010.001512/2014, E-26/201.413/2014, E-26/010.003023/2014]; CAPES (Coordenacao de Aperfeicoamento de Pessoal de Nivel Superior) [23038.001227/2014-54]</t>
  </si>
  <si>
    <t>CNPq (Conselho Nacional de Desenvolvimento Cientifico e Tecnologico)(Conselho Nacional de Desenvolvimento Cientifico e Tecnologico (CNPQ)); CNPq (Conselho Nacional de Desenvolvimento Cientifico e Tecnologico: INCT-FNA)(Conselho Nacional de Desenvolvimento Cientifico e Tecnologico (CNPQ)); FAPERJ (Fundacao Carlos Chagas Filho de Amparo a Pesquisa do Estado do Rio de Janeiro)(Fundacao Carlos Chagas Filho de Amparo a Pesquisa do Estado do Rio De Janeiro (FAPERJ)); CAPES (Coordenacao de Aperfeicoamento de Pessoal de Nivel Superior)(Coordenacao de Aperfeicoamento de Pessoal de Nivel Superior (CAPES))</t>
  </si>
  <si>
    <t>The authors would like to thank the Brazilian funding agencies for their financial support: CNPq (Conselho Nacional de Desenvolvimento Cientifico e Tecnologico: 302066/2015-2, 402309/2013-8, 305079/2014-0 and INCT-FNA, 464898/2014-5), FAPERJ (Fundacao Carlos Chagas Filho de Amparo a Pesquisa do Estado do Rio de Janeiro: E-26/202.794/2017, E-26/010.001512/2014, E-26/201.413/2014, E-26/010.003023/2014), and CAPES (Coordenacao de Aperfeicoamento de Pessoal de Nivel Superior: 23038.001227/2014-54). We also thank the INCT-Criosfera (Brazilian National Institute for Cryospheric Science and Technology) and PROANTAR (Brazilian Antarctic Program), and the team of the 32nd Antarctic Operation of the Brazilian Antarctic Program (OPERANTAR XXXII) that assisted us at several steps of this work.</t>
  </si>
  <si>
    <t>10.1016/j.palaeo.2018.04.010</t>
  </si>
  <si>
    <t>GJ0AF</t>
  </si>
  <si>
    <t>WOS:000434906000005</t>
  </si>
  <si>
    <t>Hopp, T; Kleine, T</t>
  </si>
  <si>
    <t>Hopp, Timo; Kleine, Thorsten</t>
  </si>
  <si>
    <t>Nature of late accretion to Earth inferred from mass-dependent Ru isotopic compositions of chondrites and mantle peridotites</t>
  </si>
  <si>
    <t>late accretion; ruthenium; mass-dependent isotope fractionation; chondrites; Earth's mantle; sulfide segregation</t>
  </si>
  <si>
    <t>HIGHLY SIDEROPHILE ELEMENTS; PRIMITIVE UPPER-MANTLE; LATE VENEER; PROTOPLANETARY DISK; IRON-METEORITES; SILICATE; FRACTIONATION; CONSTRAINTS; XENOLITHS; METAL</t>
  </si>
  <si>
    <t>Elevated abundances of highly siderophile elements in Earth's mantle are thought to reflect the late accretion of primitive material after the cessation of core formation, but the origin of this material, and whether or not it can be linked to specific types of meteorites remain debated. Here, mass-dependent Ru isotopic data for chondrites and terrestrial peridotites are reported to evaluate the chemical nature and type of the late-accreted material. After correction for nucleosynthetic Ru isotope anomalies, enstatite, ordinary and carbonaceous chondrites all have indistinguishable mass-dependent Ru isotopic compositions. Thus, neither distinct formation conditions in the solar nebula nor parent body processes resulted in significant mass-dependent Ru isotope fractionation. All five terrestrial peridotites analyzed have mass-dependent Ru isotopic compositions that are indistinguishable from each other and from the composition of chondrites. The chondritic mass-dependent Ru isotopic composition of Earth's mantle is difficult to reconcile with prior suggestions that the late accretionary assemblage was a mixture of chondrites with a chemically evolved metal component. Although this mixture can reproduce the suprachondritic Ru/Ir inferred for Earth's mantle, it consistently predicts a heavy Ru isotopic composition of Earth's mantle with respect to chondrites. This is because metal components with elevated Ru/Ir are also enriched in heavy Ru isotopes, resulting from isotope fractionation during core crystallization. Thus, if late accretion involved impacts of differentiated protoplanetary bodies, then the projectile cores must have been either homogenized upon impact, or added to Earth's mantle completely, because otherwise Earth's mantle would have inherited a non-chondritic mass-dependent Ru isotopic composition from the unrepresentative sampling of core material. (C) 2018 The Authors. Published by Elsevier B.V.</t>
  </si>
  <si>
    <t>[Hopp, Timo; Kleine, Thorsten] Univ Munster, Inst Planetol, Wilhelm Klemm Str 10, D-48149 Munster, Germany</t>
  </si>
  <si>
    <t>University of Munster</t>
  </si>
  <si>
    <t>Hopp, T (corresponding author), Univ Munster, Inst Planetol, Wilhelm Klemm Str 10, D-48149 Munster, Germany.</t>
  </si>
  <si>
    <t>timo.hopp@wwu.de</t>
  </si>
  <si>
    <t>Kleine, Thorsten/S-2792-2017</t>
  </si>
  <si>
    <t>Kleine, Thorsten/0000-0003-4657-5961; Hopp, Timo/0000-0002-4056-5431</t>
  </si>
  <si>
    <t>NSF; NASA; European Research Council under the European Community [616564]; European Research Council (ERC) [616564] Funding Source: European Research Council (ERC)</t>
  </si>
  <si>
    <t>NSF(National Science Foundation (NSF)); NASA(National Aeronautics &amp; Space Administration (NASA)); European Research Council under the European Community(European Research Council (ERC)); European Research Council (ERC)(European Research Council (ERC)Spanish Government)</t>
  </si>
  <si>
    <t>We are grateful to K. Righter (Meteorite Working Group, NASA), J. Zipfel (Senckenbergmuseum, Frankfurt), N. Almeida (British Museum, London) and A. Bischoff (Institut fur Planetologie, Munster) for providing the meteorite samples for this study, and to H. Becker (FU Berlin) for providing the peridotites.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also thank Ulla Heitmann for sample preparation, and M. Fischer-Godde for help with the setup of the measurement techniques. Finally, we thank J. Day and an anonymous reviewer for their constructive comments, which improved the paper, and F. Moynier for efficient editorial handling. This research received funding to Thorsten Kleine from the European Research Council under the European Community's Seventh Framework Program (FP7/2007-2013 Grant Agreement 616564 'ISOCORE'). This is TRR 170 publication no. 47.</t>
  </si>
  <si>
    <t>10.1016/j.epsl.2018.04.058</t>
  </si>
  <si>
    <t>GI9ZG</t>
  </si>
  <si>
    <t>WOS:000434903500006</t>
  </si>
  <si>
    <t>Bertram, RA; Wilson, DJ; van de Flierdt, T; McKay, RM; Patterson, MO; Jimenez-Espejo, FJ; Escutia, C; Duke, GC; Taylor-Silva, BI; Riesselman, CR</t>
  </si>
  <si>
    <t>Bertram, Rachel A.; Wilson, David J.; van de Flierdt, Tina; McKay, Robert M.; Patterson, Molly O.; Jimenez-Espejo, Francisco J.; Escutia, Carlota; Duke, Grace C.; Taylor-Silva, Briar I.; Riesselman, Christina R.</t>
  </si>
  <si>
    <t>Pliocene deglacial event timelines and the biogeochemical response offshore Wilkes Subglacial Basin, East Antarctica</t>
  </si>
  <si>
    <t>East Antarctic Ice Sheet; Wilkes Subglacial Basin; provenance; radiogenic isotopes; Pliocene; deglacial timescales</t>
  </si>
  <si>
    <t>GLACIAL-INTERGLACIAL CYCLES; ICE-SHEET; DIATOM EVIDENCE; LAND MARGIN; OCEAN; NEODYMIUM; SEDIMENTS; CLIMATE; RETREAT; GEOLOGY</t>
  </si>
  <si>
    <t>Significantly reduced ice coverage in Greenland and West Antarctica during the warmer-than-present Pliocene could account for similar to 10 m of global mean sea level rise. Any sea level increase beyond this would require contributions from the East Antarctic Ice Sheet (EAIS). Previous studies have presented low-resolution geochemical evidence from the geological record, suggesting repeated ice advance and retreat in low-lying areas of the EAIS such as the Wilkes Subglacial Basin. However, the rates and mechanisms of retreat events are less well constrained. Here we present orbitally-resolved marine detrital sediment provenance data, paired with ice-rafted debris and productivity proxies, during three time intervals from the middle to late Pliocene at IODP Site U1361A, offshore of the Wilkes Subglacial Basin. Our new data reveal that Pliocene shifts in sediment provenance were paralleled by increases in marine productivity, while the onset of such changes was marked by peaks in ice-rafted debris mass accumulation rates. The coincidence of sediment provenance and marine productivity change argues against a switch in sediment delivery between ice streams, and instead suggests that deglacial warming triggered increased rates of iceberg calving, followed by inland retreat of the ice margin. Timescales from the onset of deglaciation to an inland retreated ice margin within the Wilkes Subglacial Basin are on the order of several thousand years. This geological evidence corroborates retreat rates determined from ice sheet modeling, and a contribution of similar to 3 to 4 m of equivalent sea level rise from one of the most vulnerable areas of the East Antarctic Ice Sheet during interglacial intervals throughout the middle to late Pliocene. (C) 2018 The Authors. Published by Elsevier B.V.</t>
  </si>
  <si>
    <t>[Bertram, Rachel A.; Wilson, David J.; van de Flierdt, Tina] Imperial Coll London, Dept Earth Sci &amp; Engn, London, England; [Bertram, Rachel A.] Imperial Coll London, Grantham Inst, Climate Change &amp; Environm, London, England; [McKay, Robert M.] Victoria Univ Wellington, Antarctic Res Ctr, Wellington, New Zealand; [Patterson, Molly O.] SUNY Binghamton, New York, NY USA; [Jimenez-Espejo, Francisco J.] Japan Agcy Marine Earth Sci &amp; Technol JAMSTEC, Yokosuka, Kanagawa, Japan; [Escutia, Carlota] Univ Granada, CSIC, Inst Andaluz Ciencias Tierra, Granada, Spain; [Duke, Grace C.; Taylor-Silva, Briar I.; Riesselman, Christina R.] Univ Otago, Dept Geol, Dunedin, New Zealand; [Riesselman, Christina R.] Univ Otago, Dept Marine Sci, Dunedin, New Zealand</t>
  </si>
  <si>
    <t>Imperial College London; Imperial College London; Victoria University Wellington; State University of New York (SUNY) System; State University of New York (SUNY) Binghamton; Japan Agency for Marine-Earth Science &amp; Technology (JAMSTEC); University of Granada; Consejo Superior de Investigaciones Cientificas (CSIC); CSIC - Instituto Andaluz de Ciencias de la Tierra (IACT); University of Otago; University of Otago</t>
  </si>
  <si>
    <t>Bertram, RA (corresponding author), Imperial Coll London, Dept Earth Sci &amp; Engn, London, England.;Bertram, RA (corresponding author), Imperial Coll London, Grantham Inst, Climate Change &amp; Environm, London, England.</t>
  </si>
  <si>
    <t>r.bertram14@imperial.ac.uk</t>
  </si>
  <si>
    <t>Jimenez-Espejo, Francisco J/F-4486-2016; Wilson, David/AAA-9939-2019; Riesselman, Christina R/H-5037-2012; Jimenez-Espejo, Francisco J./AAR-2318-2020; Wilson, David/ITV-6768-2023; Escutia, Carlota/B-8614-2015</t>
  </si>
  <si>
    <t>Jimenez-Espejo, Francisco J/0000-0002-0335-8580; Wilson, David/0000-0003-2786-4688; Wilson, David/0000-0003-2786-4688; Patterso, Molly/0000-0002-5058-9269; van de Flierdt, Tina/0000-0001-7176-9755; Allison, Rachel/0009-0004-3164-6055; Escutia, Carlota/0000-0002-4932-8619; Riesselman, Christina/0000-0002-2436-4306; McKay, Robert/0000-0002-5602-6985; Bertram, Rachel/0000-0003-2926-1610</t>
  </si>
  <si>
    <t>Kristian Gerhard Jebsen PhD Scholarship; NERC UK IODP grants [NE/H025162/1, NE/H014144/1]; Royal Society of New Zealand Marsden FastStart grant [UOO-1315]; University of Otago PhD Scholarship; Royal Society of New Zealand Rutherford Discovery Fellowship [RDF-13-VUW-003]; Ministry of Science and Innovation Grant - European Regional Development Fund (FEDER) [CTM2014-60451-C2-1-P]; NERC [NE/H025162/1, NE/H014144/1, NE/R018219/1] Funding Source: UKRI</t>
  </si>
  <si>
    <t>Kristian Gerhard Jebsen PhD Scholarship; NERC UK IODP grants; Royal Society of New Zealand Marsden FastStart grant(Royal Society of New ZealandMarsden Fund (NZ)); University of Otago PhD Scholarship; Royal Society of New Zealand Rutherford Discovery Fellowship(Royal Society of New Zealand); Ministry of Science and Innovation Grant - European Regional Development Fund (FEDER); NERC(UK Research &amp; Innovation (UKRI)Natural Environment Research Council (NERC))</t>
  </si>
  <si>
    <t>Provenance analysis was supported by a Kristian Gerhard Jebsen PhD Scholarship and NERC UK IODP grants (NE/H025162/1 and NE/H014144/1). Biogenic silica data was supported by a Royal Society of New Zealand Marsden FastStart grant (#UOO-1315) and a University of Otago PhD Scholarship. Support for sedimentology analysis was provided by the Royal Society of New Zealand Rutherford Discovery Fellowship (RDF-13-VUW-003). XRF work was supported by the Ministry of Science and Innovation Grant CTM2014-60451-C2-1-P co-financed by the European Regional Development Fund (FEDER). Samples were provided by the Integrated Ocean Drilling Program. The authors acknowledge two anonymous reviewers whose thoughtful comments helped improve the manuscript.</t>
  </si>
  <si>
    <t>10.1016/j.epsl.2018.04.054</t>
  </si>
  <si>
    <t>WOS:000434903500012</t>
  </si>
  <si>
    <t>Gromov, S; Brenninkmeijer, CAM; Jöckel, P</t>
  </si>
  <si>
    <t>Gromov, Sergey; Brenninkmeijer, Carl A. M.; Joeckel, Patrick</t>
  </si>
  <si>
    <t>A very limited role of tropospheric chlorine as a sink of the greenhouse gas methane</t>
  </si>
  <si>
    <t>LOWER ANTARCTIC STRATOSPHERE; LARGE (CO)-C-13 DEFICIT; OZONE HOLE CHEMISTRY; ATMOSPHERIC METHANE; ISOTOPIC COMPOSITION; MOLECULAR CHLORINE; C-13/C-12 RATIOS; CL ATOM; CYCLE 2; CO</t>
  </si>
  <si>
    <t>Unexpectedly large seasonal phase differences between CH4 concentration and its C-13 / C-12 isotopic ratio and their inter-annual variations observed in southern hemispheric time series have been attributed to the Cl + CH4 reaction, in which (CH4)-C-13 is discriminated strongly compared to OH + CH4, and have provided the only (indirect) evidence of a hemispheric-scale presence of oxidative cycle-relevant quantities of tropospheric atomic Cl. Our analysis of concurrent New Zealand and Antarctic time series of CH4 and CO mixing and isotope ratios shows that a corresponding C-13 / C-12 variability is absent in CO. Using the AC-GCM EMAC model and isotopic mass balancing for comparing the periods of presumably high and low Cl, it is shown that variations in extra-tropical Southern Hemisphere Cl cannot have exceeded 0.9 x 10(3) atoms cm(-3). It is demonstrated that the C-13 / C-12 ratio of CO is a sensitive indicator for the isotopic composition of reacted CH4 and therefore for its sources. Despite ambiguities about the yield of CO from CH4 oxidation (with this yield being an important factor in the budget of CO) and uncertainties about the isotopic composition of sources of CO (in particular biomass burning), the contribution of Cl to the removal of CH4 in the troposphere is probably much lower than currently assumed.</t>
  </si>
  <si>
    <t>[Gromov, Sergey; Brenninkmeijer, Carl A. M.] Max Planck Inst Chem, Atmospher Chem Dept, Mainz, Germany; [Joeckel, Patrick] Deutsch Zentrum Luft &amp; Raumfahrt DLR, Inst Phys Atmosphare, Oberpfaffenhofen, Wessling, Germany; [Gromov, Sergey] Inst Global Climate &amp; Ecol Roshydromet, Moscow, Russia; [Gromov, Sergey] RAS IGCE, Moscow, Russia</t>
  </si>
  <si>
    <t>Max Planck Society; Helmholtz Association; German Aerospace Centre (DLR)</t>
  </si>
  <si>
    <t>Gromov, S (corresponding author), Max Planck Inst Chem, Atmospher Chem Dept, Mainz, Germany.</t>
  </si>
  <si>
    <t>sergey.gromov@mpic.de</t>
  </si>
  <si>
    <t>Brenninkmeijer, Carl/B-6860-2013; Jöckel, Patrick/C-3687-2009; Gromov, Sergey/G-1224-2013</t>
  </si>
  <si>
    <t>Jöckel, Patrick/0000-0002-8964-1394; Gromov, Sergey/0000-0002-2542-3005</t>
  </si>
  <si>
    <t>German Federal Ministry of Education and Research (BMBF), Research for Sustainability initiative (FONA) [FKZ: 01LP1507A]</t>
  </si>
  <si>
    <t>German Federal Ministry of Education and Research (BMBF), Research for Sustainability initiative (FONA)</t>
  </si>
  <si>
    <t>This work was supported by German Federal Ministry of Education and Research (BMBF) as a Research for Sustainability initiative (FONA, http://www.fona.de, last access: 16 March 2018) through the PalMod project (FKZ: 01LP1507A).</t>
  </si>
  <si>
    <t>JUL 12</t>
  </si>
  <si>
    <t>10.5194/acp-18-9831-2018</t>
  </si>
  <si>
    <t>GM8HQ</t>
  </si>
  <si>
    <t>WOS:000438465500003</t>
  </si>
  <si>
    <t>Narazaki, T; Isojunno, S; Nowacek, DP; Swift, R; Friedlaender, AS; Ramp, C; Smout, S; Aoki, K; Deecke, VB; Sato, K; Miller, PJO</t>
  </si>
  <si>
    <t>Narazaki, Tomoko; Isojunno, Saana; Nowacek, Douglas P.; Swift, Rene; Friedlaender, Ari S.; Ramp, Christian; Smout, Sophie; Aoki, Kagari; Deecke, Volker B.; Sato, Katsufumi; Miller, Patrick J. O.</t>
  </si>
  <si>
    <t>Body density of humpback whales (Megaptera novaengliae) in feeding aggregations estimated from hydrodynamic gliding performance</t>
  </si>
  <si>
    <t>DOLPHINS TURSIOPS-TRUNCATUS; SOUTHERN ELEPHANT SEALS; ATLANTIC FIN WHALES; NORTH-ATLANTIC; BALAENOPTERA-PHYSALUS; EUBALAENA-GLACIALIS; STROKING PATTERNS; DIVING BEHAVIOR; MARINE MAMMALS; GREY SEALS</t>
  </si>
  <si>
    <t>Many baleen whales undertake annual fasting and feeding cycles, resulting in substantial changes in their body condition, an important factor affecting fitness. As a measure of lipid-store body condition, tissue density of a few deep diving marine mammals has been estimated using a hydrodynamic glide model of drag and buoyancy forces. Here, we applied the method to shallow-diving humpback whales (Megaptera novaeangliae) in North Atlantic and Antarctic feeding aggregations. High-resolution 3-axis acceleration, depth and speed data were collected from 24 whales. Measured values of acceleration during 5 s glides were fitted to a hydrodynamic glide model to estimate unknown parameters (tissue density, drag term and diving gas volume) in a Bayesian framework. Estimated species-average tissue density (1031.6 +/- 2.1 kg m(-3), +/- 95% credible interval) indicates that humpback whale tissue is typically negatively buoyant although there was a large inter-individual variation ranging from 1025.2 to 1043.1 kg m(-3). The precision of the individual estimates was substantially finer than the variation across different individual whales, demonstrating a progressive decrease in tissue density throughout the feeding season and comparably high lipid-store in pregnant females. The drag term (CDAm-1) was estimated to be relatively high, indicating a large effect of lift-related induced drag for humpback whales. Our results show that tissue density of shallow diving baleen whales can be estimated using the hydrodynamic gliding model, although cross-validation with other techniques is an essential next step. This method for estimating body condition is likely to be broadly applicable across a range of aquatic animals and environments.</t>
  </si>
  <si>
    <t>[Narazaki, Tomoko; Isojunno, Saana; Swift, Rene; Ramp, Christian; Smout, Sophie; Aoki, Kagari; Miller, Patrick J. O.] Univ St Andrews, Sea Mammal Res Unit, St Andrews, Fife, Scotland; [Narazaki, Tomoko; Aoki, Kagari; Sato, Katsufumi] Univ Tokyo, Atmosphere &amp; Ocean Res Inst, Kashiwa, Chiba, Japan; [Nowacek, Douglas P.] Duke Univ, Marine Lab, Nicholas Sch Environm, Beaufort, NC 28516 USA; [Nowacek, Douglas P.] Duke Univ, Marine Lab, Pratt Sch Engn, Beaufort, NC 28516 USA; [Friedlaender, Ari S.] Univ Calif Santa Cruz, Inst Marine Sci, Santa Cruz, CA 95064 USA; [Ramp, Christian] Mingan Isl Cetacean Study, Longue Pointe De Mingan, PQ, Canada; [Deecke, Volker B.] Univ Cumbria, Dept Sci Nat Resources &amp; Outdoor Studies, Ambleside, Cumbria, England</t>
  </si>
  <si>
    <t>University of St Andrews; University of Tokyo; Duke University; Duke University; University of California System; University of California Santa Cruz; University of Cumbria</t>
  </si>
  <si>
    <t>Narazaki, T (corresponding author), Univ St Andrews, Sea Mammal Res Unit, St Andrews, Fife, Scotland.;Narazaki, T (corresponding author), Univ Tokyo, Atmosphere &amp; Ocean Res Inst, Kashiwa, Chiba, Japan.</t>
  </si>
  <si>
    <t>naratomoz@gmail.com</t>
  </si>
  <si>
    <t>Ramp, Christian/0000-0001-5528-1733; Narazaki, Tomoko/0000-0003-4513-3432; isojunno, saana/0000-0002-2212-2135</t>
  </si>
  <si>
    <t>Strategic Environmental Research and Development Program [RC-2337]; Core Research for Evolutional Science and Technology by Japan Science and Technology Agency [JPMJCR1685]; Japan Society for the Promotion of Science; SERDP award [RC-2337]; JST [CREST JPMJCR1685]; JSPS Bilateral Open Partnership Joint Research Projects</t>
  </si>
  <si>
    <t>Strategic Environmental Research and Development Program; Core Research for Evolutional Science and Technology by Japan Science and Technology Agency; Japan Society for the Promotion of Science(Ministry of Education, Culture, Sports, Science and Technology, Japan (MEXT)Japan Society for the Promotion of Science); SERDP award; JST(Japan Science &amp; Technology Agency (JST)); JSPS Bilateral Open Partnership Joint Research Projects</t>
  </si>
  <si>
    <t>This study was funded by Strategic Environmental Research and Development Program (https://www.serdp-estcp.org; grant number RC-2337). In addition, the study was partly supported by Core Research for Evolutional Science and Technology by Japan Science and Technology Agency (http://www.jst.go.jp/kisoken/crest/en/index.html, grant number JPMJCR1685) and Bilateral Open Partnership Joint Research Projects by Japan Society for the Promotion of Science (http://www.jsps.go.jp/english/e-bilat/index.html; no specific grant number).; This study was funded by SERDP award RC-2337, and was partly supported by JST (CREST JPMJCR1685) and JSPS Bilateral Open Partnership Joint Research Projects. We would like to thank to all staffs and volunteers in Mingan Island Cetacean Study for field data collection. We also thank the scientific and technical staff on the Antarctic cruises, particularly those involved with tagging and tag data processing: Alison Stimpert, Ann Allen.</t>
  </si>
  <si>
    <t>e0200287</t>
  </si>
  <si>
    <t>10.1371/journal.pone.0200287</t>
  </si>
  <si>
    <t>GM8FT</t>
  </si>
  <si>
    <t>WOS:000438457400042</t>
  </si>
  <si>
    <t>McMillan, MN; Huveneers, C; Semmens, JM; Gillanders, BM</t>
  </si>
  <si>
    <t>McMillan, M. N.; Huveneers, C.; Semmens, J. M.; Gillanders, B. M.</t>
  </si>
  <si>
    <t>Natural tags reveal populations of Conservation Dependent school shark use different pupping areas</t>
  </si>
  <si>
    <t>Behavioural plasticity; Laser ablation inductively coupled mass spectrometry; LA-ICP-MS; Partial migration; Reproductive strategies; Recovery; Resilience</t>
  </si>
  <si>
    <t>OTOLITH ELEMENTAL FINGERPRINTS; GALEORHINUS-GALEUS; AGE-DETERMINATION; MUSTELUS-ANTARCTICUS; PARTIAL MIGRATION; NURSERY AREAS; LEMON SHARKS; GUMMY SHARK; HABITAT USE; ESTUARINE</t>
  </si>
  <si>
    <t>Knowledge of reproductive movements and sources of recruitment in highly mobile species is important to understand population-level resilience and to manage recovery in populations depleted by human interference. Management of the school shark Galeorhinus galeus (Linnaeus, 1758), a Conservation Dependent species in Australia subject to a national recovery strategy after stock collapse from overfishing, has long assumed obligate female migration to pupping areas in the southeast of their range. We used post-natal elemental signatures of individuals from 3 cohorts born in 1996 to 1998 as a proxy to test whether females use common pupping areas. Environmental or biological factors that differ among pupping areas can give rise to unique trace element signatures in shark vertebrae that act as natural tags and can be used to assess relative contributions from recruitment sources to adult populations. We compared post-natal signatures from sharks caught in 2 regions, South Australia in the northwest of the species' range and Bass Strait in the southeast, using laser ablation inductively coupled mass spectrometry. Signatures were similar between regions for 1 cohort, suggesting high use of shared or similar pupping areas, but differed for the 2 remaining cohorts. Region of capture could also be accurately predicted (&gt; 75%) based on post-natal signatures, refuting the long-held view that all females use common pupping areas. We conclude that female movements and reproductive strategies are likely more plastic than previously assumed, highlighting the need to clarify them and their potential effects on resilience and conservation.</t>
  </si>
  <si>
    <t>[McMillan, M. N.; Gillanders, B. M.] Univ Adelaide, Sch Biol Sci, Southern Seas Ecol Labs, Adelaide, SA 5005, Australia; [McMillan, M. N.; Gillanders, B. M.] Univ Adelaide, Environm Inst, Adelaide, SA 5005, Australia; [Huveneers, C.] Flinders Univ S Australia, Sch Biol Sci, Bedford Pk, SA 5042, Australia; [Semmens, J. M.] Univ Tasmania, Inst Marine &amp; Antarctic Studies, Taroona 7053, Australia</t>
  </si>
  <si>
    <t>University of Adelaide; University of Adelaide; Flinders University South Australia; University of Tasmania</t>
  </si>
  <si>
    <t>McMillan, MN (corresponding author), Univ Adelaide, Sch Biol Sci, Southern Seas Ecol Labs, Adelaide, SA 5005, Australia.;McMillan, MN (corresponding author), Univ Adelaide, Environm Inst, Adelaide, SA 5005, Australia.</t>
  </si>
  <si>
    <t>matthew.mcmillan@adelaide.edu.au</t>
  </si>
  <si>
    <t>; Gillanders, Bronwyn/B-4218-2013</t>
  </si>
  <si>
    <t>Huveneers, Charlie/0000-0001-8937-1358; Semmens, Jayson/0000-0003-1742-6692; Gillanders, Bronwyn/0000-0002-7680-2240</t>
  </si>
  <si>
    <t>Frederick James Sandoz scholarship; Australian Research Council [LP120100652]; Australian Research Council [LP120100652] Funding Source: Australian Research Council</t>
  </si>
  <si>
    <t>Frederick James Sandoz scholarship; Australian Research Council(Australian Research Council); Australian Research Council(Australian Research Council)</t>
  </si>
  <si>
    <t>We thank CSIRO for providing samples, especially Robin Thomson for help navigating the archive. Many thanks to Terry Walker for archiving samples and useful advice. Thanks to Simon Robertson and Fish Ageing Services at Queenscliff, Victoria, for making samples available and to Adelaide Microscopy, especially Aoife McFadden for assistance with LA-ICP-MS. Funding was provided by a Frederick James Sandoz scholarship to M.N.M. and an Australian Research Council grant (LP120100652) to B.M.G.</t>
  </si>
  <si>
    <t>10.3354/meps12626</t>
  </si>
  <si>
    <t>GO8TZ</t>
  </si>
  <si>
    <t>WOS:000440371600010</t>
  </si>
  <si>
    <t>Bouhier, N; Tournadre, J; Rémy, F; Gourves-Cousin, R</t>
  </si>
  <si>
    <t>Bouhier, Nicolas; Tournadre, Jean; Remy, Frederique; Gourves-Cousin, Rozenn</t>
  </si>
  <si>
    <t>Melting and fragmentation laws from the evolution of two large Southern Ocean icebergs estimated from satellite data</t>
  </si>
  <si>
    <t>ANTARCTIC ICEBERGS; ICE-SHELF; INTERACTIVE ICEBERGS; CLIMATE MODEL; DRIFT; DISTRIBUTIONS; MECHANISM; DYNAMICS; GLACIERS; WATER</t>
  </si>
  <si>
    <t>The evolution of the thickness and area of two large Southern Ocean icebergs that have drifted in open water for more than a year is estimated through the combined analysis of altimeter data and visible satellite images. The observed thickness evolution is compared with iceberg melting predictions from two commonly used melting formulations, allowing us to test their validity for large icebergs. The first formulation, based on a fluid dynamics approach, tends to underestimate basal melt rates, while the second formulation, which considers the thermodynamic budget, appears more consistent with observations. Fragmentation is more important than melting for the decay of large icebergs. Despite its importance, fragmentation remains poorly documented. The correlation between the observed volume loss of our two icebergs and environmental parameters highlights factors most likely to promote fragmentation. Using this information, a bulk model of fragmentation is established that depends on ocean temperature and iceberg velocity. The model is effective at reproducing observed volume variations. The size distribution of the calved pieces is estimated using both altimeter data and visible images and is found to be consistent with previous results and typical of brittle fragmentation processes. These results are valuable in accounting for the freshwater flux constrained by large icebergs in models.</t>
  </si>
  <si>
    <t>[Bouhier, Nicolas; Tournadre, Jean; Gourves-Cousin, Rozenn] Univ Bretagne Loire, Lab Oceanog Phys &amp; Spatiale, UMR 6523, IFREMER,CNRS,IRD, Plouzane, France; [Remy, Frederique] CNES CNRS, Lab Etud Geophys &amp; Oceanog Spatiales, UMR 5566, Toulouse, France</t>
  </si>
  <si>
    <t>Ifremer; Centre National de la Recherche Scientifique (CNRS); CNRS - National Institute for Earth Sciences &amp; Astronomy (INSU); Universite de Bretagne Occidentale; Institut de Recherche pour le Developpement (IRD); 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t>
  </si>
  <si>
    <t>Tournadre, J (corresponding author), Univ Bretagne Loire, Lab Oceanog Phys &amp; Spatiale, UMR 6523, IFREMER,CNRS,IRD, Plouzane, France.</t>
  </si>
  <si>
    <t>jean.tournadre@ifremer.fr</t>
  </si>
  <si>
    <t>Tournadre, Jean/F-8402-2010</t>
  </si>
  <si>
    <t>Tournadre, Jean/0000-0003-1159-4388</t>
  </si>
  <si>
    <t>CNES through the TOSCA program</t>
  </si>
  <si>
    <t>The authors wish to thank the space agencies, NASA, CNES, ESA, EUMETSAT, and NSOAS that provided the satellite data necessary for the study. The study was partially funded by CNES through the TOSCA program.</t>
  </si>
  <si>
    <t>10.5194/tc-12-2267-2018</t>
  </si>
  <si>
    <t>GM7UT</t>
  </si>
  <si>
    <t>WOS:000438402000002</t>
  </si>
  <si>
    <t>Polymeropoulos, ET; Oelkrug, R; Jastroch, M</t>
  </si>
  <si>
    <t>Polymeropoulos, Elias T.; Oelkrug, Rebecca; Jastroch, Martin</t>
  </si>
  <si>
    <t>Editorial: The Evolution of Endothermy-From Patterns to Mechanisms</t>
  </si>
  <si>
    <t>FRONTIERS IN PHYSIOLOGY</t>
  </si>
  <si>
    <t>endotherms; ectotherms; heterothermy; evolution; thermoregulation; comparative physiology</t>
  </si>
  <si>
    <t>BODY-TEMPERATURE; PARENTAL CARE; MAMMALS; BIRDS; THERMOREGULATION; VERTEBRATES</t>
  </si>
  <si>
    <t>[Polymeropoulos, Elias T.] Univ Tasmania, Inst Marine &amp; Antarctic Studies, Hobart, Tas, Australia; [Oelkrug, Rebecca] Univ Lubeck, Dept Internal Med 1, Grp Mol Endocrinol, Lubeck, Germany; [Jastroch, Martin] Helmholtz Zentrum, Inst Diabet &amp; Obes, Munich, Germany; [Jastroch, Martin] Stockholm Univ, Wenner Gren Inst, Dept Mol Biosci, Arrhenius Labs F3, Stockholm, Sweden</t>
  </si>
  <si>
    <t>University of Tasmania; University of Lubeck; Helmholtz Association; Stockholm University</t>
  </si>
  <si>
    <t>Polymeropoulos, ET (corresponding author), Univ Tasmania, Inst Marine &amp; Antarctic Studies, Hobart, Tas, Australia.</t>
  </si>
  <si>
    <t>eliasp@utas.edu.au</t>
  </si>
  <si>
    <t>Polymeropoulos, Elias T/E-9883-2013; Jastroch, Martin/I-7494-2017</t>
  </si>
  <si>
    <t>Polymeropoulos, Elias Theodor/0000-0002-4816-6005</t>
  </si>
  <si>
    <t>1664-042X</t>
  </si>
  <si>
    <t>FRONT PHYSIOL</t>
  </si>
  <si>
    <t>Front. Physiol.</t>
  </si>
  <si>
    <t>10.3389/fphys.2018.00891</t>
  </si>
  <si>
    <t>Physiology</t>
  </si>
  <si>
    <t>GM7SX</t>
  </si>
  <si>
    <t>WOS:000438395800001</t>
  </si>
  <si>
    <t>Tidd, A; Blanchard, JL; Kell, L; Watson, RA</t>
  </si>
  <si>
    <t>Tidd, Alex; Blanchard, Julia L.; Kell, Laurence; Watson, Reg A.</t>
  </si>
  <si>
    <t>Predicting global tuna vulnerabilities with spatial, economic, biological and climatic considerations</t>
  </si>
  <si>
    <t>NINO SOUTHERN-OSCILLATION; FISHERIES MANAGEMENT; EL-NINO; RIDGE REGRESSION; FISH; WESTERN; VARIABILITY; DYNAMICS; IMPACTS</t>
  </si>
  <si>
    <t>Overfishing impacts the three pillars of sustainability: social, ecological and economic. Tuna represent a significant part of the global seafood market with an annual value exceeding USD$42B and are vulnerable to overfishing. Our understanding of how social and economic drivers contribute to overexploitation is not well developed. We address this problem by integrating social, ecological and economic indicators to help predict changes in exploitation status, namely fishing mortality relative to the level that would support the maximum sustainable yield (F/FMSY). To do this we examined F/ FMSY for 23 stocks exploited by more than 80 states across the world's oceans. Low-HDI countries were most at risk of overexploitation of the tuna stocks we examined and increases in economic and social development were not always associated with improved stock status. In the short-term frozen price was a dominant predictor of F/FMSY providing a positive link between the market dynamics and the quantity of fish landed. Given the dependence on seafood in low-income regions, improved measures to safeguard against fisheries overexploitation in the face of global change and uncertainty are needed.</t>
  </si>
  <si>
    <t>[Tidd, Alex; Blanchard, Julia L.; Watson, Reg A.] Univ Tasmania, Ctr Marine Socioecol, GPO Box 252-49, Hobart, Tas 7001, Australia; [Tidd, Alex; Blanchard, Julia L.; Watson, Reg A.] Univ Tasmania, Ctr Fisheries &amp; Aquaculture, Inst Marine &amp; Antarctic Studies, Private Bag 49, Hobart, Tas 7001, Australia; [Tidd, Alex] GMIT, Old Dublin Rd, Galway, Ireland; [Kell, Laurence] Imperial Coll London, Ctr Environm Policy, London SW7 1NE, England</t>
  </si>
  <si>
    <t>University of Tasmania; University of Tasmania; Atlantic Technological University (ATU); Imperial College London</t>
  </si>
  <si>
    <t>Tidd, A (corresponding author), Univ Tasmania, Ctr Marine Socioecol, GPO Box 252-49, Hobart, Tas 7001, Australia.;Tidd, A (corresponding author), Univ Tasmania, Ctr Fisheries &amp; Aquaculture, Inst Marine &amp; Antarctic Studies, Private Bag 49, Hobart, Tas 7001, Australia.;Tidd, A (corresponding author), GMIT, Old Dublin Rd, Galway, Ireland.</t>
  </si>
  <si>
    <t>emperorfish@gmail.com</t>
  </si>
  <si>
    <t>Watson, Reg A/F-4850-2012; Blanchard, Julia L/E-4919-2010</t>
  </si>
  <si>
    <t>Watson, Reg A/0000-0001-7201-8865; Blanchard, Julia/0000-0003-0532-4824</t>
  </si>
  <si>
    <t>Australian Research Council [DP140101377, DP170104240]</t>
  </si>
  <si>
    <t>Australian Research Council(Australian Research Council)</t>
  </si>
  <si>
    <t>The AT and RAW acknowledge support from the Australian Research Council (Discovery project DP140101377). JLB acknowledges support from the Australian Research Council (Discovery project DP170104240).</t>
  </si>
  <si>
    <t>10.1038/s41598-018-28805-z</t>
  </si>
  <si>
    <t>GM7ET</t>
  </si>
  <si>
    <t>WOS:000438343600082</t>
  </si>
  <si>
    <t>Colleoni, F; De Santis, L; Siddoway, CS; Bergamasco, A; Golledge, NR; Lohmann, G; Passchier, S; Siegert, MJ</t>
  </si>
  <si>
    <t>Colleoni, Florence; De Santis, Laura; Siddoway, Christine S.; Bergamasco, Andrea; Golledge, Nicholas R.; Lohmann, Gerrit; Passchier, Sandra; Siegert, Martin J.</t>
  </si>
  <si>
    <t>Spatio-temporal variability of processes across Antarctic ice-bed-ocean interfaces (vol 9, 2289, 2018)</t>
  </si>
  <si>
    <t>[Colleoni, Florence] Fdn Ctr Euro Mediterraneo Cambiamenti Climat, I-40129 Bologna, Italy; [De Santis, Laura] Ist Nazl Oceanog Sperimentale, I-34010 Sgonico, Italy; [Siddoway, Christine S.] Colorado Coll, Dept Geol, Colorado Springs, CO 80903 USA; [Bergamasco, Andrea] CNR, Ist Sci Marine, I-30122 Venice, Italy; [Golledge, Nicholas R.] Victoria Univ Wellington, Antarctic Res Ctr, Wellington 6140, New Zealand; [Golledge, Nicholas R.] GNS Sci, Lower Hutt 5010, New Zealand; [Lohmann, Gerrit] Helmholtz Ctr Polar &amp; Marine Res, Alfred Wegener Inst, D-27570 Bremerhaven, Germany; [Lohmann, Gerrit] Univ Bremen, D-28359 Bremen, Germany; [Passchier, Sandra] Montclair State Univ, Ctr Environm &amp; Life Sci, Dept Earth &amp; Environm Studies, Montclair, NJ 07043 USA; [Siegert, Martin J.] Imperial Coll London, Grantham Inst, London SW7 2AZ, England; [Siegert, Martin J.] Imperial Coll London, Dept Earth Sci &amp; Engn, London SW7 2AZ, England</t>
  </si>
  <si>
    <t>Istituto Nazionale di Oceanografia e di Geofisica Sperimentale; Colorado College; Consiglio Nazionale delle Ricerche (CNR); Istituto di Scienze Marine (ISMAR-CNR); Victoria University Wellington; GNS Science - New Zealand; Helmholtz Association; Alfred Wegener Institute, Helmholtz Centre for Polar &amp; Marine Research; University of Bremen; Montclair State University; Imperial College London; Imperial College London</t>
  </si>
  <si>
    <t>Colleoni, F (corresponding author), Fdn Ctr Euro Mediterraneo Cambiamenti Climat, I-40129 Bologna, Italy.</t>
  </si>
  <si>
    <t>Siddoway, Christine/HKV-0895-2023; Siegert, Martin J/A-3826-2008; Passchier, Sandra/GYU-2381-2022; Siegert, Martin/M-9939-2019; Passchier, Sandra/AAQ-2243-2021; Colleoni, Florence/JMQ-7847-2023</t>
  </si>
  <si>
    <t>Siegert, Martin J/0000-0002-0090-4806; Siegert, Martin/0000-0002-0090-4806; Passchier, Sandra/0000-0001-7204-7025; Colleoni, Florence/0000-0003-4582-812X; Bergamasco, Alessandro/0000-0003-3138-8418; Golledge, Nicholas/0000-0001-7676-8970; Siddoway, Christine Smith/0000-0003-0478-6138</t>
  </si>
  <si>
    <t>JUL 11</t>
  </si>
  <si>
    <t>10.1038/s41467-018-05206-4</t>
  </si>
  <si>
    <t>GM5RO</t>
  </si>
  <si>
    <t>WOS:000438198200001</t>
  </si>
  <si>
    <t>Luo, YH; Si, FQ; Zhou, HJ; Dou, K; Liu, Y; Liu, WQ</t>
  </si>
  <si>
    <t>Luo, Yuhan; Si, Fuqi; Zhou, Haijin; Dou, Ke; Liu, Yi; Liu, Wenqing</t>
  </si>
  <si>
    <t>Observations and source investigations of the boundary layer bromine monoxide (BrO) in the Ny-Alesund Arctic</t>
  </si>
  <si>
    <t>ABSORPTION CROSS-SECTION; SURFACE OZONE DEPLETION; TROPOSPHERIC BRO; GASEOUS MERCURY; NM; MODEL; DOAS; HALOGENS; AIR</t>
  </si>
  <si>
    <t>During polar spring, the presence of reactive bromine in the polar boundary layer is considered to be the main cause of ozone depletion and mercury deposition. However, many uncertainties still remain regarding understanding the mechanisms of the chemical process and source of the bromine As Arctic sea ice has recently been dramatically reduced, it is critical to investigate the mechanisms using more accurate measurements with higher temporal and spatial resolution. In this study, a typical process of enhanced bromine and depleted ozone in the Ny-Alesund boundary layer in late April 2015 was observed by applying ground-based multi-axis differential optical absorption spectroscopy (MAX-DOAS) technique. The results showed that there were bromine monoxide (BrO) slant columns as high as 5.6 x 10(14) molec cm(-2) above the Kings Bay area on 26 April. Meanwhile, the boundary layer ozone and gaseous elemental mercury (GEM) were synchronously reduced by 85 and 90 %, respectively. Based on the meteorology, sea ice distribution and air mass history, the sea ice in the Kings Bay area, which emerged for only a very short period of time when the enhanced BrO was observed, was considered to be the major source of this bromine enhancement event. The oxidized GEM may be directly deposited onto snow/ice and thereby influence the polar ecosystem.</t>
  </si>
  <si>
    <t>[Luo, Yuhan; Si, Fuqi; Zhou, Haijin; Dou, Ke; Liu, Wenqing] Chinese Acad Sci, Anhui Inst Opt &amp; Fine Mech, Key Lab Environm Opt &amp; Technol, Hefei 230031, Anhui, Peoples R China; [Liu, Yi] Univ Sci &amp; Technol China, Natl Synchrotron Radiat Lab, Hefei 230027, Anhui, Peoples R China</t>
  </si>
  <si>
    <t>Chinese Academy of Sciences; Hefei Institutes of Physical Science, CAS; Anhui Institute of Optics &amp; Fine Mechanics (AIOFM), CAS; Chinese Academy of Sciences; University of Science &amp; Technology of China, CAS</t>
  </si>
  <si>
    <t>Luo, YH; Si, FQ (corresponding author), Chinese Acad Sci, Anhui Inst Opt &amp; Fine Mech, Key Lab Environm Opt &amp; Technol, Hefei 230031, Anhui, Peoples R China.</t>
  </si>
  <si>
    <t>yhluo@aiofm.ac.cn; sifuqi@aiofm.ac.cn</t>
  </si>
  <si>
    <t>Zhou, Haijin/ABE-5081-2020; liu, wen/HGE-3071-2022</t>
  </si>
  <si>
    <t>National Natural Science Foundation of China [41676184, 41306199, U1407135]</t>
  </si>
  <si>
    <t>National Natural Science Foundation of China(National Natural Science Foundation of China (NSFC))</t>
  </si>
  <si>
    <t>We appreciate the valuable comments from three anonymous referees. This research was financially supported by the National Natural Science Foundation of China (Project numbers 41676184, 41306199 and U1407135). We gratefully thank the Chinese Antarctic and Arctic Administration and teammates from the 2015 Chinese Arctic Expedition. We are also grateful to Ping Wang from KNMI and Yang Wang from MPIC for providing advice about the BrO VMR calculation. We kindly acknowledge the AWIPEV Atmospheric Observatory in Ny-Alesund, the Norwegian Polar Institute (NPI) and the Norwegian Institute for Air Research (NILU) for the complementary data. Caroline Fayt, Thomas Danckaert and Michel van Roozendael from BIRA are gratefully acknowledged for providing the QDOAS analysis software. Meteorological, surface ozone and gaseous mercury data are provided by the EBAS database. We gratefully acknowledge the NOAA Air Resources Laboratory (ARL) for providing the HYSPLIT transport model and READY website (http://www.ready.noaa.gov) used in this publication.</t>
  </si>
  <si>
    <t>10.5194/acp-18-9789-2018</t>
  </si>
  <si>
    <t>GM6NL</t>
  </si>
  <si>
    <t>WOS:000438286400003</t>
  </si>
  <si>
    <t>Chen, C; Linse, K; Uematsu, K; Sigwart, JD</t>
  </si>
  <si>
    <t>Chen, Chong; Linse, Katrin; Uematsu, Katsuyuki; Sigwart, Julia D.</t>
  </si>
  <si>
    <t>Cryptic niche switching in a chemosymbiotic gastropod</t>
  </si>
  <si>
    <t>PROCEEDINGS OF THE ROYAL SOCIETY B-BIOLOGICAL SCIENCES</t>
  </si>
  <si>
    <t>cryptometamorphosis; hydrothermal vent; life history; metamorphosis; mollusc</t>
  </si>
  <si>
    <t>HYDROTHERMAL VENTS; METAMORPHOSIS; GROWTH; RECONSTRUCTION; TRANSMISSION; NEOMPHALINA; ANIMALS; MUSSELS; SHIFT</t>
  </si>
  <si>
    <t>Life stages of some animals, including amphibians and insects, are so different that they have historically been seen as different species. 'Metamorphosis' broadly encompasses major changes in organism bodies and, importantly, concomitant shifts in trophic strategies. Many marine animals have a biphasic lifestyle, with small pelagic larvae undergoing one or more metamorphic transformations before settling into a permanent, adult morphology on the benthos. Post-settlement, the hydrothermal vent gastropod Gigantopelta chessoia experiences a further, cryptic metamorphosis at body sizes around 5-7 mm. The terminal adult stage is entirely dependent on chemoautotrophic symbionts; smaller individuals do not house symbionts and presumably depend on grazing. Using high-resolution X-ray microtomography to reconstruct the internal organs in a growth series, we show that this sudden transition in small but sexually mature individuals dramatically reconfigures the organs, but is in no way apparent from external morphology. We introduce the term 'cryptometamorphosis' to identify this novel phenomenon of a major body change and trophic shift, not related to sexual maturity, transforming only the internal anatomy. Understanding energy flow in ecosystems depends on the feeding ecology of species; the present study highlights the possibility for adult animals to make profound shifts in biology that influence energy dynamics.</t>
  </si>
  <si>
    <t>[Chen, Chong] Japan Agcy Marine Earth Sci &amp; Technol JAMSTEC, 2-15 Natsushima Cho, Yokosuka, Kanagawa 2370061, Japan; [Linse, Katrin] British Antarctic Survey, Madingley Rd, Cambridge CB3 0ET, England; [Uematsu, Katsuyuki] Marine Works Japan Ltd, 3-54-1 Oppamahigashi, Yokosuka, Kanagawa 2370063, Japan; [Sigwart, Julia D.] Queens Univ Belfast, Marine Lab, 12-13 Strand, Portaferru BT22 1PF, North Ireland; [Sigwart, Julia D.] Univ Calif Berkeley, Museum Paleontol, Berkeley, CA 94720 USA</t>
  </si>
  <si>
    <t>Japan Agency for Marine-Earth Science &amp; Technology (JAMSTEC); UK Research &amp; Innovation (UKRI); Natural Environment Research Council (NERC); NERC British Antarctic Survey; Queens University Belfast; University of California System; University of California Berkeley</t>
  </si>
  <si>
    <t>Chen, C (corresponding author), Japan Agcy Marine Earth Sci &amp; Technol JAMSTEC, 2-15 Natsushima Cho, Yokosuka, Kanagawa 2370061, Japan.</t>
  </si>
  <si>
    <t>cchen@jamstec.go.jp</t>
  </si>
  <si>
    <t>Chen, Chong/F-7489-2019; Sigwart, Julia/J-2928-2014</t>
  </si>
  <si>
    <t>Chen, Chong/0000-0002-5035-4021; Sigwart, Julia/0000-0002-3005-6246</t>
  </si>
  <si>
    <t>Natural Environment Research Council [NE/DO1249X/1]; Japan Society for the Promotion of Science [18K06401]; European Commission Award [H2020-MSCA-IF-2014-655661]; [ALS-RA-00172]; [ALS-09238]; [2017A1720]; [2017B1767]; NERC [bas0100036] Funding Source: UKRI</t>
  </si>
  <si>
    <t>Natural Environment Research Council(UK Research &amp; Innovation (UKRI)Natural Environment Research Council (NERC)); Japan Society for the Promotion of Science(Ministry of Education, Culture, Sports, Science and Technology, Japan (MEXT)Japan Society for the Promotion of Science); European Commission Award; ; ; ; ; NERC(UK Research &amp; Innovation (UKRI)Natural Environment Research Council (NERC))</t>
  </si>
  <si>
    <t>The RRS James Cook cruise JC80 was funded by the Natural Environment Research Council Consortium grant no. (NE/DO1249X/1) led by Prof. Paul Tyler (University of Southampton). C.C. was supported by a Japan Society for the Promotion of Science Grant-in-Aid for Scientific Research (18K06401) and J.D.S. by a European Commission Award (H2020-MSCA-IF-2014-655661). Synchrotron beamtime at the Advanced Light Source was granted under proposal numbers ALS-RA-00172 and ALS-09238 and at the SPring-8 under proposals 2017A1720 and 2017B1767.</t>
  </si>
  <si>
    <t>0962-8452</t>
  </si>
  <si>
    <t>1471-2954</t>
  </si>
  <si>
    <t>P ROY SOC B-BIOL SCI</t>
  </si>
  <si>
    <t>Proc. R. Soc. B-Biol. Sci.</t>
  </si>
  <si>
    <t>10.1098/rspb.2018.1099</t>
  </si>
  <si>
    <t>Biology; Ecology; Evolutionary Biology</t>
  </si>
  <si>
    <t>Life Sciences &amp; Biomedicine - Other Topics; Environmental Sciences &amp; Ecology; Evolutionary Biology</t>
  </si>
  <si>
    <t>GM8OZ</t>
  </si>
  <si>
    <t>Green Accepted, Green Published, Bronze</t>
  </si>
  <si>
    <t>WOS:000438492800015</t>
  </si>
  <si>
    <t>Bijl, PK; Houben, AJP; Hartman, JD; Pross, J; Salabarnada, A; Escutia, C; Sangiorgi, F</t>
  </si>
  <si>
    <t>Bijl, Peter K.; Houben, Alexander J. P.; Hartman, Julian D.; Pross, Jorg; Salabarnada, Ariadna; Escutia, Carlota; Sangiorgi, Francesca</t>
  </si>
  <si>
    <t>Paleoceanography and ice sheet variability offshore Wilkes Land, Antarctica - Part 2: Insights from Oligocene-Miocene dinoflagellate cyst assemblages</t>
  </si>
  <si>
    <t>STABLE-ISOTOPE RECORDS; SOUTHERN-OCEAN; SEA-LEVEL; SURFACE SEDIMENTS; CARBON-CYCLE; CONTINENTAL-MARGIN; SUBTROPICAL FRONT; EAST ANTARCTICA; ATLANTIC SECTOR; CLIMATE</t>
  </si>
  <si>
    <t>Next to atmospheric CO2 concentrations, iceproximal oceanographic conditions are a critical factor for the stability of Antarctic marine-terminating ice sheets. The Oligocene and Miocene epochs (similar to 34-5 Myr ago) were time intervals with atmospheric CO2 concentrations between those of present-day and those expected for the near future. As such, these past analogues may provide insights into ice-sheet volume stability under warmer-than-presentday climates. We present organic-walled dinoflagellate cyst (dinocyst) assemblages from chronostratigraphically well-constrained Oligocene to mid-Miocene sediments from Integrated Ocean Drilling Program (IODP) Site U1356. Situated offshore the Wilkes Land continental margin, East Antarctica, the sediments from Site U1356 have archived the dynamics of an ice sheet that is today mostly grounded below sea level. We interpret dinocyst assemblages in terms of paleoceanographic change on different timescales, i.e. with regard to both glacial-interglacial and long-term variability. Our record shows that a sea-ice-related dinocyst species, Selenopemphix antarctica, occurs only for the first 1.5 Myr of the early Oligocene, following the onset of full continental glaciation on Antarctica, and after the Mid-Miocene Climatic Optimum. Dinocysts suggest a weaker-than-modern sea-ice season for the remainder of the Oligocene and Miocene. The assemblages generally bear strong similarity to presentday open-ocean, high-nutrient settings north of the sea-ice edge, with episodic dominance of temperate species similar to those found in the present-day subtropical front. Oligotrophic and temperate surface waters prevailed over the site notably during interglacial times, suggesting that the positions of the (subpolar) oceanic frontal systems have varied in concordance with Oligocene-Miocene glacial-interglacial climate variability.</t>
  </si>
  <si>
    <t>[Bijl, Peter K.; Hartman, Julian D.; Sangiorgi, Francesca] Univ Utrecht, Fac Geosci, Dept Earth Sci, Marine Palynol &amp; Paleoceanog,Lab Palaeobot &amp; Paly, POB 80-115, NL-3508 TC Utrecht, Netherlands; [Houben, Alexander J. P.] Netherlands Org Appl Sci Res TNO, Geol Survey Netherlands, Princetonlaan 6, NL-3584 CB Utrecht, Netherlands; [Pross, Jorg] Heidelberg Univ, Inst Earth Sci, Paleoenvironm Dynam Grp, Neuenheimer Feld 234, D-69120 Heidelberg, Germany; [Salabarnada, Ariadna; Escutia, Carlota] UGR, Inst Andaluz Ciencias Tierra, CSIC, Armilla 18100, Spain</t>
  </si>
  <si>
    <t>Utrecht University; Netherlands Organization Applied Science Research; Ruprecht Karls University Heidelberg; Consejo Superior de Investigaciones Cientificas (CSIC); CSIC - Instituto Andaluz de Ciencias de la Tierra (IACT); University of Granada</t>
  </si>
  <si>
    <t>Bijl, PK (corresponding author), Univ Utrecht, Fac Geosci, Dept Earth Sci, Marine Palynol &amp; Paleoceanog,Lab Palaeobot &amp; Paly, POB 80-115, NL-3508 TC Utrecht, Netherlands.</t>
  </si>
  <si>
    <t>p.k.bijl@uu.nl</t>
  </si>
  <si>
    <t>Roset, Ariadna Salabarnada/L-8798-2014; Escutia, Carlota/B-8614-2015</t>
  </si>
  <si>
    <t>Roset, Ariadna Salabarnada/0000-0003-2239-2538; Hartman, Julian/0000-0001-6256-9989; Escutia, Carlota/0000-0002-4932-8619; Houben, Alexander/0000-0002-9497-1048; Bijl, Peter/0000-0002-1710-4012; Salabarnada, Ariadna/0000-0003-0858-8083; Sangiorgi, Francesca/0000-0003-4233-6154</t>
  </si>
  <si>
    <t>US National Science Foundation; NWO-NNPP [866.10.110]; NWO-ALW VENI [863.13.002]; IODP priority program of the German Research Foundation (DFG); Spanish Ministerio de Economia y Competitividad [CTM2014-60451-C2-1-P]; Joined Oceanographic Institutions Inc.</t>
  </si>
  <si>
    <t>US National Science Foundation(National Science Foundation (NSF)); NWO-NNPP; NWO-ALW VENI(Netherlands Organization for Scientific Research (NWO)); IODP priority program of the German Research Foundation (DFG); Spanish Ministerio de Economia y Competitividad(Spanish Government); Joined Oceanographic Institutions Inc.</t>
  </si>
  <si>
    <t>This research used data and samples from the Integrated Ocean Drilling Program (IODP). IODP was sponsored by the US National Science Foundation and participating countries under management of Joined Oceanographic Institutions Inc. Peter K. Bijl and Francesca Sangiorgi thank NWO-NNPP grant no. 866.10.110 and NWO-ALW VENI grant no. 863.13.002 for funding and Natasja Welters for technical support. Jorg Pross acknowledges support through the IODP priority program of the German Research Foundation (DFG). Carlota Escutia and Ariadna Salabarnada thank the Spanish Ministerio de Economia y Competitividad for grant CTM2014-60451-C2-1-P. We thank Kasia Sliwinska, Stephen Gallagher and the anonymous reviewer for their constructive comments that considerably improved our paper.</t>
  </si>
  <si>
    <t>10.5194/cp-14-1015-2018</t>
  </si>
  <si>
    <t>GM6RX</t>
  </si>
  <si>
    <t>WOS:000438301300001</t>
  </si>
  <si>
    <t>Schirrmeister, Lutz; Bobrov, Anatoly; Raschke, Elena; Herzschuh, Ulrike; Strauss, Jens; Pestryakova, Luidmila A.; Wetterich, Sebastian</t>
  </si>
  <si>
    <t>Late Holocene ice-wedge polygon dynamics in northeastern Siberian coastal lowlands</t>
  </si>
  <si>
    <t>Permafrost; cryolithology; radiocarbon dating; paleoecology; rhizopods; pollen; plant macro-fossils</t>
  </si>
  <si>
    <t>NON-POLLEN PALYNOMORPHS; TESTATE AMEBAS PROTOZOA; NE SIBERIA; VEGETATION COMPOSITION; ORGANIC-CARBON; PERMAFROST; SOILS; DEPOSITION; PATTERNS; THAW</t>
  </si>
  <si>
    <t>Ice-wedge polygons are common features of northeastern Siberian lowland periglacial tundra landscapes. To deduce the formation and alternation of ice-wedge polygons in the Kolyma Delta and in the Indigirka Lowland, we studied shallow cores, up to 1.3 m deep, from polygon center and rim locations. The formation of well-developed low-center polygons with elevated rims and wet centers is shown by the beginning of peat accumulation, increased organic matter contents, and changes in vegetation cover from Poaceae-, Alnus-, and Betula-dominated pollen spectra to dominating Cyperaceae and Botryoccocus presence, and Carex and Drepanocladus revolvens macro-fossils. Tecamoebae data support such a change from wetland to open-water conditions in polygon centers by changes from dominating eurybiontic and sphagnobiontic to hydrobiontic species assemblages. The peat accumulation indicates low-center polygon formation and started between 2380 +/- 30 and 1676 +/- 32 years before present (BP) in the Kolyma Delta. We recorded an opposite change from open-water to wetland conditions because of rim degradation and consecutive high-center polygon formation in the Indigirka Lowland between 2144 +/- 33 and 1632 +/- 32 years BP. The late Holocene records of polygon landscape development reveal changes in local hydrology and soil moisture.</t>
  </si>
  <si>
    <t>[Schirrmeister, Lutz; Raschke, Elena; Strauss, Jens; Wetterich, Sebastian] Alfred Wegener Inst, Helmholtz Ctr Polar &amp; Marine, Periglacial Res Sect, Telegrafenberg A45, D-14473 Potsdam, Germany; [Bobrov, Anatoly] Moscow MV Lomonosov State Univ, Dept Soil Sci, Moscow, Russia; [Herzschuh, Ulrike] Alfred Wegener Inst, Helmholtz Ctr Polar &amp; Marine, Polar Terr Environm Syst Grp, Potsdam, Germany; [Herzschuh, Ulrike] Univ Potsdam, Inst Earth &amp; Environm Sci, Potsdam, Germany; [Pestryakova, Luidmila A.] Northeastern Fed Univ Yakutsk, Dept Geog &amp; Biol, Yakutsk, Russia</t>
  </si>
  <si>
    <t>Helmholtz Association; Alfred Wegener Institute, Helmholtz Centre for Polar &amp; Marine Research; Lomonosov Moscow State University; Helmholtz Association; Alfred Wegener Institute, Helmholtz Centre for Polar &amp; Marine Research; University of Potsdam; North-Eastern Federal University in Yakutsk</t>
  </si>
  <si>
    <t>Schirrmeister, L (corresponding author), Alfred Wegener Inst, Helmholtz Ctr Polar &amp; Marine, Periglacial Res Sect, Telegrafenberg A45, D-14473 Potsdam, Germany.</t>
  </si>
  <si>
    <t>Lutz.Schirrmeister@awi.de</t>
  </si>
  <si>
    <t>Strauss, Jens/P-6544-2014; Schirrmeister, Lutz/AGW-0545-2022; Schirrmeister, Lutz/O-5584-2015; Wetterich, Sebastian/AAD-6569-2019; Pestryakova, Luidmila/Q-9900-2016; Raschke, Elena/M-9982-2016</t>
  </si>
  <si>
    <t>Strauss, Jens/0000-0003-4678-4982; Schirrmeister, Lutz/0000-0001-9455-0596; Schirrmeister, Lutz/0000-0001-9455-0596; Wetterich, Sebastian/0000-0001-9234-1192; Pestryakova, Luidmila/0000-0001-5347-4478; Herzschuh, Ulrike/0000-0003-0999-1261; Raschke, Elena/0000-0001-5247-8186</t>
  </si>
  <si>
    <t>Russian Foundation for Basic Research, RFBR [16-04-00451, 15-29-02518, 15-45-05063]; Deutsche Forschungsgemeinschaft, DFG [HE 3622-16-1]; RFBR [11-04-01171-a]; European Research Council [338335]; Helmholtz Association [ERC-0013]</t>
  </si>
  <si>
    <t>Russian Foundation for Basic Research, RFBR(Russian Foundation for Basic Research (RFBR)); Deutsche Forschungsgemeinschaft, DFG(German Research Foundation (DFG)); RFBR(Russian Foundation for Basic Research (RFBR)); European Research Council(European Research Council (ERC)); Helmholtz Association(Helmholtz Association)</t>
  </si>
  <si>
    <t>The study is part of the joint Russian-German project Polygons in Tundra Wetlands: State and Dynamics under Climate Variability in Polar Regions (Russian Foundation for Basic Research, RFBR Grants No. 16-04-00451, 15-29-02518, 15-45-05063; Deutsche Forschungsgemeinschaft, DFG Grant No. HE 3622-16-1). Financial support came also from RFBR Project No. 11-04-01171-a Geography and Ecology of Soil-inhabiting Testate Amoebae. In addition, Jens Strauss was supported by the European Research Council (#338335) and the Helmholtz Association (ERC-0013).</t>
  </si>
  <si>
    <t>JUL 10</t>
  </si>
  <si>
    <t>e1462595</t>
  </si>
  <si>
    <t>10.1080/15230430.2018.1462595</t>
  </si>
  <si>
    <t>GN1HO</t>
  </si>
  <si>
    <t>WOS:000438739900001</t>
  </si>
  <si>
    <t>Jolly, B; Kuma, P; McDonald, A; Parsons, S</t>
  </si>
  <si>
    <t>Jolly, Ben; Kuma, Peter; McDonald, Adrian; Parsons, Simon</t>
  </si>
  <si>
    <t>An analysis of the cloud environment over the Ross Sea and Ross Ice Shelf using CloudSat/CALIPSO satellite observations: the importance of synoptic forcing</t>
  </si>
  <si>
    <t>SOUTHERN-OCEAN; ANTARCTICA; IMPROVEMENTS; MOISTURE; ISLAND; MODIS</t>
  </si>
  <si>
    <t>We use the 2B-GEOPROF-LIDAR R04 (2BGL4) and R05 (2BGL5) products and the 2B-CLDCLASS-LIDAR R04 (2BCL4) product, all generated by combining CloudSat radar and CALIPSO lidar satellite measurements with auxiliary data, to examine the vertical distribution of cloud occurrence around the Ross Ice Shelf (RIS) and Ross Sea region. We find that the 2BGL4 product, used in previous studies in this region, displays a discontinuity at 8.2 km which is not observable in the other products. This artefact appears to correspond to a change in the horizontal and vertical resolution of the CALIPSO dataset used above this level. We then use the 2BCL4 product to examine the vertical distribution of cloud occurrence, phase, and type over the RIS and Ross Sea. In particular we examine how synoptic conditions in the region, derived using a previously developed synoptic classification, impact the cloud environment and the contrasting response in the two regions. We observe large differences between the cloud occurrence as a function of altitude for synoptic regimes relative to those for seasonal variations. A stronger variation in the occurrence of clear skies and multi-layer cloud and in all cloud type occurrences over both the Ross Sea and RIS is associated more with synoptic type than seasonal composites. In addition, anomalies from the mean joint histogram of cloud top height against thickness display significant differences over the Ross Sea and RIS sectors as a function of synoptic regime, but are near identical over these two regions when a seasonal analysis is completed. However, the frequency of particular phases of cloud, notably mixed phase and water, is much more strongly modulated by seasonal than synoptic regime compositing, which suggests that temperature is still the most important control on cloud phase in the region.</t>
  </si>
  <si>
    <t>[Jolly, Ben] Landcare Res, Lincoln, New Zealand; [Kuma, Peter; McDonald, Adrian; Parsons, Simon] Univ Canterbury, Dept Phys &amp; Astron, Christchurch, New Zealand</t>
  </si>
  <si>
    <t>Landcare Research - New Zealand; University of Canterbury</t>
  </si>
  <si>
    <t>Jolly, B (corresponding author), Landcare Res, Lincoln, New Zealand.</t>
  </si>
  <si>
    <t>jollyb@landcareresearch.co.nz</t>
  </si>
  <si>
    <t>Parsons, Simon/0000-0003-4878-9779; Kuma, Peter/0000-0002-0910-8646</t>
  </si>
  <si>
    <t>Deep South National Science Challenge via the Clouds and Aerosols project; Deep South National Science Challenge [NZARI RFP 2014-2]</t>
  </si>
  <si>
    <t>Deep South National Science Challenge via the Clouds and Aerosols project; Deep South National Science Challenge</t>
  </si>
  <si>
    <t>The authors acknowledge the ECMWF for the ERA-Interim dataset. The CloudSat/CALIPSO data were obtained from the CloudSat Data Processing Center. The SCAR Antarctic Digital Database was obtained from the British Antarctic Survey Geodata Portal. We would also like to acknowledge the financial support that made this work possible provided by the Deep South National Science Challenge via the Clouds and Aerosols project and NZARI RFP 2014-2 Vulnerability of the Ross Ice Shelf in a Warming World.</t>
  </si>
  <si>
    <t>10.5194/acp-18-9723-2018</t>
  </si>
  <si>
    <t>GM5EY</t>
  </si>
  <si>
    <t>WOS:000438156100003</t>
  </si>
  <si>
    <t>Salabarnada, A; Escutia, C; Röhl, U; Nelson, CH; McKay, R; Jiménez-Espejo, FJ; Bijl, PK; Hartman, JD; Strother, SL; Salzmann, U; Evangelinos, D; López-Quirós, A; Flores, JA; Sangiorgi, F; Ikehara, M; Brinkhuis, H</t>
  </si>
  <si>
    <t>Salabarnada, Ariadna; Escutia, Carlota; Roehl, Ursula; Hans Nelson, C.; McKay, Robert; Jimenez-Espejo, Francisco J.; Bijl, Peter K.; Hartman, Julian D.; Strother, Stephanie L.; Salzmann, Ulrich; Evangelinos, Dimitris; Lopez-Quiros, Adrian; Abel Flores, Jose; Sangiorgi, Francesca; Ikehara, Minoru; Brinkhuis, Henk</t>
  </si>
  <si>
    <t>Paleoceanography and ice sheet variability offshore Wilkes Land, Antarctica - Part 1: Insights from late Oligocene astronomically paced contourite sedimentation</t>
  </si>
  <si>
    <t>SEISMIC STRATIGRAPHIC EVIDENCE; CAPE-ROBERTS PROJECT; SOUTHERN-OCEAN; BOTTOM WATER; CENOZOIC CLIMATE; CONTINENTAL RISE; EAST-ANTARCTICA; SEA-LEVEL; CIRCUMPOLAR CURRENT; TRACTION STRUCTURES</t>
  </si>
  <si>
    <t>Antarctic ice sheet and Southern Ocean paleoceanographic configurations during the late Oligocene are not well resolved. They are however important to understand the influence of high-latitude Southern Hemisphere feedbacks on global climate under CO2 scenarios (between 400 and 750 ppm) projected by the IPCC for this century, assuming unabated CO2 emissions. Sediments recovered by the Integrated Ocean Drilling Program (IODP) at Site U1356, offshore of the Wilkes Land margin in East Antarctica, provide an opportunity to study ice sheet and paleoceanographic configurations during the late Oligocene (26-25 Ma). Our study, based on a combination of sediment facies analysis, magnetic susceptibility, density, and X-ray fluorescence geochemical data, shows that glacial and interglacial sediments are continuously reworked by bottom currents, with maximum velocities occurring during the interglacial periods. Glacial sediments record poorly ventilated, low-oxygenation bottom water conditions, interpreted as resulting from a northward shift of westerly winds and surface oceanic fronts. Interglacial sediments record more oxygenated and ventilated bottom water conditions and strong current velocities, which suggests enhanced mixing of the water masses as a result of a southward shift of the polar front. Intervals with preserved carbonated nannofossils within some of the interglacial facies are interpreted as forming under warmer paleoclimatic conditions when less corrosive warmer northern component water (e.g., North Atlantic sourced deep water) had a greater influence on the site. Spectral analysis on the late Oligocene sediment interval shows that the glacial-interglacial cyclicity and related displacements of the Southern Ocean frontal systems between 26 and 25 Ma were forced mainly by obliquity. The paucity of iceberg-rafted debris (IRD) throughout the studied interval contrasts with earlier Oligocene and post-Miocene Climate Optimum sections from Site U1356 and with late Oligocene strata from the Ross Sea, which contain IRD and evidence for coastal glaciers and sea ice. These observations, supported by elevated sea surface paleotemperatures, the absence of sea ice, and reconstructions of fossil pollen between 26 and 25 Ma at Site U1356, suggest that open-ocean water conditions prevailed. Combined, this evidence suggests that glaciers or ice caps likely occupied the topographic highs and lowlands of the now marine Wilkes Subglacial Basin (WSB). Unlike today, the continental shelf was not overdeepened and thus ice sheets in the WSB were likely land-based, and marine-based ice sheet expansion was likely limited to coastal regions.</t>
  </si>
  <si>
    <t>[Salabarnada, Ariadna; Escutia, Carlota; Hans Nelson, C.; Evangelinos, Dimitris; Lopez-Quiros, Adrian] Univ Granada, CSIC, Inst Andaluz Ciencias Tierra, Armilla 18100, Spain; [Roehl, Ursula] Univ Bremen, MARUM Ctr Marine Environm Sci, Leobener Str 8, D-28359 Bremen, Germany; [McKay, Robert] Victoria Univ Wellington, Antarctic Res Ctr, Wellington 6140, New Zealand; [Jimenez-Espejo, Francisco J.] Japan Agcy Marine Earth Sci &amp; Technol, Dept Biogeochem, Yokosuka, Kanagawa 2370061, Japan; [Bijl, Peter K.; Hartman, Julian D.; Sangiorgi, Francesca; Brinkhuis, Henk] Univ Utrecht, Lab Palaeobot &amp; Palynol, Fac Geosci, Dept Earth Sci Marine Palynol &amp; Palaeoceanog, Princetonlaan 8a, NL-3584 CB Utrecht, Netherlands; [Strother, Stephanie L.; Salzmann, Ulrich] Northumbria Univ, Fac Engn &amp; Environm, Dept Geog &amp; Environm Sci, Newcastle Upon Tyne NE1 8ST, Tyne &amp; Wear, England; [Abel Flores, Jose] Univ Salamanca, Dept Geol, E-37008 Salamanca, Spain; [Ikehara, Minoru] Kochi Univ, Ctr Adv Marine Core Res, Nankoku, Kochi 7838502, Japan; [Brinkhuis, Henk] Royal Netherlands Inst Sea Res, NIOZ, NL-1797 SZ T Horntje, Texel, Netherlands; [Brinkhuis, Henk] Univ Utrecht, Landsdiep 4, NL-1797 SZ T Horntje, Texel, Netherlands</t>
  </si>
  <si>
    <t>University of Granada; Consejo Superior de Investigaciones Cientificas (CSIC); CSIC - Instituto Andaluz de Ciencias de la Tierra (IACT); University of Bremen; Victoria University Wellington; Japan Agency for Marine-Earth Science &amp; Technology (JAMSTEC); Utrecht University; Northumbria University; University of Salamanca; Kochi University; Utrecht University; Royal Netherlands Institute for Sea Research (NIOZ); Utrecht University</t>
  </si>
  <si>
    <t>Salabarnada, A (corresponding author), Univ Granada, CSIC, Inst Andaluz Ciencias Tierra, Armilla 18100, Spain.</t>
  </si>
  <si>
    <t>a.salabarnada@csic.es</t>
  </si>
  <si>
    <t>Brinkhuis, Henk/IUO-8165-2023; Jimenez-Espejo, Francisco J./AAR-2318-2020; López Quirós, Adrián/K-6513-2017; Evagelinos, Dimitris/ISU-3607-2023; Flores, José-Abel/D-4218-2009; Evangelinos, Dimitris/ABH-5910-2020; Röhl, Ursula/G-5986-2011; Jimenez-Espejo, Francisco J/F-4486-2016; Roset, Ariadna Salabarnada/L-8798-2014; Salzmann, Ulrich/H-9929-2017; Escutia, Carlota/B-8614-2015</t>
  </si>
  <si>
    <t>Brinkhuis, Henk/0000-0003-0253-6610; López Quirós, Adrián/0000-0002-7522-2834; Flores, José-Abel/0000-0003-1909-293X; Evangelinos, Dimitris/0000-0002-4978-3056; Röhl, Ursula/0000-0001-9469-7053; Jimenez-Espejo, Francisco J/0000-0002-0335-8580; Roset, Ariadna Salabarnada/0000-0003-2239-2538; Salzmann, Ulrich/0000-0001-5598-5327; Hartman, Julian/0000-0001-6256-9989; Bijl, Peter/0000-0002-1710-4012; Salabarnada, Ariadna/0000-0003-0858-8083; Ikehara, Minoru/0000-0002-2695-4713; Escutia, Carlota/0000-0002-4932-8619; Sangiorgi, Francesca/0000-0003-4233-6154; McKay, Robert/0000-0002-5602-6985</t>
  </si>
  <si>
    <t>Spanish Ministerio de Economia y Competitividad [CTM 2011-24079, CTM2014-60451-C2-1-P]; European Union through FEDER funds; Deutsche Forschungsgemeinschaft (DFG) [RO 1113/6]; NWO polar programme [866.10.110]; NWO-VENI [863.13.002]; Natural Environment Research Council (NERC) [NE/H000984/1]; NERC [NE/H000984/1] Funding Source: UKRI</t>
  </si>
  <si>
    <t>Spanish Ministerio de Economia y Competitividad(Spanish Government); European Union through FEDER funds(European Union (EU)); Deutsche Forschungsgemeinschaft (DFG)(German Research Foundation (DFG)); NWO polar programme; NWO-VENI(Netherlands Organization for Scientific Research (NWO)); Natural Environment Research Council (NERC)(UK Research &amp; Innovation (UKRI)Natural Environment Research Council (NERC)); NERC(UK Research &amp; Innovation (UKRI)Natural Environment Research Council (NERC))</t>
  </si>
  <si>
    <t>This research used samples and data provided by the Integrated Ocean Drilling Program, now the International Ocean Discovery Program (IODP). We thank the staff onboard IODP Exp. 318 and at the Gulf Coast, the Bremen, and the Kochi IODP core repositories for assistance in core handling and shipping. We thank Vera Lukies (MARUM) for technical support with XRF core scanning and Shizu Yanagimoto (KOCHI) for technical support with CT scans. We also thank the constructive comments of an anonymous reviewer and Steven Pekar that have helped to improve this paper. Funding for this research is provided by the Spanish Ministerio de Economia y Competitividad (grants CTM 2011-24079 and CTM2014-60451-C2-1-P), co-funded by the European Union through FEDER funds. Ulrich Salzmann thanks the Deutsche Forschungsgemeinschaft (DFG) (RO 1113/6). Peter K. Bijl, Francesca Sangiorgi, and Julian D. Hartman acknowledge funding through the NWO polar programme grant no 866.10.110. Peter K. Bijl acknowledges funding through NWO-VENI grant no 863.13.002. Ulrich Salzmann acknowledges funding received from the Natural Environment Research Council (NERC grant NE/H000984/1).</t>
  </si>
  <si>
    <t>10.5194/cp-14-991-2018</t>
  </si>
  <si>
    <t>GM5FS</t>
  </si>
  <si>
    <t>WOS:000438158600001</t>
  </si>
  <si>
    <t>Fu, Y; Karstensen, J; Brandt, P</t>
  </si>
  <si>
    <t>Fu, Yao; Karstensen, Johannes; Brandt, Peter</t>
  </si>
  <si>
    <t>Atlantic Meridional Overturning Circulation at 14.5° N in 1989 and 2013 and 24.5° N in 1992 and 2015: volume, heat, and freshwater transports</t>
  </si>
  <si>
    <t>WESTERN BOUNDARY CURRENT; TROPICAL NORTH-ATLANTIC; ANTARCTIC INTERMEDIATE WATER; FLORIDA CURRENT TRANSPORT; GLOBAL OCEAN CIRCULATION; CANARY CURRENT; DEEP-WATER; VARIABILITY; OXYGEN; FLOW</t>
  </si>
  <si>
    <t>The Atlantic Meridional Overturning Circulation (AMOC) is analyzed by applying a box inverse model to hydrographic data from transatlantic sections along 14.5 degrees N, occupied in 1989 and 2013, and along 24.5 degrees N, occupied in 1992 and 2015. Direct comparison of water mass properties among the different realizations at the respective latitudes shows that the Antarctic Intermediate Water (AAIW) became warmer and saltier at 14.5 degrees N, and the densest Antarctic Bottom Water became lighter, while the North Atlantic Deep Water freshened at both latitudes. The inverse solution shows that the intermediate layer transport at 14.5 degrees N was also markedly weaker in 2013 than in 1989, indicating that the AAIW property changes at this latitude may be related to changes in the circulation. The inverse solution was validated using the RAPID and MOVE array data, and the GECCO2 ocean state estimate. Comparison among these datasets indicates that the AMOC has not significantly weakened over the past 2 decades at both latitudes. Sensitivity tests of the inverse solution suggest that the overturning structure and heat transport across the 14.5 degrees N section are sensitive to the Ek-man transport, while freshwater transport is sensitive to the transport-weighted salinity at the western boundary.</t>
  </si>
  <si>
    <t>[Fu, Yao; Karstensen, Johannes; Brandt, Peter] GEOMAR Helmholtz Ctr Ocean Res Kiel, Kiel, Germany; [Brandt, Peter] Christian Albrechts Univ Kiel, Kiel, Germany; [Fu, Yao] Chinese Acad Sci, South China Sea Inst Oceanol, State Key Lab Trop Oceanog, Guangzhou, Guangdong, Peoples R China</t>
  </si>
  <si>
    <t>Helmholtz Association; GEOMAR Helmholtz Center for Ocean Research Kiel; University of Kiel; Chinese Academy of Sciences; South China Sea Institute of Oceanology, CAS</t>
  </si>
  <si>
    <t>Fu, Y (corresponding author), GEOMAR Helmholtz Ctr Ocean Res Kiel, Kiel, Germany.;Fu, Y (corresponding author), Chinese Acad Sci, South China Sea Inst Oceanol, State Key Lab Trop Oceanog, Guangzhou, Guangdong, Peoples R China.</t>
  </si>
  <si>
    <t>yfu@scsio.ac.cn</t>
  </si>
  <si>
    <t>Karstensen, Johannes/A-8534-2013; Brandt, Peter/C-8254-2013</t>
  </si>
  <si>
    <t>Karstensen, Johannes/0000-0001-5044-7079; Brandt, Peter/0000-0002-9235-955X; Fu, Yao/0000-0003-2227-3694</t>
  </si>
  <si>
    <t>Deutsche Forschungsgemeinschaft [FOR1740]; European Union Seventh Framework Programme (FP7) [603521]; Natural Environment Research Council</t>
  </si>
  <si>
    <t>Deutsche Forschungsgemeinschaft(German Research Foundation (DFG)); European Union Seventh Framework Programme (FP7)(European Union (EU)); Natural Environment Research Council(UK Research &amp; Innovation (UKRI)Natural Environment Research Council (NERC))</t>
  </si>
  <si>
    <t>This study is supported by the Deutsche Forschungsgemeinschaft as part of cooperative project FOR1740 and by the European Union Seventh Framework Programme (FP7 2007-2013) under grant agreement 603521, the PREFACE project. We thank Thomas Muller for reprocessing the M09 CTD salinity, temperature, and oxygen data, and for his comments on a previous version of the paper. We thank Toste Tanhua for closing the M96 section towards the African coast during M97. We thank Armin Kohl for providing the GECCO2 data and the information about the data. Special thanks to Takamasa Tsubouchi for his generous help on the box inverse model, as well as to Alonso Hernandez-Guerra for his help on the error estimation of the inverse model results. The inverse model was developed from DOBOX version 4.2 (Morgan, 1994). Data from the RAPID-WATCH MOC monitoring project are funded by the Natural Environment Research Council and are freely available from http://www.rapid.ac.uk/rapidmoc/ (last access: 17 January 2018). This work uses data from the MOVE project (see Kanzow et al., 2006). MOVE is a contribution to the international OceanSITES project.</t>
  </si>
  <si>
    <t>10.5194/os-14-589-2018</t>
  </si>
  <si>
    <t>GM5PJ</t>
  </si>
  <si>
    <t>WOS:000438191800001</t>
  </si>
  <si>
    <t>Cummings, VJ; Hewitt, JE; Thrush, SF; Marriott, PM; Halliday, NJ; Norkko, A</t>
  </si>
  <si>
    <t>Cummings, Vonda J.; Hewitt, Judi E.; Thrush, Simon F.; Marriott, Peter M.; Halliday, N. Jane; Norkko, Alf</t>
  </si>
  <si>
    <t>Linking Ross Sea Coastal Benthic Communities to Environmental Conditions: Documenting Baselines in a Spatially Variable and Changing World</t>
  </si>
  <si>
    <t>Antarctica; benthos; coast; environmental change; multi-scale observations; functional traits</t>
  </si>
  <si>
    <t>CLIMATE-CHANGE; SOUTHERN-OCEAN; ANTARCTIC PENINSULA; MARINE ECOSYSTEM; MCMURDO SOUND; ICE; IMPACT; ACIDIFICATION; DYNAMICS; WEST</t>
  </si>
  <si>
    <t>Understanding the functionality of marine benthic ecosystems, and how they are influenced by their physical environment, is fundamental to realistically predicting effects of future environmental change. The Antarctic faces multiple environmental pressures associated with greenhouse gas emissions, emphasizing the need for baseline information on biodiversity and the bio-physical processes that influence biodiversity. We describe a survey of shallow water benthic communities at eight Ross Sea locations with a range of environmental characteristics. Our analyses link coastal benthic community composition to seafloor habitat and sedimentary parameters and broader scale features, at locations encompassing considerable spatial extent and variation in environmental characteristics (e.g., seafloor habitat, sea ice conditions, hydrodynamic regime, light). Our aims were to: (i) document existing benthic communities, habitats and environmental conditions against which to assess future change, (ii) investigate the relationships between environmental and habitat characteristics and benthic community structure and function, and (iii) determine whether these relationships were dependent on spatial extent. A very high percentage (&gt;95%) of the between-location variability in macro- or epifaunal community composition was explainable using multi-scale environmental variables. The explanatory power varied depending on the scale of influence of the environmental variables measured (fine and medium-scale habitat, broad scale), and with community type. However, the inclusion of parameters at all scales produced the most powerful model for both communities. Ice duration, ice thickness and snow cover were important broad scale variables identified that directly relate to climate change. Even when using only habitat-scale variables, extending the spatial scale of the study from three locations covering 32 km to eight locations covering similar to 340 km increased the degree of explanatory power from 18-32 to 64-78%. The increase in explanatory power with spatial extent lends weight to the possibility of using an indirect space for time substitution approach for future predictions of the effects of change on these coastal marine ecosystems. Given the multiple and interacting drivers of change in Antarctic coastal ecosystems a multidisciplinary, long term, repeated observation approach will be vital to both improve and test predictions of how coastal communities will respond to environmental change.</t>
  </si>
  <si>
    <t>[Cummings, Vonda J.; Marriott, Peter M.; Halliday, N. Jane] Natl Inst Water &amp; Atmospher Res, Wellington, New Zealand; [Hewitt, Judi E.] Natl Inst Water &amp; Atmospher Res, Hamilton, New Zealand; [Thrush, Simon F.] Univ Auckland, Inst Marine Sci, Auckland, New Zealand; [Norkko, Alf] Univ Helsinki, Tvarminne Zool Stn, Helsinki, Finland; [Norkko, Alf] Stockholm Univ, Baltic Sea Ctr, Stockholm, Sweden</t>
  </si>
  <si>
    <t>National Institute of Water &amp; Atmospheric Research (NIWA) - New Zealand; National Institute of Water &amp; Atmospheric Research (NIWA) - New Zealand; University of Auckland; University of Helsinki; Stockholm University</t>
  </si>
  <si>
    <t>Cummings, VJ (corresponding author), Natl Inst Water &amp; Atmospher Res, Wellington, New Zealand.</t>
  </si>
  <si>
    <t>vonda.cummings@niwa.co.nz</t>
  </si>
  <si>
    <t>Norkko, Alf/L-8736-2019; Norkko, Alf/A-1856-2012</t>
  </si>
  <si>
    <t>marriott, peter/0000-0003-2299-4678; Thrush, Simon/0000-0002-4005-3882; Norkko, Alf/0000-0002-9741-4458; Halliday, Jane/0000-0002-9718-0348; Cummings, Vonda/0000-0003-1076-3995</t>
  </si>
  <si>
    <t>New Zealand Ministry of Fisheries [ZBD2001/02, ZBD2002/01, ZBD2006/03]; New Zealand Ministry for Business, Innovation and Employment [COX01707]; National Institute of Water and Atmospheric Research (NSOF) [COMS 1406]</t>
  </si>
  <si>
    <t>New Zealand Ministry of Fisheries; New Zealand Ministry for Business, Innovation and Employment(New Zealand Ministry of Business, Innovation and Employment (MBIE)); National Institute of Water and Atmospheric Research (NSOF)</t>
  </si>
  <si>
    <t>This research was funded by the New Zealand Ministry of Fisheries (ZBD2001/02, ZBD2002/01, ZBD2006/03), the New Zealand Ministry for Business, Innovation and Employment (COX01707), and the National Institute of Water and Atmospheric Research (NSOF, COMS 1406).</t>
  </si>
  <si>
    <t>JUL 9</t>
  </si>
  <si>
    <t>10.3389/fmars.2018.00232</t>
  </si>
  <si>
    <t>HJ4VY</t>
  </si>
  <si>
    <t>WOS:000457175900001</t>
  </si>
  <si>
    <t>Jansen, J; Hill, NA; Dunstan, PK; Cougnon, EA; Galton-Fenzi, BK; Johnson, CR</t>
  </si>
  <si>
    <t>Jansen, Jan; Hill, Nicole A.; Dunstan, Piers K.; Cougnon, Eva A.; Galton-Fenzi, Benjamin K.; Johnson, Craig R.</t>
  </si>
  <si>
    <t>Mapping Antarctic Suspension Feeder Abundances and Seafloor Food-Availability, and Modeling Their Change After a Major Glacier Calving</t>
  </si>
  <si>
    <t>food availability; Antarctic marine biodiversity; pelagic-benthic-coupling; sea-ice; climate change; surface productivity; Mertz Glacier Tongue</t>
  </si>
  <si>
    <t>MERTZ GLACIER; COMMONWEALTH BAY; EAST ANTARCTICA; TERRE ADELIE; ICE; POLYNYA; SHELF; TONGUE; VARIABILITY; DYNAMICS</t>
  </si>
  <si>
    <t>Seafloor communities are a critical part of the unique and diverse Antarctic marine life. Processes at the ocean-surface can strongly influence the diversity and abundance of these communities, even when they live at hundreds of meters water depth. However, even though we understand the importance of this link, there are so far no quantitative spatial predictions on how seafloor communities will respond to changing conditions at the ocean surface. Here, we map patterns in abundance of important habitat-forming suspension feeders on the seafloor in East Antarctica, and predict how these patterns change after a major disturbance in the icescape, caused by the calving of the Mertz Glacier Tongue. We use a purpose-built ocean model for the time-period before and after the calving of the Mertz-Glacier Tongue in 2010, data from satellites and a validated food-availability model to estimate changes in horizontal flux of food since the glacier calving. We then predict the post-calving distribution of suspension feeder abundances using the established relationships with the environmental variables, and changes in horizontal flux of food. Our resulting maps indicate strong increases in suspension feeder abundances close to the glacier calving site, fueled by increased food supply, while the remainder of the region maintains similar suspension feeder abundances despite a slight decrease in total food supply. The oceanographic setting of the entire region changes, with a shorter ice-free season, altered seafloor currents and changes in food-availability. Our study provides important insight into the flow-on effects of a changing icescape on seafloor habitat and fauna in polar environments. Understanding these connections is important in the context of current and future effects of climate change, and the mapped predictions of the seafloor fauna as presented for the study region can be used as a decision-tool for planning potential marine protected areas, and for focusing future sampling and monitoring initiatives.</t>
  </si>
  <si>
    <t>[Jansen, Jan; Hill, Nicole A.; Cougnon, Eva A.; Johnson, Craig R.] Univ Tasmania, Inst Marine &amp; Antarctic Studies, Hobart, Tas, Australia; [Jansen, Jan; Galton-Fenzi, Benjamin K.] Australian Antarctic Div, Kingston, Tas, Australia; [Dunstan, Piers K.] CSIRO Oceans &amp; Atmosphere, Hobart, Tas, Australia; [Cougnon, Eva A.; Galton-Fenzi, Benjamin K.] Univ Tasmania, Antarctic Climate &amp; Ecosyst Cooperat Res Ctr, Hobart, Tas, Australia</t>
  </si>
  <si>
    <t>University of Tasmania; Australian Antarctic Division; Commonwealth Scientific &amp; Industrial Research Organisation (CSIRO); University of Tasmania; Antarctic Climate &amp; Ecosystems Cooperative Research Centre (ACE CRC)</t>
  </si>
  <si>
    <t>Jansen, J (corresponding author), Univ Tasmania, Inst Marine &amp; Antarctic Studies, Hobart, Tas, Australia.;Jansen, J (corresponding author), Australian Antarctic Div, Kingston, Tas, Australia.</t>
  </si>
  <si>
    <t>jan.jansen@utas.edu.au</t>
  </si>
  <si>
    <t>Cougnon, Eva/C-4110-2014; Dunstan, Piers K/B-7309-2016; Jansen, Jan/O-8632-2014</t>
  </si>
  <si>
    <t>Jansen, Jan/0000-0001-5896-365X; Galton-Fenzi, Benjamin Keith/0000-0003-1404-4103</t>
  </si>
  <si>
    <t>CEAMARC program [53]; Tasmanian Graduate Research Scholarship; QAS Top-Up scholarship; Australian Antarctic Science project [4124]</t>
  </si>
  <si>
    <t>CEAMARC program; Tasmanian Graduate Research Scholarship; QAS Top-Up scholarship; Australian Antarctic Science project</t>
  </si>
  <si>
    <t>We thank Marc Eleaume for useful discussions and for making the original biological data available to us, and the reviewers of the paper for their comments. Biological samples were collected during the CEAMARC program as part of the IPY #53 Census of Antarctic Marine Life program. Coastline and glacial features for the figures are taken from the Antarctic Digital Database version 5. JJ is supported by a Tasmanian Graduate Research Scholarship and a QAS Top-Up scholarship. This work was completed as part of Australian Antarctic Science project 4124.</t>
  </si>
  <si>
    <t>JUL 6</t>
  </si>
  <si>
    <t>10.3389/fevo.2018.00094</t>
  </si>
  <si>
    <t>HC4SE</t>
  </si>
  <si>
    <t>WOS:000451794300001</t>
  </si>
  <si>
    <t>Leathlobhair, MN; Perri, AR; Irving-Pease, EK; Witt, KE; Linderholm, A; Haile, J; Lebrasseur, O; Ameen, C; Blick, J; Boyko, AR; Brace, S; Cortes, YN; Crockford, SJ; Devault, A; Dimopoulos, EA; Eldridge, M; Enk, J; Gopalakrishnan, S; Gori, K; Grimes, V; Guiry, E; Hansen, AJ; Hulme-Beaman, A; Johnson, J; Kitchen, A; Kasparov, AK; Kwon, YM; Nikolskiy, PA; Lope, CP; Manin, A; Martin, T; Meyer, M; Myers, KN; Omura, M; Rouillard, JM; Pavlova, EY; Sciulli, P; Sinding, MHS; Strakova, A; Ivanova, VV; Widga, C; Willerslev, E; Pitulko, VV; Barnes, I; Gilbert, MTP; Dobney, KM; Malhi, RS; Murchison, EP; Larson, G; Frantz, LAF</t>
  </si>
  <si>
    <t>Leathlobhair, Maire Ni; Perri, Angela R.; Irving-Pease, Evan K.; Witt, Kelsey E.; Linderholm, Anna; Haile, James; Lebrasseur, Ophelie; Ameen, Carly; Blick, Jeffrey; Boyko, Adam R.; Brace, Selina; Cortes, Yahaira Nunes; Crockford, Susan J.; Devault, Alison; Dimopoulos, Evangelos A.; Eldridge, Morley; Enk, Jacob; Gopalakrishnan, Shyam; Gori, Kevin; Grimes, Vaughan; Guiry, Eric; Hansen, Anders J.; Hulme-Beaman, Ardern; Johnson, John; Kitchen, Andrew; Kasparov, Aleksei K.; Kwon, Young-Mi; Nikolskiy, Pavel A.; Lope, Carlos Peraza; Manin, Aurelie; Martin, Terrance; Meyer, Michael; Myers, Kelsey Noack; Omura, Mark; Rouillard, Jean-Marie; Pavlova, Elena Y.; Sciulli, Paul; Sinding, Mikkel-Holger S.; Strakova, Andrea; Ivanova, Varvara V.; Widga, Christopher; Willerslev, Eske; Pitulko, Vladimir V.; Barnes, Ian; Gilbert, M. Thomas P.; Dobney, Keith M.; Malhi, Ripan S.; Murchison, Elizabeth P.; Larson, Greger; Frantz, Laurent A. F.</t>
  </si>
  <si>
    <t>The evolutionary history of dogs in the Americas</t>
  </si>
  <si>
    <t>ANALYSES REVEAL; GENOME REVEALS; DOMESTIC DOGS; GRAY WOLVES; ORIGIN; ANCIENT; POPULATION; CANCER; WORLD</t>
  </si>
  <si>
    <t>Dogs were present in the Americas before the arrival of European colonists, but the origin and fate of these precontact dogs are largely unknown. We sequenced 71 mitochondrial and 7 nuclear genomes fromancient North American and Siberian dogs from time frames spanning similar to 9000 years. Our analysis indicates that American dogs were not derived from North American wolves. Instead, American dogs form a monophyletic lineage that likely originated in Siberia and dispersed into the Americas alongside people. After the arrival of Europeans, native American dogs almost completely disappeared, leaving a minimal genetic legacy in modern dog populations. The closest detectable extant lineage to precontact American dogs is the canine transmissible venereal tumor, a contagious cancer clone derived froman individual dog that lived up to 8000 years ago.</t>
  </si>
  <si>
    <t>[Leathlobhair, Maire Ni; Gori, Kevin; Kwon, Young-Mi; Strakova, Andrea; Murchison, Elizabeth P.] Univ Cambridge, Dept Vet Med, Transmissible Canc Grp, Cambridge, England; [Perri, Angela R.] Univ Durham, Dept Archaeol, Durham, England; [Perri, Angela R.] Max Planck Inst Evolutionary Anthropol, Dept Human Evolut, Leipzig, Germany; [Irving-Pease, Evan K.; Linderholm, Anna; Haile, James; Dimopoulos, Evangelos A.; Hulme-Beaman, Ardern; Larson, Greger; Frantz, Laurent A. F.] Univ Oxford, Res Lab Archaeol &amp; Hist Art, Palaeogen &amp; Bioarchaeol Res Network, Oxford, England; [Witt, Kelsey E.] Univ Illinois, Sch Integrat Biol, Urbana, IL USA; [Linderholm, Anna] Texas A&amp;M Univ, Dept Anthropol, College Stn, TX 77843 USA; [Haile, James; Gopalakrishnan, Shyam; Hansen, Anders J.; Sinding, Mikkel-Holger S.; Willerslev, Eske; Gilbert, M. Thomas P.] Univ Copenhagen, Ctr GeoGenet, Nat Hist Museum Denmark, Copenhagen, Denmark; [Ameen, Carly; Dobney, Keith M.] Univ Liverpool, Dept Archaeol Class &amp; Egyptol, Liverpool, Merseyside, England; [Blick, Jeffrey] Georgia Coll &amp; State Univ, Dept Govt &amp; Sociol, Milledgeville, GA USA; [Boyko, Adam R.] Cornell Univ, Dept Biomed Sci, Ithaca, NY USA; [Brace, Selina; Barnes, Ian] Nat Hist Museum, Dept Earth Sci, London, England; [Cortes, Yahaira Nunes] SUNY Albany, Dept Anthropol, Albany, NY 12222 USA; [Crockford, Susan J.] Pacific Identificat, Victoria, BC, Canada; [Devault, Alison; Enk, Jacob] Arbor Biosci, Ann Arbor, MI USA; [Eldridge, Morley] Millennia Res, Victoria, BC, Canada; [Grimes, Vaughan] Mem Univ, Queens Coll, Dept Archaeol, St John, NF, Canada; [Guiry, Eric] Univ British Columbia, Dept Anthropol, Vancouver, BC, Canada; [Hansen, Anders J.] Univ Greenland, Qimmeq Project, Nuussuaq, Greenland; [Johnson, John] Santa Barbara Museum Nat Hist, Dept Anthropol, Santa Barbara, CA USA; [Kitchen, Andrew] Univ Iowa, Dept Anthropol, Iowa City, IA USA; [Kasparov, Aleksei K.; Nikolskiy, Pavel A.; Pavlova, Elena Y.; Pitulko, Vladimir V.] Russian Acad Sci, Inst Hist Mat Culture, St Petersburg, Russia; [Kasparov, Aleksei K.; Nikolskiy, Pavel A.; Pitulko, Vladimir V.] Russian Acad Sci, Geol Inst, Moscow, Russia; [Lope, Carlos Peraza] Ctr INAH Yucatan, Merida, Yucatan, Mexico; [Manin, Aurelie] Univ York, Dept Archaeol, BioArCh, York, N Yorkshire, England; [Manin, Aurelie] Museum Natl Hist Nat, Archeozool, UMR 7209, Paris, France; [Martin, Terrance] Illinois State Museum, Res &amp; Collect Ctr, Springfield, IL USA; [Meyer, Michael] Touray &amp; Meyer Vet Clin, Serrekunda, Gambia; [Myers, Kelsey Noack] Indiana Univ, Glenn A Black Lab Anthropol, Bloomington, IN USA; [Omura, Mark] Harvard Univ, Museum Comparat Zool, Dept Mammal, Cambridge, MA 02138 USA; [Rouillard, Jean-Marie] Univ Michigan, Dept Chem Engn, Ann Arbor, MI 48109 USA; [Pavlova, Elena Y.] Arctic &amp; Antarctic Res Inst, St Petersburg, Russia; [Sciulli, Paul] Ohio State Univ, Dept Anthropol, Columbus, OH 43210 USA; [Sinding, Mikkel-Holger S.] Univ Oslo, Nat Hist Museum, Oslo, Norway; [Ivanova, Varvara V.] VNIIOkeangeol Res Inst, St Petersburg, Russia; [Widga, Christopher] East Tennessee State Univ, Ctr Excellence Paleontol, Gray, TN USA; [Gilbert, M. Thomas P.] Norwegian Univ Sci &amp; Technol, Univ Museum, Trondheim, Norway; [Dobney, Keith M.] Univ Aberdeen, Dept Archaeol, Aberdeen, Scotland; [Malhi, Ripan S.] Univ Illinois, Dept Anthropol, Urbana, IL USA; [Malhi, Ripan S.] Univ Illinois, Carl R Woese Inst Genom Biol, Urbana, IL USA; [Frantz, Laurent A. F.] Queen Mary Univ London, Sch Biol &amp; Chem Sci, London, England</t>
  </si>
  <si>
    <t>University of Cambridge; Durham University; Max Planck Society; University of Oxford; University of Illinois System; University of Illinois Urbana-Champaign; Texas A&amp;M University System; Texas A&amp;M University College Station; University of Copenhagen; University of Liverpool; University System of Georgia; Georgia College &amp; State University; Cornell University; Natural History Museum London; State University of New York (SUNY) System; State University of New York (SUNY) Albany; Memorial University Newfoundland; University of British Columbia; University of Iowa; Russian Academy of Sciences; Institute for the History of Material Culture, Russian Academy of Sciences; St. Petersburg Scientific Centre of the Russian Academy of Sciences; Geological Institute, Russian Academy of Sciences; Russian Academy of Sciences; University of York - UK; Centre National de la Recherche Scientifique (CNRS); CNRS - Institute of Ecology &amp; Environment (INEE); Museum National d'Histoire Naturelle (MNHN); Indiana University System; Indiana University Bloomington; Harvard University; University of Michigan System; University of Michigan; Arctic &amp; Antarctic Research Institute; University System of Ohio; Ohio State University; University of Oslo; Norwegian University of Science &amp; Technology (NTNU); University of Aberdeen; University of Illinois System; University of Illinois Urbana-Champaign; University of Illinois System; University of Illinois Urbana-Champaign; University of London; Queen Mary University London</t>
  </si>
  <si>
    <t>Murchison, EP (corresponding author), Univ Cambridge, Dept Vet Med, Transmissible Canc Grp, Cambridge, England.;Larson, G; Frantz, LAF (corresponding author), Univ Oxford, Res Lab Archaeol &amp; Hist Art, Palaeogen &amp; Bioarchaeol Res Network, Oxford, England.;Frantz, LAF (corresponding author), Queen Mary Univ London, Sch Biol &amp; Chem Sci, London, England.</t>
  </si>
  <si>
    <t>epm27@cam.ac.uk; greger.larson@arch.ox.ac.uk; laurent.frantz@qmul.ac.uk</t>
  </si>
  <si>
    <t>Barnes, Ian C/B-8081-2008; Nikolskiy, Pavel A/C-5041-2012; Nikolskiy, Pavel/JNT-4697-2023; Pitulko, Vladimir/N-4009-2019; Linderholm, Anna/R-7516-2019; Gilbert, Thomas/JSK-2650-2023; Pavlova, Elena/AAA-3291-2019; Lebrasseur, Ophélie/AEI-7569-2022; Hansen, Anders Johannes/A-5608-2013; Willerslev, Eske/AAA-5686-2019; Grimes, Vaughan/AAG-5174-2021; Ivanova, Varvara V/R-6400-2016; Willerslev, Eske/A-9619-2011; Gopalakrishnan, Shyam/J-1546-2019; Pitulko, Vladimir/E-2200-2015; Gilbert, Marcus/A-8936-2013; Strander Sinding, Mikkel Holger/B-9450-2015</t>
  </si>
  <si>
    <t>Barnes, Ian C/0000-0001-8322-6918; Lebrasseur, Ophélie/0000-0003-0687-8538; Hansen, Anders Johannes/0000-0002-1890-2702; Grimes, Vaughan/0000-0002-2177-3147; Willerslev, Eske/0000-0002-7081-6748; Gopalakrishnan, Shyam/0000-0002-2004-6810; Hulme-Beaman, Ardern/0000-0001-8130-9648; Pitulko, Vladimir/0000-0001-5672-2756; Dobney, Keith/0000-0001-9036-4681; Kasparov, Aleksei/0000-0001-7761-9301; Perri, Angela/0000-0002-4349-1060; Irving-Pease, Evan/0000-0003-1940-2192; Ivanova, Varvara/0000-0002-7614-660X; Murchison, Elizabeth Proby/0000-0001-7462-8907; Gilbert, Marcus/0000-0002-5805-7195; Strakova, Andrea/0000-0001-6221-5515; Ameen, Carly/0000-0002-4580-2125; Linderholm, Anna/0000-0002-1613-9926; Frantz, Laurent/0000-0001-8030-3885; Gori, Kevin/0000-0001-7975-4275; Witt, Kelsey/0000-0002-3242-2123; Pavlova, Elena/0000-0002-3010-6290; Strander Sinding, Mikkel Holger/0000-0003-1371-219X; Manin, Aurelie/0000-0002-1061-3754; Ni Leathlobhair, Maire/0000-0002-8523-4935</t>
  </si>
  <si>
    <t>Wellcome Trust [210119/Z/18/Z]; Wolfson College (University of Oxford); European Research Council [ERC-M3-StG-337574-UNDEAD, ERC-2015-CoG-681396]; Natural Environmental Research Council [NE/K005243/1, NE/K003259/1]; Wellcome [102942/Z/13/A]; Leverhulme Trust; Max Planck Society; University of Oxford; Museum National d'Histoire Naturelle; NSF [BCS-1540336]; Wenner-Gren grant; Social Sciences and Humanities Research Council Insight grant; Russian Science Foundation [N16-18-10265-RNE]; Herchel Smith research fellowship; Millennia Research; Santa Barbara Museum of Natural History; American Kennel Club; NIH; Illinois State Museum Society; NERC [NE/K003259/2, NE/K005243/2, NE/K003259/1] Funding Source: UKRI; Russian Science Foundation [16-18-10265] Funding Source: Russian Science Foundation; Wellcome Trust [210119/Z/18/Z, 102942/Z/13/A] Funding Source: Wellcome Trust</t>
  </si>
  <si>
    <t>Wellcome Trust(Wellcome Trust); Wolfson College (University of Oxford); European Research Council(European Research Council (ERC)); Natural Environmental Research Council(UK Research &amp; Innovation (UKRI)Natural Environment Research Council (NERC)); Wellcome(Wellcome Trust); Leverhulme Trust(Leverhulme Trust); Max Planck Society(Max Planck Society); University of Oxford; Museum National d'Histoire Naturelle; NSF(National Science Foundation (NSF)); Wenner-Gren grant; Social Sciences and Humanities Research Council Insight grant(Social Sciences and Humanities Research Council of Canada (SSHRC)); Russian Science Foundation(Russian Science Foundation (RSF)); Herchel Smith research fellowship; Millennia Research; Santa Barbara Museum of Natural History; American Kennel Club; NIH(United States Department of Health &amp; Human ServicesNational Institutes of Health (NIH) - USA); Illinois State Museum Society; NERC(UK Research &amp; Innovation (UKRI)Natural Environment Research Council (NERC)); Russian Science Foundation(Russian Science Foundation (RSF)); Wellcome Trust(Wellcome Trust)</t>
  </si>
  <si>
    <t>L.A.F.F. was supported by the Wellcome Trust (210119/Z/18/Z) and by Wolfson College (University of Oxford). L.A.F.F., J.H. A.L., A.H.-B., KM 0, and G.L. were supported by a European Research Council grant (ERC-M3-StG-337574-UNDEAD) or Natural Environmental Research Council grants (NE/K005243/1 and NE/K003259/1) or both. M.N.L. and E.P.M. were supported by Wellcome (102942/Z/13/A) and a Philip Leverhulrne Poe awarded by the Leverhulme Trust. A.R.P. was supported by the Max Planck Society. E.K.I.-P. was supported by a Clarendon Fund scholarship from the University of Oxford. M.T.P.G. was supported by a European Research Council grant (ERC-2015-CoG-681396Extiriction Genomics). AM. was supported by the Museum National d'Histoire Naturelle. KEW. and R.S.M. were supported by an NSF grant (BCS-1540336) and a Wenner-Gren grant. V.G. was supported by a Social Sciences and Humanities Research Council Insight grant. V.V.P., E.Y.P., and P.A.N. were supported by Russian Science Foundation project N16-18-10265-RNE. Y.-M.K. was supported by a Herchel Smith research fellowship. S.J.C. was supported by Millennia Research. J.J. was supported by the Santa Barbara Museum of Natural History. A.R.B. was supported by the American Kennel Club and the NIH. We thank the Illinois State Museum Society for funding.</t>
  </si>
  <si>
    <t>10.1126/science.aao4776</t>
  </si>
  <si>
    <t>GL8JR</t>
  </si>
  <si>
    <t>Green Submitted, Green Accepted, Bronze</t>
  </si>
  <si>
    <t>WOS:000437467100065</t>
  </si>
  <si>
    <t>Grefe, I; Fielding, S; Heywood, KJ; Kaiser, J</t>
  </si>
  <si>
    <t>Grefe, Imke; Fielding, Sophie; Heywood, Karen J.; Kaiser, Jan</t>
  </si>
  <si>
    <t>Nitrous oxide variability at sub-kilometre resolution in the Atlantic sector of the Southern Ocean</t>
  </si>
  <si>
    <t>Nitrous oxide; Southern Ocean; High-resolution measurements; Air-sea gas exchange; Marine biogeochemistry; Laser spectroscopy</t>
  </si>
  <si>
    <t>WEDDELL SEA; COMPLETE NITRIFICATION; ATMOSPHERIC N2O; GAS-EXCHANGE; WIND-SPEED; ICE-EDGE; IRON; PHYTOPLANKTON; WATER; CO2</t>
  </si>
  <si>
    <t>The Southern Ocean is an important region for global nitrous oxide (N2O) cycling. The contribution of different source and sink mechanisms is, however, not very well constrained due to a scarcity of seawater data from the area. Here we present high-resolution surface N2O measurements from the Atlantic sector of the Southern Ocean, taking advantage of a relatively new underway setup allowing for collection of data during transit across mesoscale features such as frontal systems and eddies. Covering a range of different environments and biogeochemical settings, N2O saturations and sea-to-air fluxes were highly variable: Saturations ranged from 96.5% at the sea ice edge in the Weddell Sea to 126.1% across the Polar Frontal Zone during transit to South Georgia. Negative sea-to-air fluxes (N2O uptake) of up to -1.3 mu mol m(-2) d(-1) were observed in the Subantarctic Zone and highest positive fluxes (N2O emission) of 14.5 mu mol m(-2) d(-1) in Stromness Bay, coastal South Georgia. Although N2O saturations were high in areas of high productivity, no correlation between saturations and chlorophyll a (as a proxy for productivity) was observed. Nevertheless, there is a clear effect of islands and shallow bathymetry on N2O production as inferred from supersaturations.</t>
  </si>
  <si>
    <t>[Grefe, Imke; Heywood, Karen J.; Kaiser, Jan] Univ East Anglia, Ctr Ocean &amp; Atmospher Sci, Norwich, Norfolk, England; [Fielding, Sophie] British Antarctic Survey, Cambridge, England; [Grefe, Imke] Univ Lancaster, Lancaster Environm Ctr, Lancaster, England</t>
  </si>
  <si>
    <t>University of East Anglia; UK Research &amp; Innovation (UKRI); Natural Environment Research Council (NERC); NERC British Antarctic Survey; Lancaster University</t>
  </si>
  <si>
    <t>Grefe, I; Kaiser, J (corresponding author), Univ East Anglia, Ctr Ocean &amp; Atmospher Sci, Norwich, Norfolk, England.;Grefe, I (corresponding author), Univ Lancaster, Lancaster Environm Ctr, Lancaster, England.</t>
  </si>
  <si>
    <t>i.grefe@lancaster.ac.uk; J.Kaiser@uea.ac.uk</t>
  </si>
  <si>
    <t>Kaiser, Jan/D-3327-2009; Fielding, Sophie/E-5137-2012; Heywood, Karen J/L-1757-2016</t>
  </si>
  <si>
    <t>Kaiser, Jan/0000-0002-1553-4043; Grefe, Imke/0000-0001-6211-4976</t>
  </si>
  <si>
    <t>European Community's Seventh Framework Programme (FP7/2007-2013) [237890]; NERC Collaborative Gearing Scheme [AFI CGS78]; BAS Ecosystems Long Term Monitoring and Survey Programme Western Core Box (LTMS WCB); NERC Antarctic Funding Initiative grant [NE/H01439X/1]; NERC [bas0100035, NE/H01439X/1] Funding Source: UKRI; Natural Environment Research Council [NE/H01439X/1] Funding Source: researchfish</t>
  </si>
  <si>
    <t>European Community's Seventh Framework Programme (FP7/2007-2013)(European Union (EU)); NERC Collaborative Gearing Scheme(UK Research &amp; Innovation (UKRI)Natural Environment Research Council (NERC)); BAS Ecosystems Long Term Monitoring and Survey Programme Western Core Box (LTMS WCB); NERC Antarctic Funding Initiative grant; NERC(UK Research &amp; Innovation (UKRI)Natural Environment Research Council (NERC)); Natural Environment Research Council(UK Research &amp; Innovation (UKRI)Natural Environment Research Council (NERC))</t>
  </si>
  <si>
    <t>This study was supported by the European Community's Seventh Framework Programme (FP7/2007-2013) under grant agreement number 237890 (Marie Curie Initial Training Network INTRAMIF''), the NERC Collaborative Gearing Scheme, project number AFI CGS78 and the BAS Ecosystems Long Term Monitoring and Survey Programme Western Core Box (LTMS WCB). The GENTOO project and cruise were supported by NERC Antarctic Funding Initiative grant NE/H01439X/1. The funders had no role in study design, data collection and analysis, decision to publish, or preparation of the manuscript.</t>
  </si>
  <si>
    <t>e5100</t>
  </si>
  <si>
    <t>10.7717/peerj.5100</t>
  </si>
  <si>
    <t>GM0RH</t>
  </si>
  <si>
    <t>WOS:000437762400004</t>
  </si>
  <si>
    <t>Timmreck, C; Mann, GW; Aquila, V; Hommel, R; Lee, LA; Schmidt, A; Brühl, C; Carn, S; Chin, M; Dhomse, SS; Diehl, T; English, JM; Mills, MJ; Neely, R; Sheng, JX; Toohey, M; Weisenstein, D</t>
  </si>
  <si>
    <t>Timmreck, Claudia; Mann, Graham W.; Aquila, Valentina; Hommel, Rene; Lee, Lindsay A.; Schmidt, Anja; Bruehl, Christoph; Carn, Simon; Chin, Mian; Dhomse, Sandip S.; Diehl, Thomas; English, Jason M.; Mills, Michael J.; Neely, Ryan; Sheng, Jianxiong; Toohey, Matthew; Weisenstein, Debra</t>
  </si>
  <si>
    <t>The Interactive Stratospheric Aerosol Model Intercomparison Project (ISA-MIP): motivation and experimental design</t>
  </si>
  <si>
    <t>QUASI-BIENNIAL OSCILLATION; SIZE DISTRIBUTION MEASUREMENTS; VOLCANIC SULFATE DEPOSITION; OPTICAL DEPTH PERTURBATIONS; SULFURIC-ACID AEROSOL; IN-SITU MEASUREMENTS; NORTHERN-HEMISPHERE; CLIMATE MODEL; SAGE-II; PINATUBO AEROSOL</t>
  </si>
  <si>
    <t>The Stratospheric Sulfur and its Role in Climate (SSiRC) Interactive Stratospheric Aerosol Model Intercomparison Project (ISA-MIP) explores uncertainties in the processes that connect volcanic emission of sulfur gas species and the radiative forcing associated with the resulting enhancement of the stratospheric aerosol layer. The central aim of ISA-MIP is to constrain and improve interactive stratospheric aerosol models and reduce uncertainties in the stratospheric aerosol forcing by comparing results of standardized model experiments with a range of observations. In this paper we present four co-ordinated inter-model experiments designed to investigate key processes which influence the formation and temporal development of stratospheric aerosol in different time periods of the observational record. The Background (BG) experiment will focus on microphysics and transport processes under volcanically quiescent conditions, when the stratospheric aerosol is controlled by the transport of aerosols and their precursors from the troposphere to the stratosphere. The Transient Aerosol Record (TAR) experiment will explore the role of small-to moderate-magnitude volcanic eruptions, anthropogenic sulfur emissions, and transport processes over the period 19982012 and their role in the warming hiatus. Two further experiments will investigate the stratospheric sulfate aerosol evolution after major volcanic eruptions. The Historical Eruptions SO2 Emission Assessment (HErSEA) experiment will focus on the uncertainty in the initial emission of recent large-magnitude volcanic eruptions, while the Pinatubo Emulation in Multiple models (PoEMS) experiment will provide a comprehensive uncertainty analysis of the radiative forcing from the 1991 Mt Pinatubo eruption.</t>
  </si>
  <si>
    <t>[Timmreck, Claudia; Toohey, Matthew] Max Planck Inst Meteorol, Hamburg, Germany; [Mann, Graham W.; Lee, Lindsay A.; Dhomse, Sandip S.; Neely, Ryan] Univ Leeds, Sch Earth &amp; Environm, Leeds, W Yorkshire, England; [Mann, Graham W.; Neely, Ryan] Univ Leeds, UK Natl Ctr Atmospher Sci, Leeds, W Yorkshire, England; [Aquila, Valentina] Amer Univ, Dept Environm Sci, Washington, DC 20016 USA; [Hommel, Rene] Univ Bremen, Inst Environm Phys, Bremen, Germany; [Schmidt, Anja] Univ Cambridge, Dept Chem, Lensfield Rd, Cambridge CB2 1EW, England; [Schmidt, Anja] Univ Cambridge, Dept Geog, Downing Pl, Cambridge CB2 3EN, England; [Bruehl, Christoph] Max Planck Inst Chem, Mainz, Germany; [Carn, Simon] Dept Geo Min Eng Sci MTU, Houghton, MI USA; [Chin, Mian] NASA Goddard Space Flight Ctr, Greenbelt, MD 20771 USA; [Diehl, Thomas] European Commiss, Joint Res Ctr, Directorate Sustainable Resources, Ispra, Italy; [English, Jason M.] Univ Colorado, Cooperat Inst Res Environm Sci, Boulder, CO 80309 USA; [English, Jason M.] NOAA Earth Syst Lab, Boulder, CO USA; [Mills, Michael J.] Natl Ctr Atmospher Res, Atmospher Chem Observat &amp; Modeling, POB 3000, Boulder, CO 80307 USA; [Sheng, Jianxiong] ETHZ, Zurich, Switzerland; [Sheng, Jianxiong; Weisenstein, Debra] Harvard Univ, John A Paulson Sch Engn &amp; Appl Sci, Cambridge, MA 02138 USA; [Toohey, Matthew] GEOMAR Helmholtz Ctr Ocean Res, Kiel, Germany; [Hommel, Rene] Hommel &amp; Graf Environm, Gottingen, Germany</t>
  </si>
  <si>
    <t>Max Planck Society; University of Leeds; University of Leeds; American University; University of Bremen; University of Cambridge; University of Cambridge; Max Planck Society; National Aeronautics &amp; Space Administration (NASA); NASA Goddard Space Flight Center; European Commission Joint Research Centre; EC JRC ISPRA Site; University of Colorado System; University of Colorado Boulder; National Oceanic Atmospheric Admin (NOAA) - USA; National Center Atmospheric Research (NCAR) - USA; Swiss Federal Institutes of Technology Domain; ETH Zurich; Harvard University; Helmholtz Association; GEOMAR Helmholtz Center for Ocean Research Kiel</t>
  </si>
  <si>
    <t>Timmreck, C (corresponding author), Max Planck Inst Meteorol, Hamburg, Germany.</t>
  </si>
  <si>
    <t>claudia.timmreck@mpimet.mpg.de</t>
  </si>
  <si>
    <t>Chin, Mian/J-8354-2012; Mills, Michael J/B-5068-2010; Schmidt, Anja/ABD-7113-2021; Toohey, Matthew/G-3129-2010; Dhomse, Sandip/C-8198-2011; Toohey, Matthew/AAL-1896-2021; Aquila, Valentina/ITV-8227-2023; Lee, Lindsay/AAZ-8216-2021; Mann, Graham/L-9529-2017; Neely III, Ryan R./F-8702-2010; ENGLISH, JASON/E-9365-2015</t>
  </si>
  <si>
    <t>Schmidt, Anja/0000-0001-8759-2843; Dhomse, Sandip/0000-0003-3854-5383; Toohey, Matthew/0000-0002-7070-405X; Aquila, Valentina/0000-0003-2060-6694; Lee, Lindsay/0000-0002-8029-6328; Mann, Graham/0000-0003-1746-2837; Neely III, Ryan R./0000-0003-4560-4812; Timmreck, Claudia/0000-0001-5355-0426; ENGLISH, JASON/0000-0001-9700-6860; Sheng, Jianxiong/0000-0002-8008-3883</t>
  </si>
  <si>
    <t>World Climate Research Programme; German federal Ministry of Education (BMBF); research programme MiKlip [FKZ: 01LP1517(CT):/01LP1130B(MT)]; ROMIC-ROSA [FKZ: 01LG1212A (RH)]; European Union project StratoClim [FP7-ENV.2013.6.1-2]; StratoClim; Academic Research Fellowship from the School of Earth and Environment, University of Leeds; NERC [NE/N006038/1]; Deutsche Forschungsgemeinschaft (DFG) [TO 967/1-1]; National Science Foundation; Leverhulme Trust [ECF-2014-524]; NERC [NE/N006038/1, NE/N018001/1, NE/R011222/1] Funding Source: UKRI</t>
  </si>
  <si>
    <t>World Climate Research Programme; German federal Ministry of Education (BMBF)(Federal Ministry of Education &amp; Research (BMBF)); research programme MiKlip; ROMIC-ROSA; European Union project StratoClim; StratoClim; Academic Research Fellowship from the School of Earth and Environment, University of Leeds; NERC(UK Research &amp; Innovation (UKRI)Natural Environment Research Council (NERC)); Deutsche Forschungsgemeinschaft (DFG)(German Research Foundation (DFG)); National Science Foundation(National Science Foundation (NSF)); Leverhulme Trust(Leverhulme Trust); NERC(UK Research &amp; Innovation (UKRI)Natural Environment Research Council (NERC))</t>
  </si>
  <si>
    <t>The authors thank their SSiRC colleagues for continuing support and discussion. We acknowledge the scientific guidance (and sponsorship) of the World Climate Research Programme to motivate this work, to be co-ordinated in the framework of SPARC. Claudia Timmreck, Matthew Toohey and Rene Hommel acknowledge support from the German federal Ministry of Education (BMBF), the research programme MiKlip (FKZ: 01LP1517(CT):/01LP1130B(MT)), and ROMIC-ROSA (FKZ: 01LG1212A (RH)). Claudia Timmreck is also supported by the European Union project StratoClim (FP7-ENV.2013.6.1-2). Christoph Bruhl's PhD student Jennifer Schallock, who contributed to the compilation of the volcano inventory, is also supported by StratoClim. Anja Schmidt was funded by an Academic Research Fellowship from the School of Earth and Environment, University of Leeds, and NERC grant NE/N006038/1. Matthew Toohey acknowledges support by the Deutsche Forschungsgemeinschaft (DFG) in the framework of the priority programme Antarctic Research with comparative investigations in Arctic ice areas through grant TO 967/1-1. The National Center for Atmospheric Research is funded by the National Science Foundation. Lindsay Lee is a Leverhulme Early Career Fellow funded under the Leverhulme Trust grant ECF-2014-524.</t>
  </si>
  <si>
    <t>JUL 5</t>
  </si>
  <si>
    <t>10.5194/gmd-11-2581-2018</t>
  </si>
  <si>
    <t>GL8UT</t>
  </si>
  <si>
    <t>Green Published, Green Submitted, gold, Green Accepted</t>
  </si>
  <si>
    <t>WOS:000437504000001</t>
  </si>
  <si>
    <t>Rowe, S; Ravaioli, F; Tully, C; Narvey, M</t>
  </si>
  <si>
    <t>Rowe, Sophie; Ravaioli, Flavia; Tully, Catherine; Narvey, Megan</t>
  </si>
  <si>
    <t>Conservation and Analysis on a Shoestring: Displaying Gut Parkas at the Polar Museum, Cambridge</t>
  </si>
  <si>
    <t>JOURNAL OF CONSERVATION AND MUSEUM STUDIES</t>
  </si>
  <si>
    <t>object conservation; sustainability; mount; gut parka; Inuit; protein analysis; network</t>
  </si>
  <si>
    <t>DETERIORATION</t>
  </si>
  <si>
    <t>This paper presents a low-cost conservation project from the Polar Museum, Cambridge, in which two Inuit gut parkas from the museum's collection were prepared for display and analysed to identify their material components. The project relied on cultivating professional networks and adapting inexpensive mounting methods to get maximum value from a very small budget. The parkas were analysed with a range of techniques including scanning electron microscopy (SEM), energy dispersive X-ray spectrometry (EDX), attenuated reflectance Fourier transform infrared spectroscopy (ATR-FTIR) and a novel low-cost and non-destructive protein analysis technique to identify species. The results of the analysis are presented along with an explanation of the inexpensive mounting system which was devised to display the parkas as they were originally worn. The advantages and limitations of using a networking approach to analysis are also discussed.</t>
  </si>
  <si>
    <t>[Rowe, Sophie] Scott Polar Res Inst, Cambridge, England; [Ravaioli, Flavia] Fitzwilliam Museum, Cambridge, England; [Narvey, Megan] Western Archeol &amp; Conservat Ctr, Tucson, AZ USA</t>
  </si>
  <si>
    <t>University of Cambridge; University of Cambridge</t>
  </si>
  <si>
    <t>Rowe, S (corresponding author), Scott Polar Res Inst, Cambridge, England.</t>
  </si>
  <si>
    <t>rswr2@cam.ac.uk</t>
  </si>
  <si>
    <t>Rowe, Sophie/0000-0001-6693-2394</t>
  </si>
  <si>
    <t>University of Cambridge Museums; United Kingdom Antarctic Heritage Trust</t>
  </si>
  <si>
    <t>The authors are very grateful for a grant from the University of Cambridge Museums to fund the conservation treatment of the parkas. We also gratefully acknowledge the analytical support from Matthew Collins and Ursula Arndt of BioArCh at the University of York, and James Hales, Caitlin O'Grady, Renata Peters, Dean Sully, and the technical support staff of the Institute of Archaeology, University College London. Grateful thanks are also due to the staff of the Scott Polar Research Institute and the Polar Museum for practical help during the project. The conservator at the Polar Museum is funded by the United Kingdom Antarctic Heritage Trust.</t>
  </si>
  <si>
    <t>UBIQUITY PRESS LTD</t>
  </si>
  <si>
    <t>6 WINDMILL ST, LONDON, W1T 2JB, ENGLAND</t>
  </si>
  <si>
    <t>2049-4572</t>
  </si>
  <si>
    <t>1364-0429</t>
  </si>
  <si>
    <t>J CONSERV MUS STUD</t>
  </si>
  <si>
    <t>J. Conserv. Mus. Stud.</t>
  </si>
  <si>
    <t>10.5334/jcms.157</t>
  </si>
  <si>
    <t>Humanities, Multidisciplinary</t>
  </si>
  <si>
    <t>Arts &amp; Humanities - Other Topics</t>
  </si>
  <si>
    <t>GN3FG</t>
  </si>
  <si>
    <t>WOS:000438889000001</t>
  </si>
  <si>
    <t>Villarreal, P; Carrasco, M; Barahona, S; Alcaíno, J; Cifuentes, V; Baeza, M</t>
  </si>
  <si>
    <t>Villarreal, Pablo; Carrasco, Mario; Barahona, Salvador; Alcaino, Jennifer; Cifuentes, Victor; Baeza, Marcelo</t>
  </si>
  <si>
    <t>Antarctic yeasts: analysis of their freeze-thaw tolerance and production of antifreeze proteins, fatty acids and ergosterol</t>
  </si>
  <si>
    <t>BMC MICROBIOLOGY</t>
  </si>
  <si>
    <t>Antifreeze proteins; Polyunsaturated fatty acids; Ergosterol; Antarctic yeasts; Freeze-thaw tolerance</t>
  </si>
  <si>
    <t>ICE-BINDING PROTEIN; SACCHAROMYCES-CEREVISIAE; ARCTIC YEAST; IN-VITRO; GROWTH; CRYOPRESERVATION; IDENTIFICATION; BIOSYNTHESIS; BACTERIUM; STEROL</t>
  </si>
  <si>
    <t>Background: Microorganisms have evolved a number of mechanisms to thrive in cold environments, including the production of antifreeze proteins, high levels of polyunsaturated fatty acids, and ergosterol. In this work, several yeast species isolated from Antarctica were analyzed with respect to their freeze-thaw tolerance and production of the three abovementioned compounds, which may also have economic importance. Results: The freeze-thaw tolerance of yeasts was widely variable among species, and a clear correlation with the production of any of the abovementioned compounds was not observed. Antifreeze proteins that were partially purified from Goffeauzyma gastrica maintained their antifreeze activities after several freeze-thaw cycles. A relatively high volumetric production of ergosterol was observed in the yeasts Vishniacozyma victoriae, G. gastrica and Leucosporidium creatinivorum, i.e., 19, 19 and 16 mg l(-1), respectively. In addition, a high percentage of linoleic acid with respect to total fatty acids was observed in V. victoriae (10%), Wickerhamomyces anomalus (12%) and G. gastrica (13%), and a high percentage of alpha linoleic acid was observed in L. creatinivorum (3.3%). Conclusions: Given these results, the abovementioned yeasts are good candidates to be evaluated for use in the production of antifreeze proteins, fatty acids, and ergosterol at the industrial scale.</t>
  </si>
  <si>
    <t>[Villarreal, Pablo; Carrasco, Mario; Barahona, Salvador; Alcaino, Jennifer; Cifuentes, Victor; Baeza, Marcelo] Univ Chile, Fac Ciencias, Dept Ciencias Ecol, Santiago, Chile</t>
  </si>
  <si>
    <t>Baeza, M (corresponding author), Univ Chile, Fac Ciencias, Dept Ciencias Ecol, Santiago, Chile.</t>
  </si>
  <si>
    <t>mbaeza@uchile.cl</t>
  </si>
  <si>
    <t>Alcaino, Jennifer/H-4576-2012</t>
  </si>
  <si>
    <t>Villarreal, Pablo/0000-0002-2254-0417; Baeza, Marcelo/0000-0001-8853-395X</t>
  </si>
  <si>
    <t>Fondecyt [1130333]; Comision Nacional de Investigacion Cientifica y Tecnologica (CONICYT)</t>
  </si>
  <si>
    <t>Fondecyt(Comision Nacional de Investigacion Cientifica y Tecnologica (CONICYT)CONICYT FONDECYT); Comision Nacional de Investigacion Cientifica y Tecnologica (CONICYT)(Comision Nacional de Investigacion Cientifica y Tecnologica (CONICYT))</t>
  </si>
  <si>
    <t>Comision Nacional de Investigacion Cientifica y Tecnologica (CONICYT), Fondecyt grant no. 1130333. The funding bodies had no role in the design of the study and collection, analysis, and interpretation of data and in writing the manuscript.</t>
  </si>
  <si>
    <t>1471-2180</t>
  </si>
  <si>
    <t>BMC MICROBIOL</t>
  </si>
  <si>
    <t>BMC Microbiol.</t>
  </si>
  <si>
    <t>10.1186/s12866-018-1214-8</t>
  </si>
  <si>
    <t>GM2KA</t>
  </si>
  <si>
    <t>WOS:000437913000002</t>
  </si>
  <si>
    <t>Barbot, S; Petrenko, A; Maes, C</t>
  </si>
  <si>
    <t>Barbot, Simon; Petrenko, Anne; Maes, Christophe</t>
  </si>
  <si>
    <t>Intermediate water flows in the western South Pacific: as revealed by individual Argo floats trajectories and a model re-analysis</t>
  </si>
  <si>
    <t>OUTPACE CRUISE; ZONAL JETS; CIRCULATION; DISTRIBUTIONS; VARIABILITY</t>
  </si>
  <si>
    <t>Thanks to the autonomous Argo floats of the OUTPACE cruise (Oligotrophy to UlTra-oligotrophy PACific Experiment) and of the THOT (TaHitian Ocean Time series) project, some features of intermediate-flow dynamics, at around 1000 m depth, within the central and western South Pacific Ocean (around 19 degrees S, 156 degrees E-150 degrees W) are described. In the Coral Sea, we highlight minima in dissolved oxygen of 140 mu mol kg(-1) that are associated with the signature of a southward transport of waters between two zonal jets: from the North Vanuatu Jet to the North Caledonia Jet. This transport takes place in the core of a cyclonic eddy or via the path between a cyclonic eddy and an anticyclonic one, highlighting the importance of mesoscale dynamics in upper thermocline and surface layers. Further east, we observe a strong meridional velocity shear with long-term float trajectories going either eastward or westward in the lower thermocline. More interestingly, these trajectories also exhibit some oscillatory features. Those trajectories can be explained by a single Rossby wave of 160-day duration and 855 km wavelength. Considering the thermohaline context, we confirm the meridional shear of zonal velocity and highlight a permanent density front that corresponds to the interface between Antarctic intermediate waters and North Pacific deep waters. Hence both circulation and thermohaline contexts are highly prone to instabilities and wave propagation.</t>
  </si>
  <si>
    <t>[Barbot, Simon; Petrenko, Anne] Aix Marseille Univ, Univ Sud Toulon Var, CNRS, INSU,IRD,MIO,UM 110, F-13288 Marseille, France; [Maes, Christophe] IFREMER, CNRS, UBO, IRD,LOPS, Brest, France</t>
  </si>
  <si>
    <t>Centre National de la Recherche Scientifique (CNRS); CNRS - National Institute for Earth Sciences &amp; Astronomy (INSU); Institut de Recherche pour le Developpement (IRD); Aix-Marseille Universite; Centre National de la Recherche Scientifique (CNRS); Universite de Bretagne Occidentale; Ifremer; Institut de Recherche pour le Developpement (IRD)</t>
  </si>
  <si>
    <t>Barbot, S (corresponding author), Aix Marseille Univ, Univ Sud Toulon Var, CNRS, INSU,IRD,MIO,UM 110, F-13288 Marseille, France.</t>
  </si>
  <si>
    <t>simon.barbot@legos.obs-mip.fr</t>
  </si>
  <si>
    <t>PETRENKO, Anne/AAN-7210-2021; maes, christophe/L-4049-2015</t>
  </si>
  <si>
    <t>PETRENKO, Anne/0000-0002-2519-9285; Barbot, Simon/0000-0002-4405-8015</t>
  </si>
  <si>
    <t>OUTPACE project by the French National Research Agency [ANR-14-CE01-0007-01]; LEFE-CyBER program (CNRS-INSU); GOPS program (IRD); European FEDER Fund [1166-39417]; TOSCA/CNES [BC T23 ZBC 4500048836]; ERC Remocean; LEFE program; MOM program; Contrat de Projets Etat - Polynesie francaise; physics team of MIO; OUTPACE project; [CR2017Z2MERO0]</t>
  </si>
  <si>
    <t>OUTPACE project by the French National Research Agency(Agence Nationale de la Recherche (ANR)); LEFE-CyBER program (CNRS-INSU); GOPS program (IRD); European FEDER Fund; TOSCA/CNES(Centre National D'etudes Spatiales); ERC Remocean(European Research Council (ERC)); LEFE program; MOM program; Contrat de Projets Etat - Polynesie francaise; physics team of MIO; OUTPACE project;</t>
  </si>
  <si>
    <t>Special thanks to the officers and crew of the R/V L'Atalante who operated the OUTPACE cruise (https://doi.org/10.17600/15000900). Thanks to Luiz Neto (project: CR2017Z2MERO0; AMICO biogeochemistry; PI: Christel Pinazo) for developing a float profile toolbox and Alain Fumenia for the oxygen calibration of the OUTPACE floats. The authors are grateful for the support of the OUTPACE project (PIs: Thierry Moutin and Sophie Bonnet) funded by the French National Research Agency (ANR-14-CE01-0007-01), the LEFE-CyBER program (CNRS-INSU), the GOPS program (IRD), the European FEDER Fund under project 1166-39417 and TOSCA/CNES (PI: Andrea Doglioli, BC T23 ZBC 4500048836). We also thank ERC Remocean, the LEFE and MOM programs, and the Contrat de Projets Etat - Polynesie francaise for their financial supports to the THOT project led by Elodie Martinez (IRD). Simon Barbot thanks the physics team of MIO and the OUTPACE project for the funding of his internship, as well as the LATEX project (PIs: Anne Petrenko and Frederic Diaz) for complementary support. Finally, the authors thank Xavier Carton for his proofreading and comments as well as Kelvin Richards and the two anonymous referees for their constructive comments.</t>
  </si>
  <si>
    <t>10.5194/bg-15-4103-2018</t>
  </si>
  <si>
    <t>GL8UD</t>
  </si>
  <si>
    <t>WOS:000437501300001</t>
  </si>
  <si>
    <t>Aulicino, G; Cotroneo, Y; Ansorge, I; van den Berg, M; Cesarano, C; Rivas, MB; Casal, EO</t>
  </si>
  <si>
    <t>Aulicino, Giuseppe; Cotroneo, Yuri; Ansorge, Isabelle; van den Berg, Marcel; Cesarano, Cinzia; Belmonte Rivas, Maria; Olmedo Casal, Estrella</t>
  </si>
  <si>
    <t>Sea surface salinity and temperature in the southern Atlantic Ocean from South African icebreakers, 2010-2017</t>
  </si>
  <si>
    <t>ANTARCTIC CIRCUMPOLAR CURRENT; IN-SITU; ALGERIAN BASIN; SATELLITE; EDDY; GLIDER; SMOS</t>
  </si>
  <si>
    <t>We present here sea surface salinity (SSS) and temperature (SST) data collected on board the S.A. Agulhas- I and S. A. Agulhas- II research vessels, in the framework of the South African National Antarctic Programme (SANAP). Onboard Sea- Bird thermosalinographs were regularly calibrated and continuously monitored in- between cruises, and no appreciable sensor drift emerged. Water samples were taken on a daily basis and later analyzed with a Portasal salinometer; some CTD measurements collected along the cruises were used to validate the data. No systematic differences appeared after a rigorous quality control on continuous data. Results show that salinity measurement error was a few hundredths of a unit on the practical salinity scale. Quality control included several steps, among which an automatic detection of unreliable values through selected threshold criteria and an attribution of quality flags based on multiple criteria, i.e., analysis of information included in the cruise reports, detection of insufficient flow and/ or presence of air bubbles and ice crystals in the seawater pipe, visual inspection of individual campaigns, and ex post check of sea ice maps for confirming ice field locations. This data processing led us to discard about 36% of acquired observations, while reliable data showed an excellent agreement with several independent SSS products. Nevertheless, a sea ice flag has been included for identifying valid data which could have been affected by scattered sea ice contamination. In our opinion, this dataset, available through an unrestricted repository at https://doi.org/10.7289/V56M3545, contributes to improving the knowledge of surface water features in one of the most important regions for global climate. The dataset will be highly valuable for studies focusing on climate variability in the Atlantic sector of the Southern Ocean, especially across the Antarctic Circumpolar Current and its fronts. Furthermore, we expect that the collected SSS data will represent a valuable tool for the calibration and validation of recent satellite observations provided by SMOS and Aquarius missions.</t>
  </si>
  <si>
    <t>[Aulicino, Giuseppe] Univ Politecn Marche, Dept Life &amp; Environm Sci, I-60131 Ancona, Italy; [Aulicino, Giuseppe; Cotroneo, Yuri] Univ Napoli Parthenope, Dept Sci &amp; Technol, I-80143 Naples, Italy; [Ansorge, Isabelle] Univ Cape Town, Marine Res Inst, Oceanog Dept, ZA-7701 Cape Town, South Africa; [van den Berg, Marcel] Dept Environm Affairs, ZA-8001 Cape Town, South Africa; [Cesarano, Cinzia] Progetto Terra, I-80054 Gragnano, Italy; [Belmonte Rivas, Maria; Olmedo Casal, Estrella] ICM, Inst Marine Sci, Barcelona 08003, Spain; [Belmonte Rivas, Maria] KNMI, Royal Netherlands Meteorol Inst, NL-3730 De Bilt, Netherlands</t>
  </si>
  <si>
    <t>Marche Polytechnic University; Parthenope University Naples; University of Cape Town; Department of Environment, Forestry &amp; Fisheries; Consejo Superior de Investigaciones Cientificas (CSIC); CSIC - Centro Mediterraneo de Investigaciones Marinas y Ambientales (CMIMA); CSIC - Instituto de Ciencias del Mar (ICM); Royal Netherlands Meteorological Institute</t>
  </si>
  <si>
    <t>Aulicino, G (corresponding author), Univ Politecn Marche, Dept Life &amp; Environm Sci, I-60131 Ancona, Italy.;Aulicino, G (corresponding author), Univ Napoli Parthenope, Dept Sci &amp; Technol, I-80143 Naples, Italy.</t>
  </si>
  <si>
    <t>g.aulicino@staff.univpm.it</t>
  </si>
  <si>
    <t>Cotroneo, Yuri/M-4010-2019; Aulicino, Giuseppe/I-8981-2019; ANSORGE, ISABELLE/AAY-7396-2020</t>
  </si>
  <si>
    <t>Cotroneo, Yuri/0000-0002-0099-0142; Aulicino, Giuseppe/0000-0001-6406-8715; Ansorge, Isabelle/0000-0001-7071-8147</t>
  </si>
  <si>
    <t>Department of Environmental Affairs (DEA), South Africa; South African National Antarctic Programme (SANAP), South Africa; Italian National Antarctic Research Programme (PNRA), Italy</t>
  </si>
  <si>
    <t>We acknowledge the support of the Department of Environmental Affairs (DEA), South Africa; the South African National Antarctic Programme (SANAP), South Africa; and the Italian National Antarctic Research Programme (PNRA), Italy. This study was made possible thanks to the contribution of the Southern Ocean Chokepoint: an Italian Contribution (SO-ChIC) project and the Multiplatform Observations and Modeling in a sector of the Antarctic circumpolar current (MOMA) project. Special thanks go to the captain, officers, and crew of the S.A. Agulhas-I and II as well as all the technicians, scientists, and students on board the S.A. Agulhas-I and S.A. Agulhas-II research vessels who contributed to the TSG data functioning and cleaning, and to the onboard SSS validation activities.</t>
  </si>
  <si>
    <t>10.5194/essd-10-1227-2018</t>
  </si>
  <si>
    <t>GL8UM</t>
  </si>
  <si>
    <t>WOS:000437502700002</t>
  </si>
  <si>
    <t>Ionita, M; Scholz, P; Grosfeld, K; Treffeisen, R</t>
  </si>
  <si>
    <t>Ionita, Monica; Scholz, Patrick; Grosfeld, Klaus; Treffeisen, Renate</t>
  </si>
  <si>
    <t>Moisture transport and Antarctic sea ice: austral spring 2016 event</t>
  </si>
  <si>
    <t>SOUTHERN ANNULAR MODE; CLIMATE VARIABILITY; HYDROLOGICAL CYCLE; OCEAN; OSCILLATION; TEMPERATURE; PERFORMANCE; AMUNDSEN; IMPACTS; RETREAT</t>
  </si>
  <si>
    <t>In austral spring 2016 the Antarctic region experienced anomalous sea ice retreat in all sectors, with sea ice extent in October and November 2016 being the lowest in the Southern Hemisphere over the observational period (1979-present). The extreme sea ice retreat was accompanied by widespread warming along the coastal areas as well as in the interior of the Antarctic continent. This exceptional event occurred along with a strong negative phase of the Southern Annular Mode (SAM) and the moistest and warmest spring on record, over large areas covering the Indian Ocean, the Ross Sea and the Weddell Sea. In October 2016, the positive anomalies of the totally integrated water vapor (IWV) and 2 m air temperature (T2m) over the Indian Ocean, western Pacific, Bellingshausen Sea and southern part of Ross Sea were unprecedented in the last 39 years. In October and November 2016, when the largest magnitude of negative daily sea ice concentration anomalies was observed, repeated episodes of poleward advection of warm and moist air took place. These results suggest the importance of moist and warm air intrusions into the Antarctic region as one of the main contributors to this exceptional sea ice retreat event.</t>
  </si>
  <si>
    <t>[Ionita, Monica; Scholz, Patrick; Grosfeld, Klaus; Treffeisen, Renate] Alfred Wegener Inst, Helmholtz Ctr Polar &amp; Marine Res, D-27570 Bremerhaven, Germany</t>
  </si>
  <si>
    <t>Ionita, M (corresponding author), Alfred Wegener Inst, Helmholtz Ctr Polar &amp; Marine Res, D-27570 Bremerhaven, Germany.</t>
  </si>
  <si>
    <t>monica.ionita@awi.de</t>
  </si>
  <si>
    <t>Ionita, Monica/AAX-3171-2020</t>
  </si>
  <si>
    <t>Ionita, Monica/0000-0001-8240-4380; Scholz, Patrick/0000-0003-2692-7624</t>
  </si>
  <si>
    <t>Helmholtz; Helmholtz Climate Initiative REKLIM; Collaborative Research Centre [TRR 181]; German Research Foundation</t>
  </si>
  <si>
    <t>Helmholtz(Helmholtz Association); Helmholtz Climate Initiative REKLIM; Collaborative Research Centre; German Research Foundation(German Research Foundation (DFG))</t>
  </si>
  <si>
    <t>This study is promoted by Helmholtz funding through the Polar Regions and Coasts in the Changing Earth System (PACES) program of the AWI. Funding by the Helmholtz Climate Initiative REKLIM is gratefully acknowledged. Patrick Scholz was funded by the Collaborative Research Centre TRR 181 Energy Transfer in Atmosphere and Ocean funded by the German Research Foundation.</t>
  </si>
  <si>
    <t>JUL 4</t>
  </si>
  <si>
    <t>10.5194/esd-9-939-2018</t>
  </si>
  <si>
    <t>GL7GP</t>
  </si>
  <si>
    <t>WOS:000437365900001</t>
  </si>
  <si>
    <t>Ueda, S; Osada, K; Hara, K; Yabuki, M; Hashihama, F; Kanda, J</t>
  </si>
  <si>
    <t>Ueda, Sayako; Osada, Kazuo; Hara, Keiichiro; Yabuki, Masanori; Hashihama, Fuminori; Kanda, Jota</t>
  </si>
  <si>
    <t>Morphological features and mixing states of soot-containing particles in the marine boundary layer over the Indian and Southern oceans</t>
  </si>
  <si>
    <t>AEROSOL BLACK CARBON; DICARBOXYLIC-ACIDS; LIGHT-ABSORPTION; LONG-TERM; URBAN; TRANSPORT; BIOMASS; SULFATE; FOREST; SITE</t>
  </si>
  <si>
    <t>Mixing states of soot-containing aerosol particles constitute important information for the simulation of climatic effects of black carbon in the atmosphere. To elucidate the mixing states and morphological features of soot-containing particles over remote oceans, we conducted on-board observations over the southern Indian Ocean and the Southern Ocean during the TR/V Umitaka-maru UM-08-09 cruise, which started from Benoa, Indonesia, on 1 December 2008 via Cape Town, South Africa, and which terminated in Fremantle, Australia, on 6 February 2009. The light absorption coefficients of size-segregated particles (&lt; 0.5 and &lt; 1.0 mu m diameter) and aerosol number concentrations (0.1-0.5 mu m diameter) were measured to assist direct aerosol sampling. Size-segregated aerosol particles were collected for chemical analysis using ion chromatography. For transmission electron microscopy (TEM) analyses using waterdialysis methods, dried submicrometer aerosol particles were collected using a cascade impactor. We analyzed 13 TEM samples. Results of water-dialysis analysis demonstrate that most particles were water-soluble. However, for all TEM samples, particles were rarely found (2.1% of particles on a TEM sample at a maximum) containing insoluble residuals with the characteristic soot shape. For samples collected over the Indian and Southern oceans at latitudes less than 62 degrees S, some (20-35 %) soot-containing particles were found as bare soot. For samples collected near the Antarctic coast (65-68 degrees S, 38-68 degrees E), all soot-containing particles were mixed with water-soluble materials. Furthermore, 56% of soot-containing particles had a satellite structure formed by the impact of droplets such as sulfuric acid. Chemical analysis of submicrometer particles near the Antarctic coast revealed high concentrations of non-sea-salt (nss) SO42- and CH3SO3-, suggesting that aged soot-containing particles were transformed by soluble materials derived from dimethyl sulfide (DMS) oxidation. The obtained information of soot at various remote ocean areas is expected to be useful to understand long-range transport processes and to improve simulations of global soot concentration.</t>
  </si>
  <si>
    <t>[Ueda, Sayako; Osada, Kazuo] Nagoya Univ, Grad Sch Environm Studies, Nagoya, Aichi 4648601, Japan; [Hara, Keiichiro] Fukuoka Univ, Dept Earth Syst Sci, Fac Sci, Fukuoka 8140180, Japan; [Yabuki, Masanori] Kyoto Univ, Res Inst Sustainable Humanosphere, Kyoto 6110011, Japan; [Hashihama, Fuminori; Kanda, Jota] Tokyo Univ Marine Sci &amp; Technol, Dept Ocean Sci, Tokyo 1088477, Japan</t>
  </si>
  <si>
    <t>Nagoya University; Fukuoka University; Kyoto University; Tokyo University of Marine Science &amp; Technology</t>
  </si>
  <si>
    <t>Ueda, S; Osada, K (corresponding author), Nagoya Univ, Grad Sch Environm Studies, Nagoya, Aichi 4648601, Japan.</t>
  </si>
  <si>
    <t>ueda-s@isee.nagoya-u.ac.jp; kosada@nagoya-u.jp</t>
  </si>
  <si>
    <t>Kanda, Jota/O-1881-2014; Hashihama, Fuminori/O-1924-2014; Ueda, Sayako/AFQ-2913-2022; Osada, Kazuo/I-6395-2014; Hara, Keiichiro/N-8264-2018</t>
  </si>
  <si>
    <t>Kanda, Jota/0000-0002-5099-6278; Hashihama, Fuminori/0000-0003-3835-7681; Ueda, Sayako/0000-0003-3321-2475; Osada, Kazuo/0000-0003-3100-5835; Hara, Keiichiro/0000-0001-7440-7776</t>
  </si>
  <si>
    <t>Ministry of Education, Culture, Sports, Science, and Technology, Japan [18067005]; Ministry of Education, Culture, Sports, Science, and Technology [20310009, 15H02803, 20244078]; Steel Foundation for Environmental Protection Technology; Grants-in-Aid for Scientific Research [15H02803, 20310009, 18067005] Funding Source: KAKEN</t>
  </si>
  <si>
    <t>Ministry of Education, Culture, Sports, Science, and Technology, Japan(Ministry of Education, Culture, Sports, Science and Technology, Japan (MEXT)); Ministry of Education, Culture, Sports, Science, and Technology(Ministry of Education, Culture, Sports, Science and Technology, Japan (MEXT)); Steel Foundation for Environmental Protection Technology(Steel Industry Foundation for the Advancement of Environmental Protection Technology); Grants-in-Aid for Scientific Research(Ministry of Education, Culture, Sports, Science and Technology, Japan (MEXT)Japan Society for the Promotion of ScienceGrants-in-Aid for Scientific Research (KAKENHI))</t>
  </si>
  <si>
    <t>We are indebted to staff members of the Umitaka Maru for assisting our work on board. We wish to express gratitude to Toshiaki Goto at the Technical Center of Nagoya University for technical advice on electron microscopy. We gratefully acknowledge the NOAA Air Resources Laboratory (ARL) for providing the HYSPLIT transport model (http://ready.arl.noaa.gov/HYSPLIT.php, last acccess: 16 May 2016). This work was conducted with the support of a grant-in-aid for Environmental Research provided by the Steel Foundation for Environmental Protection Technology, and the support of a grant-in-aid for Scientific Research in Priority Areas, grant no. 18067005 (W-PASS), provided by the Ministry of Education, Culture, Sports, Science, and Technology, Japan, and by grants-in-aid for Scientific Research (B) 20310009 and 15H02803, and (A) 20244078 from the Ministry of Education, Culture, Sports, Science, and Technology. This research is a contribution of IGBP/SOLAS activity.</t>
  </si>
  <si>
    <t>JUL 3</t>
  </si>
  <si>
    <t>10.5194/acp-18-9207-2018</t>
  </si>
  <si>
    <t>GL6BR</t>
  </si>
  <si>
    <t>WOS:000437262500002</t>
  </si>
  <si>
    <t>Klepp, C; Michel, S; Protat, A; Burdanowitz, J; Albern, N; Kähnert, M; Dahl, A; Louf, V; Bakan, S; Buehler, SA</t>
  </si>
  <si>
    <t>Klepp, Christian; Michel, Simon; Protat, Alain; Burdanowitz, Joerg; Albern, Nicole; Kaehnert, Marvin; Dahl, Andrea; Louf, Valentin; Bakan, Stephan; Buehler, Stefan A.</t>
  </si>
  <si>
    <t>OceanRAIN, a new in-situ shipboard global ocean surface-reference dataset of all water cycle components</t>
  </si>
  <si>
    <t>STATISTICAL RAINFALL PROPERTIES; SIZE DISTRIBUTIONS; OPTICAL DISDROMETER; RAINDROP SPECTRA; PRECIPITATION; MODEL; VALIDATION; MISSION; IMPACT; HOAPS</t>
  </si>
  <si>
    <t>OceanRAIN-the Ocean Rainfall And Ice-phase precipitation measurement Network-provides in-situ along-track shipboard data of precipitation, evaporation and the resulting freshwater flux at 1-min resolution over the global oceans from June 2010 to April 2017. More than 6.83 million minutes with 75 parameters from 8 ships cover all routinely measured atmospheric and oceanographic state variables along with those required to derive the turbulent heat fluxes. The precipitation parameter is based on measurements of the optical disdrometer ODM470 specifically designed for all-weather shipboard operations. The rain, snow and mixed-phase precipitation occurrence, intensity and accumulation are derived from particle size distributions. Additionally, microphysical parameters and radar-related parameters are provided. Addressing the need for high-quality in-situ precipitation data over the global oceans, OceanRAIN-1.0 is the first comprehensive along-track in-situ water cycle surface reference dataset for satellite product validation and retrieval calibration of the GPM (Global Precipitation Measurement) era, to improve the representation of precipitation and air-sea interactions in re-analyses and models, and to improve understanding of water cycle processes over the global oceans.</t>
  </si>
  <si>
    <t>[Klepp, Christian] Univ Hamburg, Cluster Excellence CliSAP Climate Syst Anal &amp; Pre, D-20146 Hamburg, Germany; [Klepp, Christian] Univ Hamburg, Ctr Earth Syst Res &amp; Sustainabil CEN, Initiat Pro Klima, D-20146 Hamburg, Germany; [Klepp, Christian; Michel, Simon; Burdanowitz, Joerg; Albern, Nicole; Kaehnert, Marvin; Buehler, Stefan A.] Univ Hamburg, Meteorol Inst CEN, D-20146 Hamburg, Germany; [Klepp, Christian; Burdanowitz, Joerg; Albern, Nicole; Bakan, Stephan] Max Planck Inst Meteorol, D-20146 Hamburg, Germany; [Protat, Alain; Louf, Valentin] Bur Meteorol, Melbourne, Vic 3008, Australia; [Dahl, Andrea] Eigenbrodt GmbH &amp; Co KG, D-21255 Konigsmoor, Germany; [Louf, Valentin] Monash Univ, Melbourne, Vic 3008, Australia</t>
  </si>
  <si>
    <t>University of Hamburg; University of Hamburg; University of Hamburg; Max Planck Society; Bureau of Meteorology - Australia; Melbourne Genomics Health Alliance; Melbourne Genomics Health Alliance; Monash University</t>
  </si>
  <si>
    <t>Klepp, C (corresponding author), Univ Hamburg, Cluster Excellence CliSAP Climate Syst Anal &amp; Pre, D-20146 Hamburg, Germany.;Klepp, C (corresponding author), Univ Hamburg, Ctr Earth Syst Res &amp; Sustainabil CEN, Initiat Pro Klima, D-20146 Hamburg, Germany.;Klepp, C (corresponding author), Univ Hamburg, Meteorol Inst CEN, D-20146 Hamburg, Germany.;Klepp, C (corresponding author), Max Planck Inst Meteorol, D-20146 Hamburg, Germany.</t>
  </si>
  <si>
    <t>christian.klepp@uni-hamburg.de</t>
  </si>
  <si>
    <t>; Buehler, Stefan Alexander/A-4056-2009</t>
  </si>
  <si>
    <t>Protat, Alain/0000-0002-8933-874X; Louf, Valentin/0000-0001-8133-3031; Burdanowitz, Joerg/0000-0002-0540-4034; Buehler, Stefan Alexander/0000-0001-6389-1160</t>
  </si>
  <si>
    <t>Initiative Pro Klima (Mabanaft, Mabanaft Deutschland, Petronord and OIL! Tankstellen GmbH Co. KG); CliSAP/CEN, University of Hamburg; Max Planck Society (MPG); Australian Antarctic Science [4292]</t>
  </si>
  <si>
    <t>Initiative Pro Klima (Mabanaft, Mabanaft Deutschland, Petronord and OIL! Tankstellen GmbH Co. KG); CliSAP/CEN, University of Hamburg; Max Planck Society (MPG)(Max Planck Society); Australian Antarctic Science</t>
  </si>
  <si>
    <t>The sustained funding by Initiative Pro Klima (Mabanaft, Mabanaft Deutschland, Petronord and OIL! Tankstellen GmbH &amp; Co. KG) enabled the development and operation as well as the research on this dataset. We greatly appreciate this support and gratefully thank Tanja Thiele, Gerhard Grambow, Volker Tiedemann, Ulrich Freudental and Jan Falke. The project is additionally funded by CliSAP/CEN, University of Hamburg, and the Max Planck Society (MPG). We are grateful to the ship operators, onboard weather station personnel and research institutes for their continuous support of the instrument deployment, data delivery, maintenance and remote communication: German Research Fleet Coordination Center at the University of Hamburg, Alfred-Wegener Institute, Marum Bremen, Brise Research, German Weather Service, Bundesamt fur Seeschifffahrt und Hydrographie (BSH), CSIRO, Marine National Facility and University of Washington. We are grateful for the support of Australian Antarctic Science project 4292, to Tom Warner for financial support and ongoing instrument and data management, and to ROW Management, Ltd. for permission to deploy the equipment aboard MS The World. The authors would like to thank Olaf Dahl, Carsten Benecke and Jorn Matthies for their disdrometer hardware and software support. We further thank Remon Sadikni, Hans-Hermann Winter and Heinke Hocke for the data publication support. We acknowledge Kyla Drushka and Carol-Ann Clayson for delivering raw data into the project. The essential contributions of all unnamed colleagues and ship personnel are explicitly acknowledged.</t>
  </si>
  <si>
    <t>10.1038/sdata.2018.122</t>
  </si>
  <si>
    <t>GL4FJ</t>
  </si>
  <si>
    <t>WOS:000437104000002</t>
  </si>
  <si>
    <t>Aanderud, ZT; Saurey, S; Ball, BA; Wall, DH; Barrett, JE; Muscarella, ME; Griffin, NA; Virginia, RA; Adams, BJ</t>
  </si>
  <si>
    <t>Aanderud, Zachary T.; Saurey, Sabrina; Ball, Becky A.; Wall, Diana H.; Barrett, John E.; Muscarella, Mario E.; Griffin, Natasha A.; Virginia, Ross A.; Adams, Byron J.</t>
  </si>
  <si>
    <t>Stoichiometric Shifts in Soil C:N:P Promote Bacterial Taxa Dominance, Maintain Biodiversity, and Deconstruct Community Assemblages</t>
  </si>
  <si>
    <t>ecological stoichiometry; Lake Fryxell Basin; McMurdo Dry Valleys; network community modeling; nutrient colimitation; Solirubrobacteriaceae</t>
  </si>
  <si>
    <t>MCMURDO DRY VALLEYS; TAYLOR VALLEY; MICROBIAL COMMUNITY; GLOBAL PATTERNS; VICTORIA LAND; ECOLOGICAL STOICHIOMETRY; NITROGEN DEPOSITION; P FERTILIZATION; PLANT DIVERSITY; ORGANIC-MATTER</t>
  </si>
  <si>
    <t>Imbalances in C:N:P supply ratios may cause bacterial resource limitations and constrain biogeochemical processes, but the importance of shifts in soil stoichiometry are complicated by the nearly limitless interactions between an immensely rich species pool and a multiple chemical resource forms. To more clearly identify the impact of soil C:N:P on bacteria, we evaluated the cumulative effects of single and coupled long-term nutrient additions (i.e., C as mannitol, N as equal concentrations NH4+ and NO3-, and P as Na3PO4) and water on communities in an Antarctic polar desert, Taylor Valley. Untreated soils possessed relatively low bacterial diversity, simplified organic C sources due to the absence of plants, limited inorganic N, and excess soil P potentially attenuating links between C:N:P. After 6 years of adding resources, an alleviation of C and N colimitation allowed one rare Micrococcaceae, an Arthrobacter species, to dominate, comprising 47% of the total community abundance and elevating soil respiration by 136% relative to untreated soils. The addition of N alone reduced C:N ratios, elevated bacterial richness and diversity, and allowed rare taxa relying on ammonium and nitrite for metabolism to become more abundant [e.g., nitrite oxidizing Nitrospira species (Nitrosomonadaceae), denitrifiers utilizing nitrite (Gemmatimonadaceae) and members of Rhodobacteraceae with a high affinity for ammonium]. Based on community co-occurrence networks, lower C:P ratios in soils following P and CP additions created more diffuse and less connected communities by disrupting 73% of species interactions and selecting for taxa potentially exploiting abundant P. Unlike amended nutrients, water additions alone elicited no lasting impact on communities. Our results suggest that as soils become nutrient rich a wide array of outcomes are possible from species dominance and the deconstruction of species interconnectedness to the maintenance of biodiversity.</t>
  </si>
  <si>
    <t>[Aanderud, Zachary T.; Saurey, Sabrina; Griffin, Natasha A.] Brigham Young Univ, Dept Plant &amp; Wildlife Sci, Provo, UT 84602 USA; [Ball, Becky A.] Arizona State Univ, Sch Math &amp; Nat Sci, Phoenix, AZ USA; [Wall, Diana H.] Colorado State Univ, Dept Biol, Sch Global Environm Sustainabil, Ft Collins, CO 80523 USA; [Barrett, John E.] Virginia Poktech Inst, Dept Biol Sci, Blacksburg, VA USA; [Muscarella, Mario E.] Univ Illinois, Dept Plant Biol, Champaign, IL USA; [Virginia, Ross A.] Dartmouth Coll, Environm Studies Program, Hanover, NH 03755 USA; [Adams, Byron J.] Brigham Young Univ, Evolutionary Ecol Labs, Dept Biol, Provo, UT 84602 USA; [Adams, Byron J.] Brigham Young Univ, Dept Biol, Monte L Bean Museum, Provo, UT 84602 USA</t>
  </si>
  <si>
    <t>Brigham Young University; Arizona State University; Arizona State University-Downtown Phoenix; Colorado State University; University of Illinois System; University of Illinois Urbana-Champaign; Dartmouth College; Brigham Young University; Brigham Young University</t>
  </si>
  <si>
    <t>Aanderud, ZT (corresponding author), Brigham Young Univ, Dept Plant &amp; Wildlife Sci, Provo, UT 84602 USA.</t>
  </si>
  <si>
    <t>zachary_aanderud@byu.edu</t>
  </si>
  <si>
    <t>Muscarella, Mario/G-7595-2017; Wall, Diana H/F-5491-2011; Ball, Becky A/E-6573-2011; Barrett, John/D-5851-2016; Adams, Byron/C-3808-2009</t>
  </si>
  <si>
    <t>Muscarella, Mario/0000-0001-6183-6037; Ball, Becky A/0000-0001-8592-1316; Barrett, John/0000-0002-7610-0505; Adams, Byron/0000-0002-7815-3352</t>
  </si>
  <si>
    <t>National Science Foundation Office of Polar Programs [ANT-0423595, OPP-1115245]</t>
  </si>
  <si>
    <t>National Science Foundation Office of Polar Programs(National Science Foundation (NSF)NSF - Directorate for Geosciences (GEO))</t>
  </si>
  <si>
    <t>Our research was supported by the National Science Foundation Office of Polar Programs grants to the McMurdo Long-Term Ecological Research Program ANT-0423595 and OPP-1115245.</t>
  </si>
  <si>
    <t>10.3389/fmicb.2018.01401</t>
  </si>
  <si>
    <t>GL5CC</t>
  </si>
  <si>
    <t>WOS:000437179300001</t>
  </si>
  <si>
    <t>Cinner, JE; Maire, E; Huchery, C; MacNeil, MA; Graham, NAJ; Mora, C; Barnes, ML; Kittinger, JN; Hicks, CC; D'Agata, S; Hoey, AS; Gurney, GG; Feary, DA; Williams, ID; Kulbicki, M; Vigliola, L; Wantiez, L; Edgar, GJ; Stuart-Smith, RD; Sandin, SA; Green, A; Hardt, MJ; Beger, M; Friedlander, AM; Wilson, SK; Brokovich, E; Brooks, AJ; Cruz-Motta, JJ; Booth, DJ; Chabanet, P; Gough, C; Tupper, M; Ferse, SCA; Sumaila, UR; Pardede, S; Mouillot, D</t>
  </si>
  <si>
    <t>Cinner, Joshua E.; Maire, Eva; Huchery, Cindy; MacNeil, M. Aaron; Graham, Nicholas A. J.; Mora, Camilo; Barnes, Michele L.; Kittinger, John N.; Hicks, Christina C.; D'Agata, Stephanie; Hoey, Andrew S.; Gurney, Georgina G.; Feary, David A.; Williams, Ivor D.; Kulbicki, Michel; Vigliola, Laurent; Wantiez, Laurent; Edgar, Graham J.; Stuart-Smith, Rick D.; Sandin, Stuart A.; Green, Alison; Hardt, Marah J.; Beger, Maria; Friedlander, Alan M.; Wilson, Shaun K.; Brokovich, Eran; Brooks, Andrew J.; Cruz-Motta, Juan J.; Booth, David J.; Chabanet, Pascale; Gough, Charlotte; Tupper, Mark; Ferse, Sebastian C. A.; Sumaila, U. Rashid; Pardede, Shinta; Mouillot, David</t>
  </si>
  <si>
    <t>Gravity of human impacts mediates coral reef conservation gains</t>
  </si>
  <si>
    <t>marine reserves; fisheries; coral reefs; social-ecological; socioeconomic</t>
  </si>
  <si>
    <t>MARINE PROTECTED AREAS; HUMAN DIMENSIONS; CLIMATE-CHANGE; RESERVES; RESILIENCE; FISH; MANAGEMENT; RECOVERY; HARVEST; PEOPLE</t>
  </si>
  <si>
    <t>Coral reefs provide ecosystem goods and services for millions of people in the tropics, but reef conditions are declining worldwide. Effective solutions to the crisis facing coral reefs depend in part on understanding the context under which different types of conservation benefits can be maximized. Our global analysis of nearly 1,800 tropical reefs reveals how the intensity of human impacts in the surrounding seascape, measured as a function of human population size and accessibility to reefs (gravity), diminishes the effectiveness of marine reserves at sustaining reef fish biomass and the presence of top predators, even where compliance with reserve rules is high. Critically, fish biomass in high-compliance marine reserves located where human impacts were intensive tended to be less than a quarter that of reserves where human impacts were low. Similarly, the probability of encountering top predators on reefs with high human impacts was close to zero, even in high-compliance marine reserves. However, we find that the relative difference between openly fished sites and reserves (what we refer to as conservation gains) are highest for fish biomass (excluding predators) where human impacts are moderate and for top predators where human impacts are low. Our results illustrate critical ecological trade-offs in meeting key conservation objectives: reserves placed where there are moderate-to-high human impacts can provide substantial conservation gains for fish biomass, yet they are unlikely to support key ecosystem functions like higher-order predation, which is more prevalent in reserve locations with low human impacts.</t>
  </si>
  <si>
    <t>[Cinner, Joshua E.; Maire, Eva; Huchery, Cindy; Graham, Nicholas A. J.; Kittinger, John N.; D'Agata, Stephanie; Gurney, Georgina G.; Mouillot, David] James Cook Univ, Australian Res Council Ctr Excellence Coral Reef, Townsville, Qld 4811, Australia; [Maire, Eva; Hoey, Andrew S.; Mouillot, David] Univ Montpellier, Marine Biodivers Explorat &amp; Conservat, UMR Inst Rech Dev, CNRS,UM,Inst Francais Rech Exploitat Mer 9190, F-34095 Montpellier, France; [MacNeil, M. Aaron] Australian Inst Marine Sci, Townsville, Qld 4810, Australia; [MacNeil, M. Aaron] Dalhousie Univ, Dept Biol, Halifax, NS B3H 3J5, Canada; [Graham, Nicholas A. J.; D'Agata, Stephanie] Univ Lancaster, Lancaster Environm Ctr, Lancaster LA1 4YQ, England; [Mora, Camilo] Univ Hawaii Manoa, Dept Geog, Honolulu, HI 96822 USA; [Barnes, Michele L.; Pardede, Shinta] Wildlife Conservat Soc, Global Marine Program, Bronx, NY 10460 USA; [Kittinger, John N.] Univ Hawaii Manoa, Dept Bot, Honolulu, HI 96822 USA; [Hicks, Christina C.] Ctr Oceans Conservat Int, Honolulu, HI 96825 USA; [Hicks, Christina C.] Arizona State Univ, Julie Ann Wrigley Global Inst Sustainabil, Life Sci Ctr, Ctr Biodivers Outcomes, Tempe, AZ 85281 USA; [Hoey, Andrew S.; Vigliola, Laurent] Inst Rech Dev, Lab Excellence LABEX CORAIL, UMR Inst Rech Dev UR CNRS ENTROPIE, BP A5, Noumea 98848, New Caledonia; [Feary, David A.] Univ Nottingham, Sch Life Sci, Nottingham NG7 2RD, England; [Williams, Ivor D.] NOAA, Pacific Isl Fisheries Sci Ctr, Coral Reef Ecosyst Program, Honolulu, HI 96818 USA; [Kulbicki, Michel] Univ Perpignan, Labex Corail, Inst Rech Dev, UMR Entropie, F-66000 Perpignan, France; [Wantiez, Laurent] Univ New Caledonia, LIVE EA4243, BPR4 98851, Noumea, New Caledonia; [Edgar, Graham J.; Stuart-Smith, Rick D.] Univ Tasmania, Inst Marine &amp; Antarctic Studies, Hobart, Tas 7001, Australia; [Sandin, Stuart A.] Univ Calif San Diego, Scripps Inst Oceanog, San Diego, CA 92093 USA; [Green, Alison] Nature Conservancy, Brisbane, Qld 4101, Australia; [Hardt, Marah J.] Future Fish, Bethesda, MD 20814 USA; [Beger, Maria] Univ Queensland, Ctr Biodivers &amp; Conservat Sci, Australian Res Council, Ctr Excellence Environm Decis, St Lucia, Qld 4074, Australia; [Beger, Maria] Univ Leeds, Fac Biol Sci, Sch Biol, Leeds LS2 9JT, W Yorkshire, England; [Friedlander, Alan M.] Univ Hawaii, Dept Biol, Fisheries Ecol Res Lab, Honolulu, HI 96822 USA; [Friedlander, Alan M.] Natl Geog Soc, Pristine Seas Program, Washington, DC 20036 USA; [Wilson, Shaun K.] Dept Pk &amp; Wildlife, S Perth, WA 6151, Australia; [Wilson, Shaun K.] Univ Western Australia, Oceans Inst, Crawley, WA 6009, Australia; [Brokovich, Eran] Israel Soc Ecol &amp; Environm Sci, IL-6775323 Tel Aviv, Israel; [Brooks, Andrew J.] Univ Calif Santa Barbara, Marine Sci Inst, Santa Barbara, CA 93106 USA; [Cruz-Motta, Juan J.] Univ Puerto Rico, Recinto Univ Mayaguez, Dept Ciencias Marinas, Mayaguez, PR 00680 USA; [Booth, David J.] Univ Technol Sydney, Sch Life Sci, Sydney, NSW 2007, Australia; [Chabanet, Pascale] Inst Rech Dev, Lab Excellence LABEX CORAIL, UMR ENTROPIE, CS 41095, F-97495 St Clotilde, La Reunion, France; [Gough, Charlotte] Blue Ventures Conservat, Omnibus Business Ctr, London N7 9DP, England; [Tupper, Mark] Univ Trinidad &amp; Tobago, Adv Ctr Coastal &amp; Ocean Res &amp; Dev, Chaguaramas, Trinidad Tobago; [Ferse, Sebastian C. A.] Leibniz Ctr Trop Marine Res, D-28359 Bremen, Germany; [Sumaila, U. Rashid] Univ British Columbia, Fisheries Econ Res Unit, Inst Oceans &amp; Fisheries, Vancouver, BC V6T 1Z4, Canada; [Sumaila, U. Rashid] Univ British Columbia, Liu Inst Global Studies, Vancouver, BC V6T 1Z4, Canada</t>
  </si>
  <si>
    <t>James Cook University; Universite de Montpellier; Ifremer; Centre National de la Recherche Scientifique (CNRS); Australian Institute of Marine Science; Dalhousie University; Lancaster University; University of Hawaii System; University of Hawaii Manoa; Wildlife Conservation Society; University of Hawaii System; University of Hawaii Manoa; Arizona State University; Arizona State University-Tempe; Institut de Recherche pour le Developpement (IRD); University of Nottingham; National Oceanic Atmospheric Admin (NOAA) - USA; Institut de Recherche pour le Developpement (IRD); Universite Perpignan Via Domitia; Universite Nouvelle Caledonie; University of Tasmania; University of California System; University of California San Diego; Scripps Institution of Oceanography; Nature Conservancy; University of Queensland; University of Leeds; University of Hawaii System; National Geographic Society; University of Western Australia; University of California System; University of California Santa Barbara; University of Puerto Rico; University of Puerto Rico Mayaguez; University of Technology Sydney; Institut de Recherche pour le Developpement (IRD); Leibniz Zentrum fur Marine Tropenforschung (ZMT); University of British Columbia; University of British Columbia</t>
  </si>
  <si>
    <t>Cinner, JE (corresponding author), James Cook Univ, Australian Res Council Ctr Excellence Coral Reef, Townsville, Qld 4811, Australia.</t>
  </si>
  <si>
    <t>Joshua.Cinner@jcu.edu.au</t>
  </si>
  <si>
    <t>Gurney, Georgina/X-9336-2019; MacNeil, Aaron/E-8196-2017; Wantiez, Laurent/L-3343-2013; Edgar, Graham/AAY-3797-2020; Ferse, Sebastian/AAH-8048-2021; Maire, Eva/T-1934-2019; Graham, Nicholas/C-8360-2014; Stuart-Smith, Rick/I-5214-2019; Beger, Maria/ABC-5975-2022; Sumaila, U. Rashid/ABE-6475-2020; Tupper, Mark/HZL-8362-2023; Cinner, Joshua/AAA-6823-2021; MacNeil, M. Aaron/ABD-6444-2021; Wilson, Shaun/K-8597-2019; Stephanie, D'Agata/AAN-3692-2020; D’agata, Stéphanie/ABC-7437-2020; Barnes, Michele/ABE-7497-2020; Chabanet, Pascale/L-9470-2017; Hicks, Christina/M-6182-2015; Cinner, Joshua Eli/E-8966-2011; Stuart-Smith, Rick D/M-1829-2013; Hoey, Andrew S/B-5457-2015; Vigliola, Laurent/J-7107-2016</t>
  </si>
  <si>
    <t>Gurney, Georgina/0000-0002-4884-7468; Wantiez, Laurent/0000-0001-5024-2057; Edgar, Graham/0000-0003-0833-9001; Ferse, Sebastian/0000-0003-0930-5356; Maire, Eva/0000-0002-1032-3394; Graham, Nicholas/0000-0002-0304-7467; Stuart-Smith, Rick/0000-0002-8874-0083; Beger, Maria/0000-0003-1363-3571; MacNeil, M. Aaron/0000-0001-8406-325X; Wilson, Shaun/0000-0002-4590-0948; Stephanie, D'Agata/0000-0001-6941-8489; Barnes, Michele/0000-0002-1151-4037; Hicks, Christina/0000-0002-7399-4603; Cinner, Joshua Eli/0000-0003-2675-9317; Stuart-Smith, Rick D/0000-0002-8874-0083; Vigliola, Laurent/0000-0003-4715-7470; Chabanet, Pascale/0000-0001-7600-943X; Cruz Motta, Juan Jose/0000-0001-6117-9014; Gough, Charlotte/0000-0002-5313-4868; Hoey, Andrew/0000-0002-4261-5594; Booth, David/0000-0002-8256-1412; Tupper, Mark/0000-0002-6157-7714</t>
  </si>
  <si>
    <t>Australian Research Council Centre of Excellence for Coral Reef Studies; Pew Charitable Trusts</t>
  </si>
  <si>
    <t>Australian Research Council Centre of Excellence for Coral Reef Studies(Australian Research Council); Pew Charitable Trusts</t>
  </si>
  <si>
    <t>We thank J. Zamborian Mason and A. Fordyce for assistance with analyses and figures, and to numerous scientists who collected data used in the research. The Australian Research Council Centre of Excellence for Coral Reef Studies and The Pew Charitable Trusts funded working group meetings.</t>
  </si>
  <si>
    <t>E6116</t>
  </si>
  <si>
    <t>E6125</t>
  </si>
  <si>
    <t>10.1073/pnas.1708001115</t>
  </si>
  <si>
    <t>GL4GH</t>
  </si>
  <si>
    <t>Green Accepted, hybrid, Green Published, Green Submitted</t>
  </si>
  <si>
    <t>WOS:000437107000006</t>
  </si>
  <si>
    <t>Gorham, PW; Allison, P; Banerjee, O; Batten, L; Beatty, JJ; Bechtol, K; Belov, K; Besson, DZ; Binns, WR; Bugaev, V; Cao, P; Chen, CC; Chen, CH; Chen, P; Clem, JM; Connolly, A; Cremonesi, L; Dailey, B; Deaconu, C; Dowkontt, PF; Fox, BD; Gordon, JWH; Hast, C; Hill, B; Hsu, SY; Huang, JJ; Hughes, K; Hupe, R; Israel, MH; Liewer, KM; Liu, TC; Ludwig, AB; Macchiarulo, L; Matsuno, S; Miki, C; Mulrey, K; Nam, J; Naudet, C; Nichol, RJ; Novikov, A; Oberla, E; Prohira, S; Rauch, BF; Roberts, JM; Romero-Wolf, A; Rotter, B; Russell, JW; Saltzberg, D; Seckel, D; Schoorlemmer, H; Shiao, J; Stafford, S; Stockham, J; Stockham, M; Strutt, B; Sutherland, MS; Varner, GS; Vieregg, AG; Wang, SH; Wissel, SA</t>
  </si>
  <si>
    <t>Gorham, P. W.; Allison, P.; Banerjee, O.; Batten, L.; Beatty, J. J.; Bechtol, K.; Belov, K.; Besson, D. Z.; Binns, W. R.; Bugaev, V.; Cao, P.; Chen, C. C.; Chen, C. H.; Chen, P.; Clem, J. M.; Connolly, A.; Cremonesi, L.; Dailey, B.; Deaconu, C.; Dowkontt, P. F.; Fox, B. D.; Gordon, J. W. H.; Hast, C.; Hill, B.; Hsu, S. Y.; Huang, J. J.; Hughes, K.; Hupe, R.; Israel, M. H.; Liewer, K. M.; Liu, T. C.; Ludwig, A. B.; Macchiarulo, L.; Matsuno, S.; Miki, C.; Mulrey, K.; Nam, J.; Naudet, C.; Nichol, R. J.; Novikov, A.; Oberla, E.; Prohira, S.; Rauch, B. F.; Roberts, J. M.; Romero-Wolf, A.; Rotter, B.; Russell, J. W.; Saltzberg, D.; Seckel, D.; Schoorlemmer, H.; Shiao, J.; Stafford, S.; Stockham, J.; Stockham, M.; Strutt, B.; Sutherland, M. S.; Varner, G. S.; Vieregg, A. G.; Wang, S. H.; Wissel, S. A.</t>
  </si>
  <si>
    <t>Constraints on the diffuse high-energy neutrino flux from the third flight of ANITA</t>
  </si>
  <si>
    <t>The Antarctic Impulsive Transient Antenna, a NASA long-duration balloon payload, searches for radio emission from interactions of ultrahigh-energy neutrinos in polar ice. The third flight of the Antarctic Impulsive Transient Antenna was launched in December 2014 and completed a 22-day flight. We present the results of three analyses searching for Askaryan radio emission of neutrino origin. In the most sensitive of the analyses, we find one event in the signal region on an expected background of 0.7(-0.3)(+0.5). Though consistent with the background estimate, the event remains compatible with a neutrino hypothesis even after additional postunblinding scrutiny.</t>
  </si>
  <si>
    <t>[Gorham, P. W.; Fox, B. D.; Hill, B.; Macchiarulo, L.; Matsuno, S.; Miki, C.; Roberts, J. M.; Rotter, B.; Russell, J. W.; Schoorlemmer, H.; Varner, G. S.] Univ Hawaii Manoa, Dept Phys &amp; Astron, Honolulu, HI 96822 USA; [Allison, P.; Banerjee, O.; Beatty, J. J.; Connolly, A.; Dailey, B.; Gordon, J. W. H.; Hughes, K.; Hupe, R.; Stafford, S.; Sutherland, M. S.] Ohio State Univ, Dept Phys, Ctr Cosmol &amp; AstroParticle Phys, 174 W 18th Ave, Columbus, OH 43210 USA; [Batten, L.; Cremonesi, L.; Nichol, R. J.] UCL, Dept Phys &amp; Astron, London WC1E 6BT, England; [Bechtol, K.; Deaconu, C.; Hughes, K.; Ludwig, A. B.; Oberla, E.; Vieregg, A. G.] Univ Chicago, Enrico Fermi Inst, Dept Phys, Kavli Inst Cosmol Phys, Chicago, IL 60637 USA; [Bechtol, K.] LSST, 950 North Cherry Ave, Tucson, AZ 85721 USA; [Belov, K.; Liewer, K. M.; Naudet, C.; Romero-Wolf, A.] Jet Prop Lab, Pasadena, CA 91109 USA; [Besson, D. Z.; Novikov, A.; Prohira, S.; Stockham, J.; Stockham, M.] Univ Kansas, Dept Phys &amp; Astron, Lawrence, KS 66045 USA; [Besson, D. Z.; Novikov, A.] Moscow Engn Phys Inst, Moscow 115409, Russia; [Binns, W. R.; Bugaev, V.; Dowkontt, P. F.; Israel, M. H.; Rauch, B. F.] Washington Univ, Dept Phys, McDonnell Ctr Space Sci, St Louis, MO 63130 USA; [Cao, P.; Clem, J. M.; Mulrey, K.; Seckel, D.] Univ Delaware, Dept Phys, Newark, DE 19716 USA; [Chen, C. C.; Chen, C. H.; Chen, P.; Hsu, S. Y.; Huang, J. J.; Liu, T. C.; Nam, J.; Shiao, J.; Wang, S. H.] Natl Taiwan Univ, Grad Inst Astrophys, Dept Phys, Taipei 10617, Taiwan; [Chen, C. C.; Chen, C. H.; Chen, P.; Hsu, S. Y.; Huang, J. J.; Liu, T. C.; Nam, J.; Shiao, J.; Wang, S. H.] Natl Taiwan Univ, Leung Ctr Cosmol &amp; Particle Astrophys, Taipei 10617, Taiwan; [Hast, C.] SLAC Natl Accelerator Lab, Menlo Pk, CA 94025 USA; [Mulrey, K.] Vrije Univ Brussel, Astrophys Inst, Pl Laan 2, B-1050 Brussels, Belgium; [Roberts, J. M.] Univ Calif San Diego, Ctr Astrophys &amp; Space Sci, La Jolla, CA 92093 USA; [Saltzberg, D.; Strutt, B.] Univ Calif Los Angeles, Dept Phys &amp; Astron, Los Angeles, CA 90095 USA; [Schoorlemmer, H.] Max Planck Inst Kernphys, D-69117 Heidelberg, Germany; [Wissel, S. A.] Calif Polytech State Univ San Luis Obispo, Phys Dept, San Luis Obispo, CA 93407 USA</t>
  </si>
  <si>
    <t>University of Hawaii System; University of Hawaii Manoa; University System of Ohio; Ohio State University; University of London; University College London; University of Chicago; National Aeronautics &amp; Space Administration (NASA); NASA Jet Propulsion Laboratory (JPL); University of Kansas; National Research Nuclear University MEPhI (Moscow Engineering Physics Institute); Washington University (WUSTL); University of Delaware; National Taiwan University; National Taiwan University; Stanford University; United States Department of Energy (DOE); SLAC National Accelerator Laboratory; Vrije Universiteit Brussel; University of California System; University of California San Diego; University of California System; University of California Los Angeles; Max Planck Society; California State University System; California Polytechnic State University San Luis Obispo</t>
  </si>
  <si>
    <t>Gorham, PW (corresponding author), Univ Hawaii Manoa, Dept Phys &amp; Astron, Honolulu, HI 96822 USA.</t>
  </si>
  <si>
    <t>Schoorlemmer, Harm/AAA-5604-2020; Huang, Jian Jang/L-9953-2016; Novikov, Alexander S/L-7538-2016; Nichol, Ryan/C-1645-2008; Belov, Konstantin V/D-2520-2013; Chen, Pisin/IAO-8769-2023; Beatty, James/D-9310-2011</t>
  </si>
  <si>
    <t>Schoorlemmer, Harm/0000-0002-8999-9249; Nichol, Ryan/0000-0003-0557-0443; Belov, Konstantin V/0000-0002-8861-110X; Chen, Pisin/0000-0001-5251-7210; Beatty, James/0000-0003-0481-4952; Mulrey, Katharine/0000-0001-8026-8020; Macchiarulo, Luca/0009-0004-1141-0344; Ludwig, Andrew/0000-0001-9038-4375; Allison, Patrick/0000-0001-8141-2653; Deaconu, Cosmin/0000-0002-4953-6397; Gorham, Peter/0000-0002-0923-9363; Hughes, Kaeli/0000-0002-4551-9581; Novikov, Alexander/0000-0002-1086-7252; Wissel, Stephanie/0000-0003-0569-6978; Cremonesi, Linda/0000-0003-0711-1056</t>
  </si>
  <si>
    <t>National Science Foundation through CAREER Grant [1255557]; Cosmology and Astroparticle Student and Postdoc Exchange Network; Leverhulme Trust; Taiwan Ministry of Science and Technology under its Vanguard Program [106-2119-M-002-011]; Kavli Institute for Cosmological Physics at the University of Chicago; Division Of Physics; Direct For Mathematical &amp; Physical Scien [1255557] Funding Source: National Science Foundation; STFC [PP/E006876/1, ST/N000285/1] Funding Source: UKRI</t>
  </si>
  <si>
    <t>National Science Foundation through CAREER Grant; Cosmology and Astroparticle Student and Postdoc Exchange Network; Leverhulme Trust(Leverhulme Trust); Taiwan Ministry of Science and Technology under its Vanguard Program; Kavli Institute for Cosmological Physics at the University of Chicago(University of Chicago); Division Of Physics; Direct For Mathematical &amp; Physical Scien(National Science Foundation (NSF)NSF - Directorate for Mathematical &amp; Physical Sciences (MPS)); STFC(UK Research &amp; Innovation (UKRI)Science &amp; Technology Facilities Council (STFC))</t>
  </si>
  <si>
    <t>We would like to thank the NASA and the National Science Foundation. We would especially like to thank the staff of the Columbia Scientific Balloon Facility and the logistical support staff enabling us to perform our work in Antarctica. We are deeply indebted to those who dedicate their careers to help make our science possible in such remote environments. This work was supported by the Kavli Institute for Cosmological Physics at the University of Chicago. Computing resources were provided by the University of Chicago Research Computing Center and the Ohio Supercomputing Center at The Ohio State University. A. C. would like to thank the National Science Foundation for their support through CAREER Grant No. 1255557. O. B. and L. C.'s work was also supported by collaborative visits funded by the Cosmology and Astroparticle Student and Postdoc Exchange Network. The University College London group was also supported by the Leverhulme Trust. The Taiwan team is supported by Taiwan Ministry of Science and Technology under its Vanguard Program No. 106-2119-M-002-011.</t>
  </si>
  <si>
    <t>JUL 2</t>
  </si>
  <si>
    <t>10.1103/PhysRevD.98.022001</t>
  </si>
  <si>
    <t>GL2IE</t>
  </si>
  <si>
    <t>WOS:000436942400001</t>
  </si>
  <si>
    <t>Gryz, P; Gerlée, A; Korczak-Abshire, M</t>
  </si>
  <si>
    <t>Gryz, Piotr; Gerlee, Alina; Korczak-Abshire, Malgorzata</t>
  </si>
  <si>
    <t>New breeding site and records of king penguins (Aptenodytes patagonicus) on King George Island (South Shetlands, Western Antarctic)</t>
  </si>
  <si>
    <t>King penguins; Climate change; Breeding range extension; Antarctic Peninsula region</t>
  </si>
  <si>
    <t>CLIMATE-CHANGE; POPULATION; PENINSULA; RANGE; EXPLOITATION; RECOVERY; GENTOO</t>
  </si>
  <si>
    <t>The king penguin (Aptenodytes patagonicus) is a pelagic species that breeds on sub-Antarctic islands relatively close to the Antarctic polar front. After a significant decline at the beginning of the twentieth century because of widespread exploitation by sealers, the species' numbers are currently increasing, with observed local fluctuations. There has also been an increase in the number of sightings in the Antarctic, and recorded breeding attempts in this area. Here we present the history of observations of king penguins from 1977 to 2017 in two Antarctic Specially Protected Areas: ASPA No. 128 Western Shore of Admiralty Bay, and No. 151 Lions Rump, King George Island, South Shetland Islands (Western Antarctic). Additionally, we report on a new breeding site at Lions Rump, the third known breeding site for this species in the South Shetland Islands. Together with observations from other parts of the archipelago, the information in this study supports earlier suggestions of a southerly expansion of this species and of attempts to colonise the Antarctic Peninsula region.</t>
  </si>
  <si>
    <t>[Gryz, Piotr] Polish Acad Sci, Inst Paleobiol, Twarda 51-55, PL-00818 Warsaw, Poland; [Gerlee, Alina] Univ Warsaw, Fac Geog &amp; Reg Studies, Dept Geoecol, Krakowskie Przedmiescie 30, PL-00927 Warsaw, Poland; [Korczak-Abshire, Malgorzata] Polish Acad Sci, Inst Biochem &amp; Biophys, Dept Antarctic Biol, Pawinskiego 5a, PL-02106 Warsaw, Poland</t>
  </si>
  <si>
    <t>Polish Academy of Sciences; Institute of Paleobiology of the Polish Academy of Sciences; University of Warsaw; Polish Academy of Sciences; Institute of Biochemistry &amp; Biophysics - Polish Academy of Sciences</t>
  </si>
  <si>
    <t>Korczak-Abshire, M (corresponding author), Polish Acad Sci, Inst Biochem &amp; Biophys, Dept Antarctic Biol, Pawinskiego 5a, PL-02106 Warsaw, Poland.</t>
  </si>
  <si>
    <t>mka@ibb.waw.pl</t>
  </si>
  <si>
    <t>Korczak-Abshire, Malgorzata/AAA-1563-2020</t>
  </si>
  <si>
    <t>Korczak-Abshire, Malgorzata/0000-0001-7695-0588; Gerlee, Alina/0000-0002-2123-7336</t>
  </si>
  <si>
    <t>Polish-Norwegian Research Programme [197810]; CCAMLR (Commission for the Conservation of Antarctic Marine Living Resources) Ecosystem Monitoring Program Special Fund</t>
  </si>
  <si>
    <t>Polish-Norwegian Research Programme; CCAMLR (Commission for the Conservation of Antarctic Marine Living Resources) Ecosystem Monitoring Program Special Fund</t>
  </si>
  <si>
    <t>Y Gracious thanks to Drs Wiesawa Misiak, Marco Favero and Marek Kejna for constructive comments during manuscript preparation and proofreading. The authors would also like to thank Mrs aneta Bartosiska for assistance with the reference collection, and all the Polish Antarctic Programme members who, often with great sacrifice, conducted field observations of this species: A. Gasek, A. Grabieniow, Prof. A. Gadzicki, A. Kidawa, A. Ndzarek, T. karski, P. Angiel, A. Barcikowski, A. Body, J. Czarnul, J. Dzido, M. Figielski, S. Gleich, D. Gorniak, P. Horzela, B. Jerzak, P. Kapuciski, J. Koczak, A. Latusek, E. Libera, R. abno, T. Mieczan, J. Piszczek, I. Sobota, M. wietlik, L. Urbaski and M. Witczak. We thank the anonymous reviewers for their friendly and constructive criticism and remarks, which have greatly improved our manuscript. This research was partially financed by the Polish-Norwegian Research Programme operated by the National Centre for Research and Development under the Norwegian Financial Mechanism 2009-2014 in the frame of Project Contract No. 197810. Hardware, RECONYX PC800 Hyper Fire Professional Semi-Covert Cameras, was funded with the generous support of the CCAMLR (Commission for the Conservation of Antarctic Marine Living Resources) Ecosystem Monitoring Program Special Fund. The data used in the paper were collected while based at Henryk Arctowski Polish Antarctic Station.</t>
  </si>
  <si>
    <t>JUL</t>
  </si>
  <si>
    <t>10.1017/S0032247418000554</t>
  </si>
  <si>
    <t>HM9EI</t>
  </si>
  <si>
    <t>WOS:000459785300004</t>
  </si>
  <si>
    <t>Krmpotic, CM; Loza, CM; Negrete, J; Scarano, AC; Carlini, AA; Guerrero, A; Barbeito, CG</t>
  </si>
  <si>
    <t>Mariana Krmpotic, Cecilia; Mara Loza, Cleopatra; Negrete, Javier; Carlos Scarano, Alejo; Armando Carlini, Alfredo; Guerrero, Alicia; Gustavo Barbeito, Claudio</t>
  </si>
  <si>
    <t>Integument in Antarctic seals: A comparative study and its relation to extreme environments</t>
  </si>
  <si>
    <t>ACTA ZOOLOGICA</t>
  </si>
  <si>
    <t>dermis; epidermis; histology; Pinnipedia; skin; thermoregulation</t>
  </si>
  <si>
    <t>MIROUNGA-LEONINA; MAMMALIAN INSULATION; THERMAL-PROPERTIES; ELEPHANT SEAL; FATTY-ACIDS; BLUBBER; SKIN; STRATIFICATION; EVOLUTION; EPIDERMIS</t>
  </si>
  <si>
    <t>Due to the semi-aquatic lifestyle of seals and the extreme climates they inhabit, their integumentary system has aroused the curiosity of several authors for more than a century. The aim of this contribution was to perform an exhaustive histological description of the integument Antarctic seals through different methodological approaches in a comparative framework. The species considered include the ice-obligateWeddell (Leptonychotes weddellii) and leopard (Hydrurga leptonyx) sealand the ice-tolerant, and southern elephant seal (Mirounga leonina). In addition, we attempted to link the histological features to their different lifestyles. All three species showed features related to their amphibious lifestyle (i.e., parakeratotic epidermis with abundant melanin granules, dermis with numerous arteriovenous anastomoses and a great amount of elastic fibres). In aquatic mammals, parakeratosis would decrease cellular replacement, the great amount of melanin is related to the high exposure to solar radiation, the presence of arteriovenous anastomoses is related to thermoregulatory mechanisms, and the presence of elastic fibres is due to variations of thickness in the adipose tissue that requires high elasticity of the dermis.</t>
  </si>
  <si>
    <t>[Mariana Krmpotic, Cecilia; Mara Loza, Cleopatra; Carlos Scarano, Alejo; Armando Carlini, Alfredo; Gustavo Barbeito, Claudio] Consejo Nacl Invest Cient &amp; Tecn, La Plata, Buenos Aires, Argentina; [Mariana Krmpotic, Cecilia; Mara Loza, Cleopatra; Carlos Scarano, Alejo; Armando Carlini, Alfredo] Museo La Plata, Div Paleontol Vertebrados, La Plata, Buenos Aires, Argentina; [Mariana Krmpotic, Cecilia; Mara Loza, Cleopatra; Gustavo Barbeito, Claudio] Univ Nacl La Plata, Catedra Histol &amp; Embriol, Fac Ciencias Vet, La Plata, Buenos Aires, Argentina; [Negrete, Javier] Inst Antartico Argentino, Dept Biol Predadores Tope, Buenos Aires, DF, Argentina; [Negrete, Javier] Univ Nacl La Plata, Fac Ciencias Nat &amp; Museo, La Plata, Buenos Aires, Argentina; [Carlos Scarano, Alejo] Univ Nacl Avellaneda, Dept Ambiente &amp; Turismo, Avellaneda, Buenos Aires, Argentina; [Guerrero, Alicia] Univ New South Wales, Sch Biol Earth &amp; Environm Sci, Evolut &amp; Ecol Res Ctr, Mammal Lab, Sydney, NSW, Australia</t>
  </si>
  <si>
    <t>Consejo Nacional de Investigaciones Cientificas y Tecnicas (CONICET); National University of La Plata; Museo La Plata; National University of La Plata; Instituto Antartico Argentino; National University of La Plata; Museo La Plata; University of New South Wales Sydney</t>
  </si>
  <si>
    <t>Krmpotic, CM (corresponding author), Consejo Nacl Invest Cient &amp; Tecn, La Plata, Buenos Aires, Argentina.</t>
  </si>
  <si>
    <t>ckrmpotic_pv@fcnym.unlp.edu.ar</t>
  </si>
  <si>
    <t>Barbeito, Claudio/AAM-5227-2020</t>
  </si>
  <si>
    <t>Barbeito, Claudio/0000-0001-9459-138X; Negrete, Javier/0000-0001-6853-8307</t>
  </si>
  <si>
    <t>Universidad Nacional de La Plata [N-724]; Consejo Nacional de Investigaciones Cientificas y Tecnicas in Argentina [PIP CONICET 00806]; Instituto Antartico Argentino</t>
  </si>
  <si>
    <t>Universidad Nacional de La Plata(National University of La Plata); Consejo Nacional de Investigaciones Cientificas y Tecnicas in Argentina; Instituto Antartico Argentino</t>
  </si>
  <si>
    <t>Universidad Nacional de La Plata, Grant/Award Number: N-724; Consejo Nacional de Investigaciones Cientificas y Tecnicas in Argentina, Grant/Award Number: PIP CONICET 00806; Instituto Antartico Argentino</t>
  </si>
  <si>
    <t>0001-7272</t>
  </si>
  <si>
    <t>1463-6395</t>
  </si>
  <si>
    <t>ACTA ZOOL-STOCKHOLM</t>
  </si>
  <si>
    <t>Acta Zool.</t>
  </si>
  <si>
    <t>10.1111/azo.12212</t>
  </si>
  <si>
    <t>Anatomy &amp; Morphology; Zoology</t>
  </si>
  <si>
    <t>GJ0KS</t>
  </si>
  <si>
    <t>WOS:000434943900007</t>
  </si>
  <si>
    <t>Yang, L; Nadeau, K; Meija, J; Grinberg, P; Pagliano, E; Ardini, F; Grotti, M; Schlosser, C; Streu, P; Achterberg, EP; Sohrin, Y; Minami, T; Zheng, LJ; Wu, JF; Chen, GD; Ellwood, MJ; Turetta, C; Aguilar-Islas, A; Rember, R; Sarthou, G; Tonnard, M; Planquette, H; Matousek, T; Crum, S; Mester, Z</t>
  </si>
  <si>
    <t>Yang, Lu; Nadeau, Kenny; Meija, Juris; Grinberg, Patricia; Pagliano, Enea; Ardini, Francisco; Grotti, Marco; Schlosser, Christian; Streu, Peter; Achterberg, Eric P.; Sohrin, Yoshiki; Minami, Tomoharu; Zheng, Linjie; Wu, Jingfeng; Chen, Gedun; Ellwood, Michael J.; Turetta, Clara; Aguilar-Islas, Ana; Rember, Robert; Sarthou, Geraldine; Tonnard, Manon; Planquette, Helene; Matousek, Tomas; Crum, Steven; Mester, Zoltan</t>
  </si>
  <si>
    <t>Inter-laboratory study for the certification of trace elements in seawater certified reference materials NASS-7 and CASS-6</t>
  </si>
  <si>
    <t>ANALYTICAL AND BIOANALYTICAL CHEMISTRY</t>
  </si>
  <si>
    <t>Dissolved trace metals; Seawater; Certified reference material; Isotope dilution; HR-ICPMS; Flow injection analysis; Standard addition calibration</t>
  </si>
  <si>
    <t>PLASMA-MASS-SPECTROMETRY; ICP-MS; PACIFIC-OCEAN; SEA-WATER; METALS; PRECONCENTRATION; IRON; CADMIUM; COPPER; RESIN</t>
  </si>
  <si>
    <t>Certification of trace metals in seawater certified reference materials (CRMs) NASS-7 and CASS-6 is described. At the National Research Council Canada (NRC), column separation was performed to remove the seawater matrix prior to the determination of Cd, Cr, Cu, Fe, Pb, Mn, Mo, Ni, U, V, and Zn, whereas As was directly measured in 10-fold diluted seawater samples, and B was directly measured in 200-fold diluted seawater samples. High-resolution inductively coupled plasma mass spectrometry (HR-ICPMS) was used for elemental analyses, with double isotope dilution for the accurate determination of B, Cd, Cr, Cu, Fe, Pb, Mo, Ni, U, and Zn in seawater NASS-7 and CASS-6, and standard addition calibration for As, Co, Mn, and V. In addition, all analytes were measured using standard addition calibration with triple quadrupole (QQQ)-ICPMS to provide a second set of data at NRC. Expert laboratories worldwide were invited to contribute data to the certification of trace metals in NASS-7 and CASS-6. Various analytical methods were employed by participants including column separation, co-precipitation, and simple dilution coupled to ICPMS detection or flow injection analysis coupled to chemiluminescence detection, with use of double isotope dilution calibration, matrix matching external calibration, and standard addition calibration. Results presented in this study show that majority of laboratories have demonstrated their measurement capabilities for the accurate determination of trace metals in seawater. As a result of this comparison, certified/reference values and associated uncertainties were assigned for 14 elements in seawater CRMs NASS-7 and CASS-6, suitable for the validation of methods used for seawater analysis.</t>
  </si>
  <si>
    <t>[Yang, Lu; Nadeau, Kenny; Meija, Juris; Grinberg, Patricia; Pagliano, Enea; Mester, Zoltan] Natl Res Council Canada NRC, 1200 Montreal Rd, Ottawa, ON K1A 0R6, Canada; [Ardini, Francisco; Grotti, Marco] UG, Dept Chem &amp; Ind Chem, Via Dodecaneso 31, I-16146 Genoa, Italy; [Schlosser, Christian; Streu, Peter; Achterberg, Eric P.] GEOMAR Helmholtz Ctr Ocean Res GEOMAR, Wischhofstr 1-3, D-24148 Kiel, Germany; [Sohrin, Yoshiki; Minami, Tomoharu; Zheng, Linjie] Kyoto Univ KU, Inst Chem Res, Uji, Kyoto 6110011, Japan; [Wu, Jingfeng; Chen, Gedun] RSMAS, 4600 Rickenbacker Causeway, Miami, FL 33149 USA; [Wu, Jingfeng] Shenzhen Univ, Sch Biol &amp; Marine Sci, Shenzhen 518060, Guangdong, Peoples R China; [Ellwood, Michael J.] Australian Natl Univ, Res Sch Earth Sci, Canberra, ACT 2601, Australia; [Turetta, Clara] Natl Res Council Italy DEP, Inst Dynam Environm Proc, Via Torino 155, I-30172 Venice, VE, Italy; [Aguilar-Islas, Ana; Rember, Robert] UAF, CFOS IARC, Fairbanks, AK 99775 USA; [Sarthou, Geraldine; Tonnard, Manon; Planquette, Helene] UBO, IRD, IFREMER, CNRS,UMR 6539,Lab Sci Environm MARin LEMAR, Pl Nicolas Copern,Technopole Brest Iroise, F-29280 Plouzane, France; [Tonnard, Manon] Univ Tasmania, Inst Marine Antarctic Studies, 20 Castray Esplanade, Hobart, Tas 7004, Australia; [Matousek, Tomas] Czech Acad Sci IAC, Inst Analyt Chem, Veveri 97, Brno 60200, Czech Republic; [Crum, Steven] QUASIMEME, NL-6700 EC Wageningen, Netherlands; [Crum, Steven] Bornsesteeg 10, NL-6721 NG Ede, Netherlands</t>
  </si>
  <si>
    <t>National Research Council Canada; University of Genoa; Helmholtz Association; GEOMAR Helmholtz Center for Ocean Research Kiel; Shenzhen University; Australian National University; Consiglio Nazionale delle Ricerche (CNR); Istituto per la Dinamica dei Processi Ambientali (IDPA-CNR); Centre National de la Recherche Scientifique (CNRS); Ifremer; Institut de Recherche pour le Developpement (IRD); Universite de Bretagne Occidentale; University of Tasmania; Czech Academy of Sciences; Institute of Analytical Chemistry of the Czech Academy of Sciences</t>
  </si>
  <si>
    <t>Yang, L (corresponding author), Natl Res Council Canada NRC, 1200 Montreal Rd, Ottawa, ON K1A 0R6, Canada.</t>
  </si>
  <si>
    <t>Lu.yang@nrc-cnrc.gc.ca</t>
  </si>
  <si>
    <t>Ardini, Francisco/Q-1965-2017; Mester, Zoltan/A-8886-2019; Turetta, Clara/O-2849-2015; Achterberg, Eric P/C-5820-2009; Grotti, Marco/HGU-3949-2022; Matousek, Tomas/E-7226-2013; Meija, Juris/H-4445-2019; Yang, Jinlong/D-3465-2009; Ellwood, Michael J/G-7390-2011; Sohrin, Yoshiki/A-8133-2011</t>
  </si>
  <si>
    <t>Ardini, Francisco/0000-0003-0094-9227; Mester, Zoltan/0000-0002-2377-2615; Turetta, Clara/0000-0003-3130-2901; Grotti, Marco/0000-0001-6956-5761; Matousek, Tomas/0000-0002-7603-1773; Meija, Juris/0000-0002-3349-5535; Sarthou, Geraldine/0000-0001-6560-6669; Sohrin, Yoshiki/0000-0001-6744-6048; Yang, Lu/0000-0002-6896-8603; Minami, Tomoharu/0000-0001-6788-0434; Zheng, Linjie/0000-0002-5266-4939; Ellwood, Michael/0000-0003-4288-8530</t>
  </si>
  <si>
    <t>1618-2642</t>
  </si>
  <si>
    <t>1618-2650</t>
  </si>
  <si>
    <t>ANAL BIOANAL CHEM</t>
  </si>
  <si>
    <t>Anal. Bioanal. Chem.</t>
  </si>
  <si>
    <t>10.1007/s00216-018-1102-y</t>
  </si>
  <si>
    <t>Biochemical Research Methods; Chemistry, Analytical</t>
  </si>
  <si>
    <t>Biochemistry &amp; Molecular Biology; Chemistry</t>
  </si>
  <si>
    <t>GK9GE</t>
  </si>
  <si>
    <t>WOS:000436550200023</t>
  </si>
  <si>
    <t>Lam, HM; Spreen, G; Heygster, G; Melsheimer, C; Young, NW</t>
  </si>
  <si>
    <t>Lam, Hoi Ming; Spreen, Gunnar; Heygster, Georg; Melsheimer, Christian; Young, Neal W.</t>
  </si>
  <si>
    <t>Erroneous sea-ice concentration retrieval in the East Antarctic</t>
  </si>
  <si>
    <t>ANNALS OF GLACIOLOGY</t>
  </si>
  <si>
    <t>International Symposium on Polar Ice, Polar Climate, and Polar Change</t>
  </si>
  <si>
    <t>AUG 14-19, 2017</t>
  </si>
  <si>
    <t>Boulder, CO</t>
  </si>
  <si>
    <t>atmosphere/ice/ocean interactions; remote sensing; sea ice; sea-ice geophysics</t>
  </si>
  <si>
    <t>SURFACE; SNOW; SIGNATURES; SUMMER</t>
  </si>
  <si>
    <t>Large discrepancies have been observed between satellite-derived sea-ice concentrations(IC) from passive microwave remote sensing and those derived from optical images at several locations in the East Antarctic, between February and April 2014. These artefacts, that resemble polynyas in the IC maps, appear in areas where optical satellite data show that there is landfast sea ice. The IC datasets and the corresponding retrieval algorithms are investigated together with microwave brightness temperature, air temperature, snowfall and bathymetry to understand the failure of the IC retrieval. The artefacts are the result of the application of weather filters in retrieval algorithms. These filters use the 37 and 19 GHz channels to correct for atmospheric effects on the retrieval. These channels show significant departures from typical ranges when the artefacts occur. A melt-refreeze cycle with associated snow metamorphism is proposed as the most likely cause. Together, the areas of the artefacts account for up to 0.5% of the Antarctic sea-ice area and thus cause a bias in sea-IC time series. In addition, erroneous sea ICs can adversely affect shipping operations.</t>
  </si>
  <si>
    <t>[Lam, Hoi Ming; Spreen, Gunnar; Heygster, Georg; Melsheimer, Christian] Univ Bremen, Inst Environm Phys, Bremen, Germany; [Young, Neal W.] Univ Tasmania, Antarctic Climate &amp; Ecosyst Cooperat Res Ctr, Hobart, Tas, Australia</t>
  </si>
  <si>
    <t>University of Bremen; University of Tasmania; Antarctic Climate &amp; Ecosystems Cooperative Research Centre (ACE CRC)</t>
  </si>
  <si>
    <t>Spreen, G (corresponding author), Univ Bremen, Inst Environm Phys, Bremen, Germany.</t>
  </si>
  <si>
    <t>gunnar.spreen@uni-bremen.de</t>
  </si>
  <si>
    <t>Heygster, Georg C./B-4928-2014; Spreen, Gunnar/A-4533-2010</t>
  </si>
  <si>
    <t>Spreen, Gunnar/0000-0003-0165-8448; Young, Neal/0000-0001-9729-3273; Melsheimer, Christian/0000-0001-7578-6536</t>
  </si>
  <si>
    <t>ESA Climate Change Initiative, project on Sea Ice (SICCI-2); Deutsche Forschungsgemeinschaft (DFG) through grant SITAnt [SP 1128/2-1]</t>
  </si>
  <si>
    <t>ESA Climate Change Initiative, project on Sea Ice (SICCI-2); Deutsche Forschungsgemeinschaft (DFG) through grant SITAnt</t>
  </si>
  <si>
    <t>This project is financially supported by the ESA Climate Change Initiative, project on Sea Ice (SICCI-2) and by the Deutsche Forschungsgemeinschaft (DFG) in the framework of the priority programme 'Antarctic research with comparative investigations in Arctic ice areas' through grant SITAnt (SP 1128/2-1). AMSR-E and AMSR2 brightness temperatures were provided by the Earth Observation Research Centre, Japan Aerospace Exploration Agency (JAXA). ERA Interim data were provided by the European Centre for Medium-Range Weather Forecasts (ECMWF). AMSR-E Level 2A data were provided by NASA National Snow and Ice Data Center (NSIDC). Moderate Resolution Imaging Spectrometer (MODIS) corrected reflectance True Color images are available from the Worldview web application. We acknowledge the use of imagery provided by services from the Global Imagery Browse Services (GIBS), operated by the NASA/GSFC/Earth Science Data and Information System (ESDIS, https://earthdata.nasa.gov) with funding provided by NASA/HQ. We thank the two reviewers for very helpful comments that significantly improved the paper. We thank Larysa Istomina for discussions about the influence of katabatic winds on snow. Finally, we would like to acknowledge Patrice Godon of IPEV (Institut Polaire Francais Paul Emile Victor), France, whose enquiry whether there was a polynya there brought the artefact to our attention.</t>
  </si>
  <si>
    <t>0260-3055</t>
  </si>
  <si>
    <t>1727-5644</t>
  </si>
  <si>
    <t>ANN GLACIOL</t>
  </si>
  <si>
    <t>Ann. Glaciol.</t>
  </si>
  <si>
    <t>10.1017/aog.2018.1</t>
  </si>
  <si>
    <t>GP4HO</t>
  </si>
  <si>
    <t>WOS:000440821800012</t>
  </si>
  <si>
    <t>Jia, MH; Chen, YQ; Zhang, GY; Jiang, P; Zhang, H; Wang, J</t>
  </si>
  <si>
    <t>Jia, M-H; Chen, Y-Q; Zhang, G-Y; Jiang, P.; Zhang, H.; Wang, J.</t>
  </si>
  <si>
    <t>A web service framework for astronomical remote observation in Antarctica by using satellite link</t>
  </si>
  <si>
    <t>ASTRONOMY AND COMPUTING</t>
  </si>
  <si>
    <t>Web service; Remote astronomical observation; Satellite link; RTS2; WebSocket REDIS</t>
  </si>
  <si>
    <t>Many telescopes are deployed in Antarctica as it offers excellent astronomical observation conditions. However, because Antarctica's environment is harsh to humans, remote operation of telescope is necessary for observation. Furthermore, communication to devices in Antarctica through satellite link with low bandwidth and high latency limits the effectiveness of remote observation. This paper introduces a web service framework for remote astronomical observation in Antarctica. The framework is based on Python Tornado. RTS2-HTTPD and REDIS are used as the access interface to the telescope control system in Antarctica. The web service provides real-time updates through WebSocket. To improve user experience and control effectiveness under the poor satellite link condition, an agent server is deployed in the mainland to synchronize the Antarctic server's data and send it to domestic users in China. The agent server will forward the request of domestic users to the Antarctic master server. The web service was deployed and tested on Bright Star Survey Telescope (BSST) in Antarctica. Results show that the service meets the demands of real-time, multiuser remote observation and domestic users have a better experience of remote operation. (C) 2018 Elsevier B.V. All rights reserved.</t>
  </si>
  <si>
    <t>[Jia, M-H; Chen, Y-Q; Zhang, G-Y; Zhang, H.; Wang, J.] Univ Sci &amp; Technol China, Modern Phys Dept, Hefei 230026, Anhui, Peoples R China; [Jia, M-H; Chen, Y-Q; Zhang, G-Y; Zhang, H.; Wang, J.] Univ Sci &amp; Technol China, State Key Lab Particle Detect &amp; Elect, Hefei 230026, Anhui, Peoples R China; [Jiang, P.] Polar Res Inst China, Jinqiao Rd 451, Shanghai 200136, Peoples R China; [Jiang, P.] Univ Sci &amp; Technol China, Chinese Acad Sci, Key Lab Res Galaxies &amp; Cosmol, Hefei 230026, Anhui, Peoples R China</t>
  </si>
  <si>
    <t>Chinese Academy of Sciences; University of Science &amp; Technology of China, CAS; Chinese Academy of Sciences; University of Science &amp; Technology of China, CAS; Polar Research Institute of China; Chinese Academy of Sciences; University of Science &amp; Technology of China, CAS</t>
  </si>
  <si>
    <t>Wang, J (corresponding author), Univ Sci &amp; Technol China, Modern Phys Dept, Hefei 230026, Anhui, Peoples R China.</t>
  </si>
  <si>
    <t>wangjian@ustc.edu.cn</t>
  </si>
  <si>
    <t>WANG, Jian/B-8138-2013</t>
  </si>
  <si>
    <t>Antarctic Bright Star Survey Telescope project; Fundamental Research Funds for the Central Universities [WK2360000003, WK2030040064]; National Natural Science Funds of China [11603023, 11728509, 11773026]; Natural Science Funds of Anhui Province [1508085MA07]; Research Funds of the State Key Laboratory of Particle Detection and Electronics [SA2360000004, SA2360000002]; Fund for Fostering Talents in Basic Science of the National Natural Science Foundation of China [J1310021]; CAS Center for Excellence in Particle Physics</t>
  </si>
  <si>
    <t>Antarctic Bright Star Survey Telescope project; Fundamental Research Funds for the Central Universities(Fundamental Research Funds for the Central Universities); National Natural Science Funds of China(National Natural Science Foundation of China (NSFC)); Natural Science Funds of Anhui Province; Research Funds of the State Key Laboratory of Particle Detection and Electronics; Fund for Fostering Talents in Basic Science of the National Natural Science Foundation of China(National Natural Science Foundation of China (NSFC)); CAS Center for Excellence in Particle Physics</t>
  </si>
  <si>
    <t>We acknowledge the financial support from the Antarctic Bright Star Survey Telescope project; Fundamental Research Funds for the Central Universities (WK2360000003 and WK2030040064); National Natural Science Funds of China under Grant Nos. 11603023, 11728509, and 11773026; Natural Science Funds of Anhui Province under Grant No. 1508085MA07; Research Funds of the State Key Laboratory of Particle Detection and Electronics under Grant Nos. SA2360000004 and SA2360000002; Fund for Fostering Talents in Basic Science of the National Natural Science Foundation of China under Grant No. J1310021; and CAS Center for Excellence in Particle Physics.</t>
  </si>
  <si>
    <t>2213-1337</t>
  </si>
  <si>
    <t>2213-1345</t>
  </si>
  <si>
    <t>ASTRON COMPUT</t>
  </si>
  <si>
    <t>Astron. Comput.</t>
  </si>
  <si>
    <t>10.1016/j.ascom.2018.04.005</t>
  </si>
  <si>
    <t>Astronomy &amp; Astrophysics; Computer Science, Interdisciplinary Applications</t>
  </si>
  <si>
    <t>Astronomy &amp; Astrophysics; Computer Science</t>
  </si>
  <si>
    <t>GT1ZC</t>
  </si>
  <si>
    <t>WOS:000444276100002</t>
  </si>
  <si>
    <t>Kalberer, S; Meise, K; Trillmich, F; Krüger, O</t>
  </si>
  <si>
    <t>Kalberer, Stephanie; Meise, Kristine; Trillmich, Fritz; Krueger, Oliver</t>
  </si>
  <si>
    <t>Reproductive performance of a tropical apex predator in an unpredictable habitat</t>
  </si>
  <si>
    <t>BEHAVIORAL ECOLOGY AND SOCIOBIOLOGY</t>
  </si>
  <si>
    <t>El Nino; Fecundity; Female life history; Galapagos sea lion; Life history trade-off; Tropical habitat</t>
  </si>
  <si>
    <t>ANTARCTIC FUR SEALS; LIFE-HISTORY; EL-NINO; SITE FIDELITY; ENVIRONMENTAL-CONDITIONS; ARCTOCEPHALUS-PUSILLUS; INDIVIDUAL VARIATION; POPULATION-DYNAMICS; MATERNAL INVESTMENT; FITNESS COMPONENTS</t>
  </si>
  <si>
    <t>Variation in life history traits is directly linked to individual fitness. This interplay is complicated by environmental perturbations in an unpredictable habitat. To maximise fitness, individuals react to environmental changes by reallocating resources between maintenance, growth and reproduction. Disentangling these factors is complicated as traits are interlinked by trade-offs between current reproduction and future survival and reproduction. This study provides first estimates of life history traits and trade-offs of a tropical apex predator, the Galapagos sea lion (Zalophus wollebaeki), in an unpredictable habitat, the Galapagos archipelago. Thirteen years of individual data on birth mass, early growth and offspring, and environmental data allowed the examination of factors influencing reproductive performance of adult females and calculation of pupping rates. Females became primiparous between ages 4 and 9. Neither oceanographic nor body condition in the females' first year of life influenced age at primiparity. Age at primiparity had no effect on a female's birth rate, on average one pup every 2 years. Sex of a pup did not influence the subsequent inter-birth interval, but first-year pup survival lengthened it. Until age 6, females showed lower birth rate (&lt; 0.40). Fecundity was higher between age 6 and 14 (birth rate 0.40-0.48). We could not detect an influence of inter-annually differing oceanographic conditions on pupping rates. Female Galapagos sea lions appear to deal with variation in early-life history traits and environmental unpredictability by a low but stable reproductive output modified only by the trade-off between current and future reproduction. Life history traits and trade-offs have been examined in many species in temperate regions and in seasonal but predictable tropical habitats. However, they have rarely been investigated in long-lived species in tropical but unpredictable habitats, where the interplay between life history traits, individual fitness and population demography may be more complex. Our long-term dataset for Galapagos sea lion females, a tropical apex predator, shows that the trade-off between current and future reproduction figures prominently in their life history. However, they produce a low, but stable reproductive output largely unaffected by variation in early life history traits and largely independent of environmental unpredictability.</t>
  </si>
  <si>
    <t>[Kalberer, Stephanie; Trillmich, Fritz; Krueger, Oliver] Univ Bielefeld, Anim Behav, Morgenbreede 45, D-33615 Bielefeld, Germany; [Meise, Kristine] Univ Liverpool, Inst Integrat Biol, Mammalian Behav &amp; Evolut, Leahurst Campus,Chester High Rd, Neston CH64 7TE, England</t>
  </si>
  <si>
    <t>University of Bielefeld; University of Liverpool</t>
  </si>
  <si>
    <t>Kalberer, S (corresponding author), Univ Bielefeld, Anim Behav, Morgenbreede 45, D-33615 Bielefeld, Germany.</t>
  </si>
  <si>
    <t>stephanie.kalberer@uni-bielefeld.de</t>
  </si>
  <si>
    <t>Kalberer, Stephanie/0000-0003-2101-2484</t>
  </si>
  <si>
    <t>Volkswagen-Stiftung; Friends of the Galapagos (Switzerland); German Research Foundation (DFG) [TR 105/18-1, TR 105/18-2, KR 2089/10-1]</t>
  </si>
  <si>
    <t>Volkswagen-Stiftung(Volkswagen); Friends of the Galapagos (Switzerland); German Research Foundation (DFG)(German Research Foundation (DFG))</t>
  </si>
  <si>
    <t>The study was supported by the Volkswagen-Stiftung (2003-2004), the Friends of the Galapagos (Switzerland) (2005) and the German Research Foundation (DFG; TR 105/18-1 and 18-2; 2006-2014; KR 2089/10-1; 2015-2018). This publication is contribution number 2201 of the Charles Darwin Foundation for the Galapagos Islands.</t>
  </si>
  <si>
    <t>0340-5443</t>
  </si>
  <si>
    <t>1432-0762</t>
  </si>
  <si>
    <t>BEHAV ECOL SOCIOBIOL</t>
  </si>
  <si>
    <t>Behav. Ecol. Sociobiol.</t>
  </si>
  <si>
    <t>10.1007/s00265-018-2521-7</t>
  </si>
  <si>
    <t>Behavioral Sciences; Ecology; Zoology</t>
  </si>
  <si>
    <t>Behavioral Sciences; Environmental Sciences &amp; Ecology; Zoology</t>
  </si>
  <si>
    <t>GJ4EV</t>
  </si>
  <si>
    <t>WOS:000435334100001</t>
  </si>
  <si>
    <t>Wang, LS; Chen, C; Ma, X; Du, JS</t>
  </si>
  <si>
    <t>Wang LinSong; Chen Chao; Ma Xian; Du JinSong</t>
  </si>
  <si>
    <t>Sea level fingerprints of ice sheet melting and its impacts on monitoring results of GRACE</t>
  </si>
  <si>
    <t>CHINESE JOURNAL OF GEOPHYSICS-CHINESE EDITION</t>
  </si>
  <si>
    <t>Chinese</t>
  </si>
  <si>
    <t>Ice sheet melting; Sea level fingerprint; GRACE; Leakage correction</t>
  </si>
  <si>
    <t>TIME-VARIABLE GRAVITY; MASS-BALANCE; RISE; SURFACE; EARTH; GREENLAND; ACCELERATION; VARIABILITY; ALTIMETRY; ISOSTASY</t>
  </si>
  <si>
    <t>The sea level contribution from ice sheet melting has been accelerating due to the global warming. Ice sheet mass change can directly pose impacts on terrestrial water mass balance and instantaneous elastic response of the solid earth. Study on sea level fingerprints caused by ice sheets change can help us to understand the drivers of future sea level changes. In this study, we perform forward modeling of the relative sea level (RSL) changes based on sea level equation, self-attraction and loading (SAL) effects. Using monthly GRACE gravity field solution of Release 5 (RL05) products from CSR, spanning 10 years between 2003 and 2012, the spatial and temporal distribution of ice sheets balance in Greenland and Antarctica are estimated by averaging kernel based on weighted Gaussian convolution, and then RSL spatial variation is computed by solving sea level equation. The results indicate that the total ice sheet mass in Greenland and Antarctica has melted significantly, respectively, at change rates of - 273. 31 and -155. 56 Gt/a, which has resulted in RSL decease of the entire Arctic Circle, with maximum negative value about -0. 6 cm . a(-1). There are mixed trends in ice sheets mass of the Antarctic region, which resulted in RSL decease of West Antarctica but increase of East Antarctica, with a maximum positive value about 0. 2 cm . a(-1) . The far-field peak increase is less dependent on the precise pattern of mass loading and the average global RSL raised by 0. 71 mm. a(-1). This has a marked effect on the zonal distribution of RSL, resulting in maxima around the coastlines of North America and Australia. In this region the increase is about 30% higher than the eustatic value. In addition, this paper also discusses the influence from sea level changes in coastal areas leakage caused by ice sheet melting estimated by GRACE. The results after leakage effects of offshore sea level are removed show that the sea level fingerprint contributions from ice sheet melting leakage in GRACE detecting mass changes in Greenland and Antarctica are 3% and 9% during 2003 to 2012, respectively. This study suggests that the leakage effects of the sea level fingerprints should be taken into account when using GRACE to accurately estimate ice sheet mass balance in the further work.</t>
  </si>
  <si>
    <t>[Wang LinSong; Chen Chao; Ma Xian; Du JinSong] China Univ Geosci, Inst Geophys &amp; Geomat, Hubei Subsurface Multiscale Imaging Key Lab, Wuhan 430074, Hubei, Peoples R China</t>
  </si>
  <si>
    <t>China University of Geosciences</t>
  </si>
  <si>
    <t>Wang, LS (corresponding author), China Univ Geosci, Inst Geophys &amp; Geomat, Hubei Subsurface Multiscale Imaging Key Lab, Wuhan 430074, Hubei, Peoples R China.</t>
  </si>
  <si>
    <t>wanglinsong@cug.edu.cn</t>
  </si>
  <si>
    <t>0001-5733</t>
  </si>
  <si>
    <t>CHINESE J GEOPHYS-CH</t>
  </si>
  <si>
    <t>Chinese J. Geophys.-Chinese Ed.</t>
  </si>
  <si>
    <t>10.6038/cjg2018L0335</t>
  </si>
  <si>
    <t>GN2OQ</t>
  </si>
  <si>
    <t>WOS:000438837800004</t>
  </si>
  <si>
    <t>Podgórski, J; Petlicki, M; Kinnard, C</t>
  </si>
  <si>
    <t>Podgorski, Julian; Petlicki, Michal; Kinnard, Christophe</t>
  </si>
  <si>
    <t>Revealing recent calving activity of a tidewater glacier with terrestrial LiDAR reflection intensity</t>
  </si>
  <si>
    <t>COLD REGIONS SCIENCE AND TECHNOLOGY</t>
  </si>
  <si>
    <t>LiDAR; LiDAR intensity; Tidewater glacier; Calving; South Shetland Islands; Antarctica</t>
  </si>
  <si>
    <t>SEA-LEVEL RISE; SOUTH SHETLAND ISLANDS; ANTARCTIC PENINSULA; RADIOMETRIC CALIBRATION; ABLATION ZONE; MASS-BALANCE; SNOW DEPTH; GREENLAND; ACCURACY; SURFACE</t>
  </si>
  <si>
    <t>In this work we propose a method of estimating the age of calving events of a tidewater glacier based on 3D point clouds. Terrestrial LiDAR scans of the calving front of Fuerza Aerea Glacier (Greenwich Island, South Shetland Islands, Antarctica) were analyzed to determine the timing of the ice face exposure by calving events. Median reflection intensity of laser beam within a calving event footprint (I) was shown to be the best proxy measure of the ice exposure time (t(LC)). Point clouds were used in concert with information about calving location to create a mathematical model of the intensity-time relationship. An exponential function in the form of I = a . exp(b/ t(LC)) + c has been shown to describe the relationship between median reflection intensity and time elapsed since the last calving event in a given part of the glacier. The model explains over 60% of the variability in reflection intensity between calving events. The shape of the model curve limits the prediction capability to events occurring up to 3 days before a scan. Development of weathered or superimposed ice on the calving scars is proposed as the explanation for increase of ice reflectivity with time.</t>
  </si>
  <si>
    <t>[Podgorski, Julian] Polish Acad Sci, Inst Geophys, Ul Ksiecia Janusza 64, PL-01459 Warsaw, Poland; [Petlicki, Michal] Ctr Estudios Cient, Glaciol Lab, Arturo Prat 514, Valdivia, Chile; [Kinnard, Christophe] Univ Quebec Trois Rivieres, 3351 Blvd Forges,CP 500, Trois Rivieres, PQ G9A 5H7, Canada</t>
  </si>
  <si>
    <t>Polish Academy of Sciences; Institute of Geophysics of the Polish Academy of Sciences; University of Quebec; University of Quebec Trois Rivieres</t>
  </si>
  <si>
    <t>Podgórski, J (corresponding author), Polish Acad Sci, Inst Geophys, Ul Ksiecia Janusza 64, PL-01459 Warsaw, Poland.</t>
  </si>
  <si>
    <t>jpodgo@igf.edu.pl; michal@cecs.cl; christophe.kinnard@uqtr.ca</t>
  </si>
  <si>
    <t>Petlicki, Michal/GPC-5755-2022; Kinnard, Christophe/AAI-2468-2020; Petlicki, Michal/H-7901-2016</t>
  </si>
  <si>
    <t>Kinnard, Christophe/0000-0002-4553-5258; Petlicki, Michal/0000-0003-3383-2586; Podgorski, Julian/0000-0001-5604-3462</t>
  </si>
  <si>
    <t>Chilean National Antarctic Institute (INACH) grant [RT_12-12]; Ministry of Science and Higher Education of Poland [3841/E-41/S/2017]; CECs - Centers of Excellence Base Financing Program of the Comision Nacional de Investigacion Cientifica y Tecnologica (CONICYT-Chile); Natural Sciences and Engineering Research Council of Canada [RGPIN-2015-03844]</t>
  </si>
  <si>
    <t>Chilean National Antarctic Institute (INACH) grant; Ministry of Science and Higher Education of Poland(Ministry of Science and Higher Education, Poland); CECs - Centers of Excellence Base Financing Program of the Comision Nacional de Investigacion Cientifica y Tecnologica (CONICYT-Chile); Natural Sciences and Engineering Research Council of Canada(Natural Sciences and Engineering Research Council of Canada (NSERC)CGIAR)</t>
  </si>
  <si>
    <t>We thank Sandro Zambra for the processing of video data, Jakob Abermann and the staff of Chilean Navy Antarctic Base Arturo Prat for support in data collection. This study was funded by the Chilean National Antarctic Institute (INACH) grant RT_12-12 and, within statutory activities, Grant No. 3841/E-41/S/2017 of the Ministry of Science and Higher Education of Poland. MP was partially supported by CECs, funded by the Centers of Excellence Base Financing Program of the Comision Nacional de Investigacion Cientifica y Tecnologica (CONICYT-Chile). CK is funded by the Natural Sciences and Engineering Research Council of Canada grant RGPIN-2015-03844. We also thank the reviewers of the first manuscript of this article. Their comments have had a significant, positive impact on the article.</t>
  </si>
  <si>
    <t>0165-232X</t>
  </si>
  <si>
    <t>1872-7441</t>
  </si>
  <si>
    <t>COLD REG SCI TECHNOL</t>
  </si>
  <si>
    <t>Cold Reg. Sci. Tech.</t>
  </si>
  <si>
    <t>10.1016/j.coldregions.2018.03.003</t>
  </si>
  <si>
    <t>Engineering, Environmental; Engineering, Civil; Geosciences, Multidisciplinary</t>
  </si>
  <si>
    <t>GG4QV</t>
  </si>
  <si>
    <t>WOS:000432682200028</t>
  </si>
  <si>
    <t>Hawkings, JR; Benning, LG; Raiswell, R; Kaulich, B; Araki, T; Abyaneh, M; Stockdale, A; Koch-Müller, M; Wadham, JL; Tranter, M</t>
  </si>
  <si>
    <t>Hawkings, Jon R.; Benning, Liane G.; Raiswell, Rob; Kaulich, Burkhard; Araki, Tohru; Abyaneh, Majid; Stockdale, Anthony; Koch-Mueller, Monika; Wadham, Jemma L.; Tranter, Martyn</t>
  </si>
  <si>
    <t>Biolabile ferrous iron bearing nanoparticles in glacial sediments</t>
  </si>
  <si>
    <t>glaciers; Arctic; iron; biological pump; export-productivity; sediment</t>
  </si>
  <si>
    <t>POTENTIALLY BIOAVAILABLE IRON; ANTARCTIC ICE-SHEET; PHYTOPLANKTON BLOOMS; 2-LINE FERRIHYDRITE; GREEN RUST; MELTWATER; DUST; SEA; SOLUBILITY; SPECIATION</t>
  </si>
  <si>
    <t>Glaciers and ice sheets are a significant source of nanoparticulate Fe, which is potentially important in sustaining the high productivity observed in the near-coastal regions proximal to terrestrial ice cover. However, the bioavailability of particulate iron is poorly understood, despite its importance in the ocean Fe inventory. We combined high-resolution imaging and spectroscopy to investigate the abundance, morphology and valence state of particulate iron in glacial sediments. Our results document the widespread occurrence of amorphous and Fe(II)-rich and Fe(II)-bearing nanoparticles in Arctic glacial meltwaters and iceberg debris, compared to Fe(III)-rich dominated particulates in an aeolian dust sample. Fe(II) is thought to be highly biolabile in marine environments. Our work shows that glacially derived Fe is more labile than previously assumed, and consequently that glaciers and ice sheets are therefore able to export potentially bioavailable Fe(II)-containing nanoparticulate material to downstream ecosystems, including those in a marine setting. Our findings provide further evidence that Greenland Ice Sheet meltwaters may provide biolabile particulate Fe that may fuel the large summer phytoplankton bloom in the Labrador Sea, and that Fe(II)-rich particulates from a region of very high productivity downstream of a polar ice sheet may be glacial in origin. (C) 2018 The Author(s). Published by Elsevier B.V.</t>
  </si>
  <si>
    <t>[Hawkings, Jon R.; Wadham, Jemma L.; Tranter, Martyn] Univ Bristol, Bristol Glaciol Ctr, Sch Geog Sci, Univ Rd, Bristol BS8 1SS, Avon, England; [Benning, Liane G.; Koch-Mueller, Monika] German Res Ctr Geosci GFZ, Dept 4, D-14473 Potsdam, Germany; [Benning, Liane G.; Raiswell, Rob; Stockdale, Anthony] Univ Leeds, Sch Earth &amp; Environm, Cohen Lab, Maths Earth &amp; Environm Bldg, Leeds LS2 9JT, W Yorkshire, England; [Benning, Liane G.] Free Univ Berlin, Dept Earth Sci, D-12249 Berlin, Germany; [Kaulich, Burkhard; Araki, Tohru; Abyaneh, Majid] Diamond Light Source, Diamond House,Harwell Sci &amp; Innovat Campus, Didcot OX11 0DE, Oxon, England</t>
  </si>
  <si>
    <t>University of Bristol; Helmholtz Association; Helmholtz-Center Potsdam GFZ German Research Center for Geosciences; University of Leeds; Free University of Berlin; Diamond Light Source</t>
  </si>
  <si>
    <t>Hawkings, JR (corresponding author), Univ Bristol, Bristol Glaciol Ctr, Sch Geog Sci, Univ Rd, Bristol BS8 1SS, Avon, England.</t>
  </si>
  <si>
    <t>jon.hawkings@bristol.ac.uk</t>
  </si>
  <si>
    <t>Koch-Muller, Monika/JHT-1728-2023; Araki, Tohru/KFQ-2366-2024; Wadham, Jemma L/G-3138-2014; Benning, Liane G/E-7071-2011; Stockdale, Anthony/A-4465-2009; Tranter, Martyn/E-3722-2010; Araki, Tohru/K-9301-2015</t>
  </si>
  <si>
    <t>Stockdale, Anthony/0000-0002-1603-0103; Kazemian, Majid/0000-0003-3754-8654; Hawkings, Jon/0000-0003-4813-8474; Tranter, Martyn/0000-0003-2071-3094; Araki, Tohru/0000-0002-2689-4642</t>
  </si>
  <si>
    <t>Diamond Light Source [SP11016]; UK NERC [NE/I008845/1, NE/J022365/1]; NERC [NE/I008845/1, NE/J022365/1, NE/H023879/1] Funding Source: UKRI</t>
  </si>
  <si>
    <t>Diamond Light Source; UK NERC(UK Research &amp; Innovation (UKRI)Natural Environment Research Council (NERC)); NERC(UK Research &amp; Innovation (UKRI)Natural Environment Research Council (NERC))</t>
  </si>
  <si>
    <t>This work was carried out with the support of the Diamond Light Source under the proposal SP11016 awarded to L.G.B. and J.R.H. We also acknowledge the contributions of UK NERC funded DELVE (NERC grant NE/I008845/1) to J.L.W., and the Arctic Soils grant (NERC grant NE/J022365/1) to L.G.B. We thank all of those who assisted with fieldwork at Leverett Glacier and Kiattuut Sermiat, as well as Dr. Mike Ward at the LEMAS facility in the University of Leeds and Dr. Richard Wirth at GFZ Potsdam.</t>
  </si>
  <si>
    <t>JUL 1</t>
  </si>
  <si>
    <t>10.1016/j.epsl.2018.04.022</t>
  </si>
  <si>
    <t>GH7OL</t>
  </si>
  <si>
    <t>WOS:000433643200009</t>
  </si>
  <si>
    <t>Barr, ID; Lynch, CM; Mullan, D; Siena, L; Spagnolo, M</t>
  </si>
  <si>
    <t>Barr, Iestyn D.; Lynch, Colleen M.; Mullan, Donal; De Siena, Luca; Spagnolo, Matteo</t>
  </si>
  <si>
    <t>Volcanic impacts on modern glaciers: A global synthesis</t>
  </si>
  <si>
    <t>Glaciers; Volcanoes; Volcanic impacts; Glacier dimensions; Glacier dynamics, hazards</t>
  </si>
  <si>
    <t>NEVADO-DEL-RUIZ; REDOUBT VOLCANO; CLIMATE-CHANGE; ICE-SHEET; DRIFT GLACIER; 1985 ERUPTION; ALASKA; DYNAMICS; FLOODS; SNOW</t>
  </si>
  <si>
    <t>Volcanic activity can have a notable impact on glacier behaviour (dimensions and dynamics). This is evident from the palaeo-record, but is often difficult to observe for modem glaciers. However, documenting and, if possible, quantifying volcanic impacts on modem glaciers is important if we are to predict their future behaviour (including crucial ice masses such as the West Antarctic Ice Sheet) and to monitor and mitigate glacio-volcanic hazards such as floods (including jokulhlaups) and lahars. This review provides an assessment of volcanic impacts on the behaviour of modem glaciers (since AD 1800) by presenting and summarising a global dataset of documented examples. The study reveals that shorter-term (days-to-months) impacts are typically destructive, while longer-term (years-to-decades) are more likely protective (e.g., limiting climatically driven ice loss). However, because these events are difficult to observe, particularly before the widespread availability of global satellite data, their frequency and importance are likely underestimated. The study also highlights that because the frequency and nature of volcano-glacier interactions may change with time (e.g., glacier retreat may lead to an increase in explosive volcanic activity), predicting their future importance is difficult. Fortunately, over coming years, continued improvements in remotely sensed data will increase the frequency, and enhance the quality, of observations of volcanic impacts on glaciers, allowing an improved understanding of their past and future operation.</t>
  </si>
  <si>
    <t>[Barr, Iestyn D.] Manchester Metropolitan Univ, Sch Sci &amp; Environm, 5GD, Manchester M1 5BZ, Lancs, England; [Lynch, Colleen M.; Mullan, Donal] Queens Univ Belfast, Sch Nat &amp; Built Environm, Belfast, Antrim, North Ireland; [De Siena, Luca; Spagnolo, Matteo] Univ Aberdeen, Sch Geosci, Aberdeen, Scotland</t>
  </si>
  <si>
    <t>Manchester Metropolitan University; Queens University Belfast; University of Aberdeen</t>
  </si>
  <si>
    <t>Barr, ID (corresponding author), Manchester Metropolitan Univ, Sch Sci &amp; Environm, 5GD, Manchester M1 5BZ, Lancs, England.</t>
  </si>
  <si>
    <t>i.barr@mmu.ac.uk</t>
  </si>
  <si>
    <t>De Siena, Luca/I-8181-2015; Spagnolo, Matteo/G-2415-2011; Barr, Iestyn/L-2596-2013</t>
  </si>
  <si>
    <t>De Siena, Luca/0000-0002-3615-5923; Spagnolo, Matteo/0000-0002-2753-338X; Barr, Iestyn/0000-0002-9066-8738; Mullan, Donal/0000-0002-6363-3150</t>
  </si>
  <si>
    <t>Engineering and Physical Sciences Research Council (EPSRC) [1492911]</t>
  </si>
  <si>
    <t>Engineering and Physical Sciences Research Council (EPSRC)(UK Research &amp; Innovation (UKRI)Engineering &amp; Physical Sciences Research Council (EPSRC))</t>
  </si>
  <si>
    <t>We thank John Smellie and two anonymous reviewers for their corrections, comments and suggestions. We are also grateful to the editor Gillian Foulger. This work was supported by funding from the Engineering and Physical Sciences Research Council (EPSRC) (1492911).</t>
  </si>
  <si>
    <t>10.1016/j.earscirev.2018.04.008</t>
  </si>
  <si>
    <t>GK5NV</t>
  </si>
  <si>
    <t>WOS:000436222700010</t>
  </si>
  <si>
    <t>Hashim, NHF; Mahadi, NM; Illias, RM; Feroz, SR; Abu Bakar, FD; Murad, AMA</t>
  </si>
  <si>
    <t>Hashim, Noor Haza Fazlin; Mahadi, Nor Muhammad; Illias, Rosli Md; Feroz, Shevin Rizal; Abu Bakar, Farah Diba; Murad, Abdul Munir Abdul</t>
  </si>
  <si>
    <t>Biochemical and structural characterization of a novel cold-active esterase-like protein from the psychrophilic yeast Glaciozyma antarctica</t>
  </si>
  <si>
    <t>EXTREMOPHILES</t>
  </si>
  <si>
    <t>Esterase; Dienelactone hydrolase; Thermolabile; Antarctic microbiology; Recombinant proteins</t>
  </si>
  <si>
    <t>COLWELLIA-PSYCHRERYTHRAEA; DIENELACTONE HYDROLASE; ADAPTED ENZYMES; ADAPTATION; BACTERIUM; CLEAVAGE; SERVER; PI12; ICE</t>
  </si>
  <si>
    <t>Dienelactone hydrolase, an alpha/beta hydrolase enzyme, catalyzes the hydrolysis of dienelactone to maleylacetate, an intermediate for the Krebs cycle. Genome sequencing of the psychrophilic yeast, Glaciozyma antarctica predicted a putative open reading frame (ORF) for dienelactone hydrolase (GaDlh) with 52% sequence similarity to that from Coniophora puteana. Phylogenetic tree analysis showed that GaDlh is closely related to other reported dienelactone hydrolases, and distantly related to other alpha/beta hydrolases. Structural prediction using MODELLER 9.14 showed that GaDlh has the same alpha/beta hydrolase fold as other dienelactone hydrolases and esterase/lipase enzymes, with a catalytic triad consisting of Cys-His-Asp and a G-x-C-x-G-G motif. Based on the predicted structure, GaDlh exhibits several characteristics of cold-adapted proteins such as glycine clustering in the binding pocket, reduced protein core hydrophobicity, and the absence of proline residues in loops. The putative ORF was amplified, cloned, and overexpressed in an Escherichia coli expression system. The recombinant protein was overexpressed as soluble proteins and was purified via Ni-NTA affinity chromatography. Biochemical characterization of GaDlh revealed that it has an optimal temperature at 10 A degrees C and that it retained almost 90% of its residual activity when incubated for 90 min at 10 A degrees C. The optimal pH was at pH 8.0 and it was stable between pH 5-9 when incubated for 60 min (more than 50% residual activity). Its K (m) value was 256 mu M and its catalytic efficiency was 81.7 s(-1). To our knowledge, this is the first report describing a novel cold-active dienelactone hydrolase-like protein.</t>
  </si>
  <si>
    <t>[Hashim, Noor Haza Fazlin; Feroz, Shevin Rizal; Abu Bakar, Farah Diba; Murad, Abdul Munir Abdul] Univ Kebangsaan Malaysia, Sch Biosci &amp; Biotechnol, Fac Sci &amp; Technol, Bangi 43600, Selangor, Malaysia; [Hashim, Noor Haza Fazlin] Minist Nat Resources &amp; Environm, Water Qual Lab, Natl Hydraul Res Inst Malaysia NAHRIM, Jalan Putra Permai, Serdang 43300, Selangor, Malaysia; [Mahadi, Nor Muhammad] Malaysia Genome Inst, Jalan Bangi Lama, Kajang 43000, Selangor, Malaysia; [Illias, Rosli Md] Univ Teknol Malaysia, Fac Chem &amp; Energy Engn, Dept Bioproc &amp; Polymer Engn, Skudai 81310, Johor, Malaysia</t>
  </si>
  <si>
    <t>Universiti Kebangsaan Malaysia; Universiti Teknologi Malaysia</t>
  </si>
  <si>
    <t>Murad, AMA (corresponding author), Univ Kebangsaan Malaysia, Sch Biosci &amp; Biotechnol, Fac Sci &amp; Technol, Bangi 43600, Selangor, Malaysia.</t>
  </si>
  <si>
    <t>munir@ukm.edu.my</t>
  </si>
  <si>
    <t>Abdul Murad, Abdul Munir/L-8575-2017; Murad, Abdul/CAG-9324-2022; Feroz, Shevin Rizal/AAZ-9913-2020</t>
  </si>
  <si>
    <t>Abdul Murad, Abdul Munir/0000-0001-6402-7198; Feroz, Shevin Rizal/0000-0002-9426-2911; Hashim, Noor Haza Fazlin/0000-0002-6385-6469</t>
  </si>
  <si>
    <t>Ministry of Science, Technology and Innovation (MOSTI), Malaysia [SF 02-05-20-SF0007]; Australian Antarctic Division; Malaysian Antarctic Research Program (MARP) of the Academy of Sciences Malaysia</t>
  </si>
  <si>
    <t>Ministry of Science, Technology and Innovation (MOSTI), Malaysia(Ministry of Energy, Science, Technology, Environment and Climate Change (MESTECC), Malaysia); Australian Antarctic Division; Malaysian Antarctic Research Program (MARP) of the Academy of Sciences Malaysia</t>
  </si>
  <si>
    <t>We would like to thank the Ministry of Science, Technology and Innovation (MOSTI), Malaysia for funding this research under the Grant SF 02-05-20-SF0007. We acknowledge the support given by the Australian Antarctic Division and the Malaysian Antarctic Research Program (MARP) of the Academy of Sciences Malaysia.</t>
  </si>
  <si>
    <t>1431-0651</t>
  </si>
  <si>
    <t>1433-4909</t>
  </si>
  <si>
    <t>Extremophiles</t>
  </si>
  <si>
    <t>10.1007/s00792-018-1021-z</t>
  </si>
  <si>
    <t>Biochemistry &amp; Molecular Biology; Microbiology</t>
  </si>
  <si>
    <t>GI4QA</t>
  </si>
  <si>
    <t>WOS:000434355100005</t>
  </si>
  <si>
    <t>Clay, TA; Pearmain, EJ; McGill, RAR; Manica, A; Phillips, RA</t>
  </si>
  <si>
    <t>Clay, Thomas A.; Pearmain, Elizabeth J.; McGill, Rona A. R.; Manica, Andrea; Phillips, Richard A.</t>
  </si>
  <si>
    <t>Age-related variation in non-breeding foraging behaviour and carry-over effects on fitness in an extremely long-lived bird</t>
  </si>
  <si>
    <t>activity patterns; ageing; life-history theory; migration; senescence; sexual segregation; stable isotopes; wandering albatross</t>
  </si>
  <si>
    <t>WANDERING ALBATROSSES; MIGRATION STRATEGIES; REPRODUCTIVE EFFORT; LIFE-HISTORY; SENESCENCE; SEABIRD; PERFORMANCE; WINTER; PATTERNS; SUCCESS</t>
  </si>
  <si>
    <t>1. Senescence has been widely documented in wild vertebrate populations, yet the proximate drivers of age-related declines in breeding success, including allocation trade-offs and links with foraging performance, are poorly understood. For long-lived, migratory species, the non-breeding period represents a critical time for investment in self-maintenance and restoration of body condition, which in many species is linked to fitness. However, the relationships between age, non-breeding foraging behaviour and fitness remain largely unexplored. 2. We performed a cross-sectional study, investigating age-related variation in the foraging activity, distribution and diet of an extremely long-lived seabird, the wandering albatross Diomedea exulans, during the non-breeding period. Eighty-two adults aged 8-33years were tracked with geolocator-immersion loggers, and body feathers were sampled for stable isotope analysis. We tested for variation in metrics of foraging behaviour and linked age-related trends to subsequent reproductive performance. 3. There was an age-related decline in the number of landings (a proxy of foraging effort) during daylight hours, and a decrease in body feather C-13 values in older males but not females, yet this did not accompany an age-related shift in distributions. Males conducted fewer landings than females, and the sexes showed some spatial segregation, with males foraging further south, likely due to their differential utilization of winds. 4. Although younger (&lt;20years) birds had higher foraging effort, they all went on to breed successfully the following season. In contrast, among older (20+ years) birds, individuals that landed more often were more likely to defer breeding or fail during incubation, suggesting they have lower foraging success. 5. As far as we are aware, this is the first demonstration of an age-specific carry-over effect of foraging behaviour in the non-breeding period on subsequent reproductive performance. This link between foraging behaviour and fitness in late but not early adulthood indicates that the ability of individuals to forage efficiently outside the breeding period may be an important driver of fitness differences in old age.</t>
  </si>
  <si>
    <t>[Clay, Thomas A.; Phillips, Richard A.] British Antarctic Survey, Nat Environm Res Council, Cambridge, England; [Clay, Thomas A.; Pearmain, Elizabeth J.; Manica, Andrea] Univ Cambridge, Dept Zool, Cambridge, England; [McGill, Rona A. R.] Scottish Univ Environm Res Ctr, NERC Life Sci Mass Spectrometry, E Kilbride, Lanark, Scotland</t>
  </si>
  <si>
    <t>UK Research &amp; Innovation (UKRI); Natural Environment Research Council (NERC); NERC British Antarctic Survey; University of Cambridge; Scottish Universities Research &amp; Reactor Center</t>
  </si>
  <si>
    <t>Clay, TA (corresponding author), British Antarctic Survey, Nat Environm Res Council, Cambridge, England.;Clay, TA (corresponding author), Univ Cambridge, Dept Zool, Cambridge, England.</t>
  </si>
  <si>
    <t>tommy.clay@outlook.com</t>
  </si>
  <si>
    <t>Clay, Tommy/W-4867-2019; Manica, Andrea/B-5497-2008; McGill, Rona/JAC-6969-2023; McGill, Rona/F-1793-2010; Manica, Andrea/N-9013-2019</t>
  </si>
  <si>
    <t>Clay, Tommy/0000-0002-0644-6105; McGill, Rona/0000-0003-0400-7288; Manica, Andrea/0000-0003-1895-450X; Pearmain, Elizabeth/0000-0002-6600-1482</t>
  </si>
  <si>
    <t>British Antarctic Survey [NE/J021083/1]; NERC [NE/J021083/1, lsmsf010002, bas0100035] Funding Source: UKRI</t>
  </si>
  <si>
    <t>British Antarctic Survey; NERC(UK Research &amp; Innovation (UKRI)Natural Environment Research Council (NERC))</t>
  </si>
  <si>
    <t>British Antarctic Survey, Grant/Award Number: NE/J021083/1</t>
  </si>
  <si>
    <t>10.1111/1365-2435.13120</t>
  </si>
  <si>
    <t>GL6GI</t>
  </si>
  <si>
    <t>WOS:000437281100016</t>
  </si>
  <si>
    <t>Hawes, I; Jungblut, AD; Matys, ED; Summons, RE</t>
  </si>
  <si>
    <t>Hawes, I.; Jungblut, A. D.; Matys, E. D.; Summons, R. E.</t>
  </si>
  <si>
    <t>The Dirty Ice of the McMurdo Ice Shelf: Analogues for biological oases during the Cryogenian</t>
  </si>
  <si>
    <t>GEOBIOLOGY</t>
  </si>
  <si>
    <t>Antarctica; Cryogenian; cyanobacterial mats; ice shelf; Refugia; Snowball Earth</t>
  </si>
  <si>
    <t>NEOPROTEROZOIC SNOWBALL-EARTH; LOW-LATITUDE GLACIATION; CAP CARBONATES; CRYOCONITE HOLES; MAT COMMUNITIES; EUKARYOTES; PHOTOSYNTHESIS; VARIABILITY; ANTARCTICA; MONGOLIA</t>
  </si>
  <si>
    <t>The Cryogenian (similar to 717-636Ma) is characterized by widespread glaciation and dramatic fluctuations in biogeochemical cycling during the Sturtian and Marinoan glaciations. The Snowball Earth hypothesis posits that during this period, ice-covered oceans of more or less global extent shut down or greatly diminished photosynthesis in the marine realm. However, rather than suffering a catastrophic loss of biodiversity, fossil evidence suggests that major eukaryotic lineages survived and, indeed, the end of the Cryogenian marks the onset of a rapid diversification of eukaryotic life. Persistence of diverse life forms through glaciations is thought to have occurred in supraglacial refugia although the exact nature and full extent of such habitats remain uncertain. We present further evidence for the diversity and characteristics of supraglacial ecosystems on the McMurdo Ice Shelf in Antarctica and suggest that refugia analogous to dirty ice, that is debris-covered ice shelf ecosystems, potentially provided nutrient-rich and long-lasting biological Cryogenian oases. We also discuss how features of the McMurdo Ice Shelf indicate that mechanisms exist whereby material can be exchanged between the shallow sea floor and the surfaces of ice shelves along continental margins, providing vectors whereby ice shelf ecosystems can nourish underlying seafloor communities and vice versa.</t>
  </si>
  <si>
    <t>[Hawes, I.] Univ Waikato, Tauranga, New Zealand; [Jungblut, A. D.] Nat Hist Museum, Dept Life Sci, London, England; [Matys, E. D.; Summons, R. E.] MIT, Dept Earth Atmospher &amp; Planetary Sci, Cambridge, MA 02139 USA</t>
  </si>
  <si>
    <t>University of Waikato; Natural History Museum London; Massachusetts Institute of Technology (MIT)</t>
  </si>
  <si>
    <t>Summons, RE (corresponding author), MIT, Dept Earth Atmospher &amp; Planetary Sci, Cambridge, MA 02139 USA.</t>
  </si>
  <si>
    <t>rsummons@mit.edu</t>
  </si>
  <si>
    <t>Summons, Roger Everett/AAL-3789-2020</t>
  </si>
  <si>
    <t>Summons, Roger/0000-0002-7144-8537; Jungblut, Anne D./0000-0002-4569-8233; Hawes, Ian/0000-0003-2471-6903</t>
  </si>
  <si>
    <t>MIT International Science and Technology Initiatives (MISTI-NZ); NASA Astrobiology Institute [NNA13AA90A]; Antarctica NZ; NZ Antarctic Research Institute</t>
  </si>
  <si>
    <t>MIT International Science and Technology Initiatives (MISTI-NZ); NASA Astrobiology Institute; Antarctica NZ; NZ Antarctic Research Institute</t>
  </si>
  <si>
    <t>This work was funded by a grant from the MIT International Science and Technology Initiatives (MISTI-NZ). EDM and RES are otherwise supported by the NASA Astrobiology Institute (Award NNA13AA90A). Additional support came from Antarctica NZ and the NZ Antarctic Research Institute.</t>
  </si>
  <si>
    <t>1472-4677</t>
  </si>
  <si>
    <t>1472-4669</t>
  </si>
  <si>
    <t>Geobiology</t>
  </si>
  <si>
    <t>10.1111/gbi.12280</t>
  </si>
  <si>
    <t>Biology; Environmental Sciences; Geosciences, Multidisciplinary</t>
  </si>
  <si>
    <t>Life Sciences &amp; Biomedicine - Other Topics; Environmental Sciences &amp; Ecology; Geology</t>
  </si>
  <si>
    <t>GJ0SW</t>
  </si>
  <si>
    <t>WOS:000434965600003</t>
  </si>
  <si>
    <t>Weber, ME; Lantzsch, H; Dekens, P; Das, SK; Reilly, BT; Martos, YM; Meyer-Jacob, C; Agrahari, S; Ekblad, A; Titschack, J; Holmes, B; Wolfgramm, P</t>
  </si>
  <si>
    <t>Weber, Michael E.; Lantzsch, Hendrik; Dekens, Petra; Das, Supriyo K.; Reilly, Brendan T.; Martos, Yasmina M.; Meyer-Jacob, Carsten; Agrahari, Sandip; Ekblad, Alf; Titschack, Jurgen; Holmes, Beth; Wolfgramm, Philipp</t>
  </si>
  <si>
    <t>200,000 years of monsoonal history recorded on the lower Bengal Fan - strong response to insolation forcing</t>
  </si>
  <si>
    <t>ASIAN SUMMER MONSOON; MILLENNIAL-SCALE; MARINE PLANKTON; ORGANIC-MATTER; VARIABILITY; CARBON; CLIMATE; SEA; QUATERNARY; DECONVOLUTION</t>
  </si>
  <si>
    <t>We conducted a multidisciplinary study to provide the stratigraphic and palaeoclimatic context of monsoonal rainfall dynamics and their responses to orbital forcing for the Bay of Bengal. Using sediment lightness we established an age model at orbital resolution for International Ocean Discovery Programme (IODP) Core U1452C-1H that covers the last 200 ka in the lower Bengal Fan. The low-resolution delta O-18 of G. sacculifer is consistent with global delta O-18 records, at least for major glacial-to-interglacial transitions. The variability of total organic carbon, total nitrogen, and the delta C-13 composition of organic matter indicate the marine origin of organic matter. Marine primary productivity likely increased during insolation minima, indicative for an enhanced NE monsoon during glacials and stadials. Pristine insolation forcing is also documented for wet-bulk density, red green color variability, and grain-size variations, indicating that darker and coarser-grained material deposited at higher sedimentation rates during insolation minima. Stronger NE monsoon likely amplified ocean-atmosphere interactions over the Indian Ocean, leading to stronger upwelling through shoaling the thermocline, and higher delivery of sediment to the Bay of Bengal due to higher soil erosion on land. In addition, lower glacial and stadial sea levels as well as stronger westward surface circulation favored delivery of coarser-grained fluvial material to the lower Bengal Fan. At the same time the stronger NE monsoon might have increased the aeolian supply. Total inorganic carbon, the Ca/Ti ratio, and biogenic silica vary dominantly on obliquity frequencies, suggesting mobilization and transport of lithogenic material primarily during lowered sea levels and/or higher influence of the Northern Hemisphere westerlies on the dust transport from the Tibetan Plateau. The close resemblance of sediment lightness and the climate record of Antarctic ice cores over multiple glacial cycles indicate close relationship between high southern latitude and tropical Asian climate through shifts in position of the Intertropical Convergence Zone. The Bengal Fan monsoonal record shows very clear and strict responses to insolation forcing in the lower part from -200 ka to the Younger Toba Tuff during Marine Isotope Stage (MIS) 7 - 5, and less distinct response patterns after deposition of the ash during MIS 4- 2, consistent with low-amplitude changes in insolation.</t>
  </si>
  <si>
    <t>[Weber, Michael E.] Univ Bonn, Bonn, Germany; [Lantzsch, Hendrik; Titschack, Jurgen; Wolfgramm, Philipp] Univ Bremen, Bremen, Germany; [Dekens, Petra; Holmes, Beth] San Francisco State Univ, San Francisco, CA 94132 USA; [Das, Supriyo K.; Agrahari, Sandip] Presidency Univ, Kolkata, India; [Reilly, Brendan T.] Oregon State Univ, Corvallis, OR 97331 USA; [Martos, Yasmina M.] NASA, Goddard Space Flight Ctr, Greenbelt, MD USA; [Meyer-Jacob, Carsten] Umea Univ, Umea, Sweden; [Ekblad, Alf] Orebro Univ, Orebro, Sweden; [Martos, Yasmina M.] Univ Maryland, College Pk, MD 20742 USA</t>
  </si>
  <si>
    <t>University of Bonn; University of Bremen; California State University System; San Francisco State University; Presidency University, Kolkata; Oregon State University; National Aeronautics &amp; Space Administration (NASA); NASA Goddard Space Flight Center; Umea University; Orebro University; University System of Maryland; University of Maryland College Park</t>
  </si>
  <si>
    <t>Weber, ME (corresponding author), Univ Bonn, Steinmann Inst, D-53115 Bonn, Germany.</t>
  </si>
  <si>
    <t>mike.weber@uni-bonn.de</t>
  </si>
  <si>
    <t>Meyer-Jacob, Carsten/B-8248-2014; Holmes, Beth/HJH-3641-2023; Ekblad, Alf/AAG-2632-2019; Weber, Michael E/G-8707-2012; Titschack, Jurgen/L-2095-2015</t>
  </si>
  <si>
    <t>Meyer-Jacob, Carsten/0000-0002-8208-496X; Lantzsch, Hendrik/0000-0002-6288-4142; Weber, Michael E/0000-0003-2175-8980; Titschack, Jurgen/0000-0001-9373-9688; Reilly, Brendan/0000-0003-3666-4338</t>
  </si>
  <si>
    <t>Deutsche Forschungsgemein-schaft (DFG -Priority Programme 527) [We2039/14-1]; United States Science Support Program Post Expedition Awards [T354A11, CA OCE-0652315]; California State University Council on Ocean Affairs, Science and Technology (CSU-COAST); UGC [NCAOR/IODP/20.15/15(III)]; IODP-India grant [NCAOR/IODP/20.15/15(III)]; Oregon ARCS Foundation</t>
  </si>
  <si>
    <t>Deutsche Forschungsgemein-schaft (DFG -Priority Programme 527); United States Science Support Program Post Expedition Awards; California State University Council on Ocean Affairs, Science and Technology (CSU-COAST); UGC(University Grants Commission, India); IODP-India grant; Oregon ARCS Foundation</t>
  </si>
  <si>
    <t>This research used samples and/or data provided by the International Ocean Discovery Program (IODP). Funding for this research was provided by the Deutsche Forschungsgemein-schaft (DFG -Priority Programme 527, Grant We2039/14-1 (M.E.W.), United States Science Support Program Post Expedition Awards (B.T.R., grant number T354A11; and P.S.D., grant number CA OCE-0652315), and a California State University Council on Ocean Affairs, Science and Technology (CSU-COAST) (P.S.D), and UGC and IODP-India grant (NCAOR/IODP/20.15/15(III) to S.K.D. The UGC is further acknowledged for offering a position to S.K.D under the F.R.P. We thank Leslie &amp; Mark Workman and the Oregon ARCS Foundation for additional support to B.T.R. Thanks to Mathis Krahe for FTIRS measurements. Data of this study are available within the PANGAEA data base system (https://doi.pangaea.de/10.1594/PANGAEA.889300 (doi:10.1594/PANGAEA.889300)).</t>
  </si>
  <si>
    <t>10.1016/j.gloplacha.2018.04.003</t>
  </si>
  <si>
    <t>GJ8FF</t>
  </si>
  <si>
    <t>WOS:000435624000009</t>
  </si>
  <si>
    <t>Bowman, JS; Kavanaugh, MT; Doney, SC; Ducklow, HW</t>
  </si>
  <si>
    <t>Bowman, Jeff S.; Kavanaugh, Maria T.; Doney, Scott C.; Ducklow, Hugh W.</t>
  </si>
  <si>
    <t>Recurrent seascape units identify key ecological processes along the western Antarctic Peninsula</t>
  </si>
  <si>
    <t>Antarctic; marine ecosystems; nutrients; Palmer Long-Term Ecological Research; seascapes</t>
  </si>
  <si>
    <t>CIRCUMPOLAR DEEP-WATER; SEA-ICE; MIXED-LAYER; VARIABILITY; BELLINGSHAUSEN; ECOSYSTEM; DIATOMS; RATIO; ZONE</t>
  </si>
  <si>
    <t>The western Antarctic Peninsula (WAP) is a bellwether of global climate change and natural laboratory for identifying interactions between climate and ecosystems. The Palmer Long-Term Ecological Research (LTER) project has collected data on key ecological and environmental processes along the WAP since 1993. To better understand how key ecological parameters are changing across space and time, we developed a novel seascape classification approach based on insitu temperature, salinity, chlorophyll a, nitrate+nitrite, phosphate, and silicate. We anticipate that this approach will be broadly applicable to other geographical areas. Through the application of self-organizing maps (SOMs), we identified eight recurrent seascape units (SUs) in these data. These SUs have strong fidelity to known regional water masses but with an additional layer of biogeochemical detail, allowing us to identify multiple distinct nutrient profiles in several water masses. To identify the temporal and spatial distribution of these SUs, we mapped them across the Palmer LTER sampling grid via objective mapping of the original parameters. Analysis of the abundance and distribution of SUs since 1993 suggests two year types characterized by the partitioning of chlorophyll a into SUs with different spatial characteristics. By developing generalized linear models for correlated, time-lagged external drivers, we conclude that early spring sea ice conditions exert a strong influence on the distribution of chlorophyll a and nutrients along the WAP, but not necessarily the total chlorophyll a inventory. Because the distribution and density of phytoplankton biomass can have an impact on biomass transfer to the upper trophic levels, these results highlight anticipated links between the WAP marine ecosystem and climate.</t>
  </si>
  <si>
    <t>[Bowman, Jeff S.] Scripps Inst Oceanog, La Jolla, CA 92037 USA; [Kavanaugh, Maria T.] Oregon State Univ, Corvallis, OR 97331 USA; [Doney, Scott C.] Univ Virginia, Charlottesville, VA USA; [Ducklow, Hugh W.] Columbia Univ, Lamont Doherty Earth Observ, Palisades, NY USA</t>
  </si>
  <si>
    <t>University of California System; University of California San Diego; Scripps Institution of Oceanography; Oregon State University; University of Virginia; Columbia University</t>
  </si>
  <si>
    <t>Bowman, JS (corresponding author), Scripps Inst Oceanog, La Jolla, CA 92037 USA.</t>
  </si>
  <si>
    <t>jsbowman@ucsd.edu</t>
  </si>
  <si>
    <t>Doney, Scott/F-9247-2010</t>
  </si>
  <si>
    <t>Doney, Scott/0000-0002-3683-2437; Bowman, Jeff/0000-0002-8811-6280</t>
  </si>
  <si>
    <t>National Aeronautics and Space Administration [NNX14AL86G]; Office of Polar Programs [0823101, 1440435, 1641019]; Directorate For Geosciences; Office of Polar Programs (OPP) [0823101] Funding Source: National Science Foundation; Directorate For Geosciences; Office of Polar Programs (OPP) [1440435, 1641019] Funding Source: National Science Foundation</t>
  </si>
  <si>
    <t>National Aeronautics and Space Administration(National Aeronautics &amp; Space Administration (NASA)); Office of Polar Programs(National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t>
  </si>
  <si>
    <t>National Aeronautics and Space Administration, Grant/Award Number: NNX14AL86G; Office of Polar Programs, Grant/Award Number: 0823101, 1440435, 1641019</t>
  </si>
  <si>
    <t>10.1111/gcb.14161</t>
  </si>
  <si>
    <t>GL6GM</t>
  </si>
  <si>
    <t>WOS:000437281500027</t>
  </si>
  <si>
    <t>Hart, E; Storey, C; Harley, SL; Fowler, M</t>
  </si>
  <si>
    <t>Hart, Emma; Storey, Craig; Harley, Simon L.; Fowler, Mike</t>
  </si>
  <si>
    <t>A window into the lower crust: Trace element systematics and the occurrence of inclusions/intergrowths in granulite-facies rutile</t>
  </si>
  <si>
    <t>Rutile; UHT granulite; Trace elements; Zr-in-rutile thermometry; Inclusion/intergrowth</t>
  </si>
  <si>
    <t>ZR-IN-RUTILE; HIGH-TEMPERATURE METAMORPHISM; CALCULATED PHASE-EQUILIBRIA; ARCHEAN NAPIER COMPLEX; MT. RIISER-LARSEN; EAST ANTARCTICA; ULTRAHIGH-TEMPERATURE; RAUER-GROUP; UHT METAMORPHISM; BEARING GRANULITES</t>
  </si>
  <si>
    <t>Rutile occurs as an accessory mineral in many high-temperature metamorphic assemblages and has the potential to identify and investigate UHT metamorphic terranes. Whilst the use of Zr-in-rutile geothermometry to identify ultrahigh-temperature terranes is appealing, its application to granulites can be difficult owing to diffusional resetting of Zr concentrations during cooling and decompression. In order to provide constraints on P-T conditions and trace element systematics during ultrahigh-temperature metamorphism, metamorphic rutile in granulites from the Archean Napier Complex and the Palaeozoic Rauer Group, Antarctica have been investigated for trace element composition and mineral inclusions/intergrowths. Textural observations and Zr-in-rutile temperatures show that unlike the large proportion of rutiles grains in the matrix, rutile grains that are shielded by phases with low Zr-diffusivities (e.g. orthopyroxene) and/or are in chemical isolation from zircon, have the potential to retain Zr concentrations that correspond to ultrahigh-temperatures. Principal Component Analysis reveals that V, Cr, Nb, Mo, Ta and W are significantly enriched in rutile from Archean and Proterozoic ultrahigh-temperature terranes. High concentrations of elements such as Cr and V indicate a spinel-rich source, demonstrating the effect of protolith bulk chemical composition on rutile trace element signatures. Rutile is shown to contain inclusions and intergrowths of aluminium silicate, quartz, corundum and feldspar, including the first reported occurrence of prograde kyanite, which provides direct evidence that the Napier Complex experienced a typical clockwise P-T evolution. (C) 2018 The Authors. Published by Elsevier B.V.</t>
  </si>
  <si>
    <t>[Hart, Emma; Storey, Craig; Fowler, Mike] Univ Portsmouth, Sch Earth &amp; Environm Sci, Portsmouth, Hants, England; [Harley, Simon L.] Univ Edinburgh, Sch GeoSci, Edinburgh, Midlothian, Scotland</t>
  </si>
  <si>
    <t>University of Portsmouth; University of Edinburgh</t>
  </si>
  <si>
    <t>Hart, E (corresponding author), Univ Portsmouth, Sch Earth &amp; Environm Sci, Portsmouth, Hants, England.</t>
  </si>
  <si>
    <t>emma.hart@port.ac.uk</t>
  </si>
  <si>
    <t>Fowler, Mike/AAD-4439-2020; Storey, Craig/AAC-7832-2020</t>
  </si>
  <si>
    <t>Fowler, Mike/0000-0002-2182-5015; Hart, Emma/0000-0003-0500-680X; Storey, Craig/0000-0002-4945-7381</t>
  </si>
  <si>
    <t>NERC [NE/1025573]; NERC studentship; Australian Antarctic Science project grants [263, 497, 2690]; NERC grant [NE/B504157/1]; NERC [NE/I025573/1] Funding Source: UKRI</t>
  </si>
  <si>
    <t>NERC(UK Research &amp; Innovation (UKRI)Natural Environment Research Council (NERC)); NERC studentship(UK Research &amp; Innovation (UKRI)Natural Environment Research Council (NERC)); Australian Antarctic Science project grants; NERC grant(UK Research &amp; Innovation (UKRI)Natural Environment Research Council (NERC)); NERC(UK Research &amp; Innovation (UKRI)Natural Environment Research Council (NERC))</t>
  </si>
  <si>
    <t>We would firstly like to thank the editor and the two anonymous reviewers for their constructive comments which have helped to improve this manuscript. Stuart Kearns at the University of Bristol is thanked for his assistance using the electron microprobe, as is Bruce Alexander at the University of Greenwich for assistance with the Raman microscope. This project was funded by NERC grant NE/1025573 awarded to PI Storey, including a NERC studentship for Emma Hart. Samples used in this study were collected by S.L. Harley with the support of the Australian National Antarctic Research Expeditions (ANARE) 1979-80, 1987-88, 1991-92 and 2006-07, logistics funding under Australian Antarctic Science project grants 263, 497 and 2690 to Harley, and fieldwork funding under NERC grant NE/B504157/1 (2004-2007) awarded to Harley.</t>
  </si>
  <si>
    <t>10.1016/j.gr.2018.02.021</t>
  </si>
  <si>
    <t>GO7QE</t>
  </si>
  <si>
    <t>WOS:000440265400006</t>
  </si>
  <si>
    <t>Baltazar-Soares, M; Hinrichsen, HH; Eizaguirre, C</t>
  </si>
  <si>
    <t>Baltazar-Soares, Miguel; Hinrichsen, Hans-Harald; Eizaguirre, Christophe</t>
  </si>
  <si>
    <t>Food for Thought Integrating population genomics and biophysical models towards evolutionary-based fisheries management</t>
  </si>
  <si>
    <t>ICES JOURNAL OF MARINE SCIENCE</t>
  </si>
  <si>
    <t>adaptive genetic variation; biophysical models; fisheries management; population genomics</t>
  </si>
  <si>
    <t>TOOTHFISH DISSOSTICHUS-MAWSONI; ANCHOVY ENGRAULIS-ENCRASICOLUS; HERRING CLUPEA-HARENGUS; EARLY-LIFE HISTORY; COD GADUS-MORHUA; NORTH-SEA COD; MARINE FISHES; ATLANTIC COD; ANTARCTIC TOOTHFISH; LOCAL ADAPTATION</t>
  </si>
  <si>
    <t>Overfishing and rapid environmental shifts pose severe challenges to the resilience and viability of marine fish populations. To develop and implement measures that enhance species' adaptive potential to cope with those pressures while, at the same time, ensuring sustainable exploitation rates is part of the central goal of fisheries management. Here, we argue that a combination of biophysical modelling and population genomic assessments offer ideal management tools to define stocks, their physical connectivity and ultimately, their short-term adaptive potential. To date, biophysical modelling has often been confined to fisheries ecology whereas evolutionary hypotheses remain rarely considered. When identified, connectivity patterns are seldom explored to understand the evolution and distribution of adaptive genetic variation, a proxy for species' evolutionary potential. Here, we describe a framework that expands on the conventional seascape genetics approach by using biophysical modelling and population genomics. The goals are to identify connectivity patterns and selective pressures, as well as putative adaptive variants directly responding to the selective pressures and, ultimately, link both to define testable hypotheses over species response to shifting ecological conditions and overexploitation.</t>
  </si>
  <si>
    <t>[Baltazar-Soares, Miguel; Hinrichsen, Hans-Harald] Helmholtz Ctr Ocean Res, Duesternbrooker Weg 20, D-24105 Kiel, Germany; [Eizaguirre, Christophe] Queen Mary Univ London, Sch Biol &amp; Chem Sci, Mile End Rd,Fogg Bldg 6-04, London E1 4NS, England</t>
  </si>
  <si>
    <t>Helmholtz Association; GEOMAR Helmholtz Center for Ocean Research Kiel; University of London; Queen Mary University London</t>
  </si>
  <si>
    <t>Baltazar-Soares, M (corresponding author), Helmholtz Ctr Ocean Res, Duesternbrooker Weg 20, D-24105 Kiel, Germany.</t>
  </si>
  <si>
    <t>mbaltazarsoares@bournemouth.ac.uk</t>
  </si>
  <si>
    <t>Eizaguirre, Christophe/K-5966-2012; Baltazar-Soares, Miguel/I-2497-2019</t>
  </si>
  <si>
    <t>Baltazar-Soares, Miguel/0000-0002-5919-6197</t>
  </si>
  <si>
    <t>1054-3139</t>
  </si>
  <si>
    <t>1095-9289</t>
  </si>
  <si>
    <t>ICES J MAR SCI</t>
  </si>
  <si>
    <t>ICES J. Mar. Sci.</t>
  </si>
  <si>
    <t>JUL-AUG</t>
  </si>
  <si>
    <t>10.1093/icesjms/fsx244</t>
  </si>
  <si>
    <t>Fisheries; Marine &amp; Freshwater Biology; Oceanography</t>
  </si>
  <si>
    <t>GO1HN</t>
  </si>
  <si>
    <t>WOS:000439700800004</t>
  </si>
  <si>
    <t>Liu, XJ; Lang, SN; Zhao, B; Zhang, F; Liu, Q; Tang, CJ; Li, DZ; Fang, GY</t>
  </si>
  <si>
    <t>Liu, Xiaojun; Lang, Shinan; Zhao, Bo; Zhang, Feng; Liu, Qing; Tang, Chuanjun; Li, Dezhi; Fang, Guangyou</t>
  </si>
  <si>
    <t>High-Resolution Ice-Sounding Radar Measurements of Ice Thickness Over East Antarctic Ice Sheet as a Part of Chinese National Antarctic Research Expedition</t>
  </si>
  <si>
    <t>Chinese Kunlun Station; Grove Mountains; high-resolution ice-sounding radar (HRISR); modified nonlinear chirp scaling (CS) algorithm; modified range migration algorithm using curvelets</t>
  </si>
  <si>
    <t>ALGORITHM</t>
  </si>
  <si>
    <t>This paper presents the ice thickness, fine resolution internal reflecting horizons (IRHs), and distinct bottom topography measurements of Chinese Kunlun Station and Grove Mountains, Antarctica, derived from sounding these glaciers with a high-resolution radar. To enable the development of next-generation ice-sheet models, we need information on IRHs, bottom topography, and basal conditions. To this end, we performed measurements with the progressively improved ice-sounding radar system, currently known as the high-resolution ice-sounding radar developed by the Key Laboratory of Electromagnetic Radiation and Sensing Technology of Institute of Electronics, Chinese Academy of Sciences, Beijing, China. We processed the collected data using focused synthetic aperture radar (SAR) algorithm named the modified range migration algorithm using curvelets and the modified nonlinear chirp scaling algorithm to improve radar sensitivity and reduce along-track surface clutter. Representative results from selected transects indicate that we successfully sounded 3-km-thick ice with a fine resolution of 0.75 m. In this paper, we provide a brief description of the radar system, discuss the focused SAR processing algorithms, and provide sample results to demonstrate the successful sounding of the ice sheet in Antarctica.</t>
  </si>
  <si>
    <t>[Liu, Xiaojun; Zhao, Bo; Zhang, Feng; Liu, Qing; Tang, Chuanjun; Li, Dezhi; Fang, Guangyou] Chinese Acad Sci, Key Lab Electromagnet Radiat &amp; Sensing Technol, Beijing 100190, Peoples R China; [Lang, Shinan] Beijing Univ Technol, Sch Informat &amp; Commun Engn, Beijing 100124, Peoples R China</t>
  </si>
  <si>
    <t>Chinese Academy of Sciences; Beijing University of Technology</t>
  </si>
  <si>
    <t>Lang, SN (corresponding author), Beijing Univ Technol, Sch Informat &amp; Commun Engn, Beijing 100124, Peoples R China.</t>
  </si>
  <si>
    <t>langshinan@gmail.com</t>
  </si>
  <si>
    <t>Sun, Peng/KDO-4243-2024; LI, Jing/HNB-5575-2023; bo, zhao/JRY-8300-2023</t>
  </si>
  <si>
    <t>National Natural Science Foundation of China [U1531141, 41606219, 41776186]</t>
  </si>
  <si>
    <t>This work was supported by the National Natural Science Foundation of China under Grant U1531141, Grant 41606219, and Grant 41776186.</t>
  </si>
  <si>
    <t>10.1109/TGRS.2018.2804384</t>
  </si>
  <si>
    <t>GK7VF</t>
  </si>
  <si>
    <t>WOS:000436418200003</t>
  </si>
  <si>
    <t>Lickley, MJ; Hay, CC; Tamisiea, ME; Mitrovica, JX</t>
  </si>
  <si>
    <t>Lickley, Megan Jeramaz; Hay, Carling C.; Tamisiea, Mark E.; Mitrovica, Jerry X.</t>
  </si>
  <si>
    <t>Bias in Estimates of Global Mean Sea Level Change Inferred from Satellite Altimetry</t>
  </si>
  <si>
    <t>Sea level; Altimetry</t>
  </si>
  <si>
    <t>GLACIAL ISOSTATIC-ADJUSTMENT; ICE MASS-LOSS; POLE TIDE; RISE; GREENLAND; RECORD; ERA</t>
  </si>
  <si>
    <t>Estimates of regional and global average sea level change remain a focus of climate change research. One complication in obtaining coherent estimates is that geodetic datasets measure different aspects of the sea level field. Satellite altimetry constrains changes in the sea surface height (SSH; or absolute sea level), whereas tide gauge data provide a measure of changes in SSH relative to the crust (i.e., relative sea level). The latter is a direct measure of changes in ocean volume (and the combined impacts of ice sheet melt and steric effects), but the former is not since it does not account for crustal deformation. Nevertheless, the literature commonly conflates the two estimates by directly comparing them. We demonstrate that using satellite altimetry records to estimate global ocean volume changes can lead to biases that can exceed 15%. The level of bias will depend on the relative contributions to sea level changes from the Antarctic and Greenland Ice Sheets. The bias is also more sensitive to the detailed geometry of mass flux from the Antarctic Ice Sheet than the Greenland Ice Sheet due to rotational effects on sea level. Finally, in a regional sense, altimetry estimates should not be compared to relative sea level changes because radial crustal motions driven by polar ice mass flux are nonnegligible globally.</t>
  </si>
  <si>
    <t>[Lickley, Megan Jeramaz] MIT, Dept Earth Atmospher &amp; Planetary Sci, Cambridge, MA 02139 USA; [Hay, Carling C.] Boston Coll, Dept Earth &amp; Environm Sci, Boston, MA USA; [Tamisiea, Mark E.] Univ Texas Austin, Ctr Space Res, Austin, TX 78712 USA; [Mitrovica, Jerry X.] Harvard Univ, Dept Earth &amp; Planetary Sci, 20 Oxford St, Cambridge, MA 02138 USA</t>
  </si>
  <si>
    <t>Massachusetts Institute of Technology (MIT); Boston College; University of Texas System; University of Texas Austin; Harvard University</t>
  </si>
  <si>
    <t>Lickley, MJ (corresponding author), MIT, Dept Earth Atmospher &amp; Planetary Sci, Cambridge, MA 02139 USA.</t>
  </si>
  <si>
    <t>mlickley@mit.edu</t>
  </si>
  <si>
    <t>Lickley, Megan/0000-0001-5810-8784</t>
  </si>
  <si>
    <t>Callahan-Dee Fellowship; Boston College; Harvard University; NASA [NNX17AE17G, 80NSSC17K0698]; NASA [NNX17AE17G, 1002858] Funding Source: Federal RePORTER</t>
  </si>
  <si>
    <t>Callahan-Dee Fellowship; Boston College; Harvard University; NASA(National Aeronautics &amp; Space Administration (NASA)); NASA(National Aeronautics &amp; Space Administration (NASA))</t>
  </si>
  <si>
    <t>The authors acknowledge support from a Callahan-Dee Fellowship (MJL), Boston College (CCH), Harvard University (JXM), and NASA awards NNX17AE17G (JXM) and 80NSSC17K0698 (JXM). We thank John Reis for helpful discussions and Giorgio Spada and two additional anonymous reviewers for their constructive comments in regard to an earlier version of the manuscript.</t>
  </si>
  <si>
    <t>10.1175/JCLI-D-18-0024.1</t>
  </si>
  <si>
    <t>GI6TO</t>
  </si>
  <si>
    <t>WOS:000434636100002</t>
  </si>
  <si>
    <t>Nguyen, TD; Crosbie, PBB; Nowak, BF; Bridle, AR</t>
  </si>
  <si>
    <t>Nguyen, T. D.; Crosbie, P. B. B.; Nowak, B. F.; Bridle, A. R.</t>
  </si>
  <si>
    <t>The effects of inactivation methods of Yersinia ruckeri on the efficacy of single dip vaccination in Atlantic salmon (Salmo salar)</t>
  </si>
  <si>
    <t>ammonium sulphate-inactivated bacterin; immersion vaccination; Salmo salar; Yersinia ruckeri; yersiniosis</t>
  </si>
  <si>
    <t>ONCORHYNCHUS-MYKISS WALBAUM; AYU PLECOGLOSSUS-ALTIVELIS; RAINBOW-TROUT; FLAVOBACTERIUM-PSYCHROPHILUM; IMMERSION VACCINATION; IMMUNE-RESPONSES; ANTIGEN UPTAKE; IMMUNIZATION; VACCINES; ANTIBODY</t>
  </si>
  <si>
    <t>[Nguyen, T. D.; Crosbie, P. B. B.; Nowak, B. F.; Bridle, A. R.] Univ Tasmania, Inst Marine &amp; Antarctic Sci, Launceston, Tas, Australia; [Nguyen, T. D.] Res Inst Aquaculture 2, Ho Chi Minh City, Vietnam</t>
  </si>
  <si>
    <t>Nguyen, TD (corresponding author), Univ Tasmania, Inst Marine &amp; Antarctic Sci, Launceston, Tas, Australia.;Nguyen, TD (corresponding author), Res Inst Aquaculture 2, Ho Chi Minh City, Vietnam.</t>
  </si>
  <si>
    <t>thu_seven@yahoo.com</t>
  </si>
  <si>
    <t>Nowak, Barbara/J-7261-2014; Bridle, Andrew R/B-4117-2013; Nguyen, Diem Thu/F-4708-2015</t>
  </si>
  <si>
    <t>Nguyen, Diem Thu/0000-0001-9544-4592; Bridle, Andrew/0000-0002-5788-1297</t>
  </si>
  <si>
    <t>Australian Development Scholarship</t>
  </si>
  <si>
    <t>10.1111/jfd.12803</t>
  </si>
  <si>
    <t>GJ0VA</t>
  </si>
  <si>
    <t>WOS:000434971300015</t>
  </si>
  <si>
    <t>Newnham, DA; Clilverd, MA; Rodger, CJ; Hendrickx, K; Megner, L; Kavanagh, AJ; Seppälä, A; Verronen, PT; Andersson, ME; Marsh, DR; Kovács, T; Feng, W; Plane, JMC</t>
  </si>
  <si>
    <t>Newnham, D. A.; Clilverd, M. A.; Rodger, C. J.; Hendrickx, K.; Megner, L.; Kavanagh, A. J.; Seppala, A.; Verronen, P. T.; Andersson, M. E.; Marsh, D. R.; Kovacs, T.; Feng, W.; Plane, J. M. C.</t>
  </si>
  <si>
    <t>Observations and Modeling of Increased Nitric Oxide in the Antarctic Polar Middle Atmosphere Associated With Geomagnetic Storm-Driven Energetic Electron Precipitation</t>
  </si>
  <si>
    <t>CHIRP TRANSFORM SPECTROMETER; COMMUNITY CLIMATE MODEL; SOLAR PROTON EVENTS; LOWER THERMOSPHERE; PARTICLE-PRECIPITATION; ICE EXPERIMENT; ION CHEMISTRY; WACCM-D; ENHANCEMENTS; MESOSPHERE</t>
  </si>
  <si>
    <t>Nitric oxide (NO) produced in the polar middle and upper atmosphere by energetic particle precipitation depletes ozone in the mesosphere and, following vertical transport in the winter polar vortex, in the stratosphere. Medium-energy electron (MEE) ionization by 30-1,000 keV electrons during geomagnetic storms may have a significant role in mesospheric NO production. However, questions remain about the relative importance of direct NO production by MEE at altitudes similar to 60-90 km versus indirect NO originating from auroral ionization above 90 km. We investigate potential drivers of NO variability in the southern-hemisphere mesosphere and lower thermosphere during 2013-2014. Contrasting geomagnetic activity occurred during the two austral winters, with more numerous moderate storms in the 2013 winter. Ground-based millimeter-wave observations of NO from Halley, Antarctica, are compared with measurements by the Solar Occultation For Ice Experiment (SOFIE) spaceborne spectrometer. NO partial columns over the altitude range 65-140 km from the two observational data sets show large day-to-day variability and significant disagreement, with Halley values on average 49% higher than the corresponding SOFIE data. SOFIE NO number densities, zonally averaged over geomagnetic latitudes -59 degrees to -65 degrees, are up to 3 x 10(8)/cm(3) higher in the winter of 2013 compared to 2014. Comparisons with a new version of the Whole Atmosphere Community Climate Model, which includes detailed D-region ion chemistry (WACCM-SIC) and MEE ionization rates, show that the model underestimates NO in the winter lower mesosphere whereas thermospheric abundances are too high. This indicates the need to further improve and verify WACCM-SIC with respect to MEE ionization, thermospheric NO chemistry, and vertical transport.</t>
  </si>
  <si>
    <t>[Newnham, D. A.; Clilverd, M. A.; Kavanagh, A. J.] British Antarctic Survey, Cambridge, England; [Rodger, C. J.; Seppala, A.] Univ Otago, Dept Phys, Dunedin, New Zealand; [Hendrickx, K.; Megner, L.] Stockholm Univ, Dept Meteorol MISU, Stockholm, Sweden; [Seppala, A.] Finnish Meteorol Inst, Helsinki, Finland; [Verronen, P. T.; Andersson, M. E.] Finnish Meteorol Inst, Space &amp; Earth Observat Ctr, Helsinki, Finland; [Marsh, D. R.] Natl Ctr Atmospher Res, Atmospher Chem Div, POB 3000, Boulder, CO 80307 USA; [Kovacs, T.; Feng, W.; Plane, J. M. C.] Univ Leeds, Sch Chem, Leeds, W Yorkshire, England; [Feng, W.] Univ Leeds, Sch Earth &amp; Environm, Natl Ctr Atmospher Sci, Leeds, W Yorkshire, England</t>
  </si>
  <si>
    <t>UK Research &amp; Innovation (UKRI); Natural Environment Research Council (NERC); NERC British Antarctic Survey; University of Otago; Stockholm University; Finnish Meteorological Institute; Finnish Meteorological Institute; National Center Atmospheric Research (NCAR) - USA; University of Leeds; University of Leeds; UK Research &amp; Innovation (UKRI); Natural Environment Research Council (NERC); NERC National Centre for Atmospheric Science</t>
  </si>
  <si>
    <t>Newnham, DA (corresponding author), British Antarctic Survey, Cambridge, England.</t>
  </si>
  <si>
    <t>dawn@bas.ac.uk</t>
  </si>
  <si>
    <t>FENG, WUHU/B-8327-2008; Megner, Linda/AAL-4454-2021; Verronen, P. T./AIE-0203-2022; Rodger, Craig/A-1501-2011; Plane, John M C/C-7444-2015; Szelag, Monika Ewa/AAH-3529-2019; Seppälä, Annika/C-8031-2014; Marsh, Daniel/A-8406-2008; Hendrickx, Koen/R-1712-2016; Verronen, Pekka T/G-6658-2014</t>
  </si>
  <si>
    <t>FENG, WUHU/0000-0002-9907-9120; Verronen, P. T./0000-0002-3479-9071; Szelag, Monika Ewa/0000-0002-8501-3366; Seppälä, Annika/0000-0002-5028-8220; Marsh, Daniel/0000-0001-6699-494X; Hendrickx, Koen/0000-0003-3679-6744; Rodger, Craig J./0000-0002-6770-2707; Megner, Linda/0000-0002-8016-1343; Newnham, David/0000-0001-8422-1289</t>
  </si>
  <si>
    <t>UK Natural Environment Research Council [NE/J022187/1, NE/J02077X/1]; Marsden Fund; Academy of Finland [258165, 265005, 276926]; Swedish Research Council [621-2012-1648]; NASA Living With a Star grant [NNX14AH54G]; U.S. National Science Foundation (NSF); Natural Environment Research Council [NE/J022187/1] Funding Source: researchfish; NERC [ncas10003, NE/J022187/1, NE/J02077X/1, bas0100031, NE/R015244/1, NE/R016038/1] Funding Source: UKRI; NASA [683491, NNX14AH54G] Funding Source: Federal RePORTER; Academy of Finland (AKA) [258165] Funding Source: Academy of Finland (AKA)</t>
  </si>
  <si>
    <t>UK Natural Environment Research Council(UK Research &amp; Innovation (UKRI)Natural Environment Research Council (NERC)); Marsden Fund(Royal Society of New ZealandMarsden Fund (NZ)); Academy of Finland(Research Council of Finland); Swedish Research Council(Swedish Research Council); NASA Living With a Star grant; U.S. National Science Foundation (NSF)(National Science Foundation (NSF)); Natural Environment Research Council(UK Research &amp; Innovation (UKRI)Natural Environment Research Council (NERC)); NERC(UK Research &amp; Innovation (UKRI)Natural Environment Research Council (NERC)); NASA(National Aeronautics &amp; Space Administration (NASA)); Academy of Finland (AKA)</t>
  </si>
  <si>
    <t>This work was supported in part by the UK Natural Environment Research Council (grant references NE/J022187/1 and NE/J02077X/1) and the Marsden Fund. A. S. was supported by the Academy of Finland (projects 258165 and 265005). The work of P. T. Verronen and M. E. Andersson was supported by the Academy of Finland (project 276926 - SECTIC: Sun-Earth Connection Through Ion Chemistry). L. M. was supported by the Swedish Research Council under contract 621-2012-1648. D. R. M. was supported in part by NASA Living With a Star grant NNX14AH54G. The National Center for Atmospheric Research (NCAR) is sponsored by the U.S. National Science Foundation (NSF). We thank Christoph Larndorfer, William Clark, David Maxfield, Jonas Ekstedt, and Paul Breen for supporting the observations at Halley, Antarctica. We thank Anne K. Smith for providing the SD-WACCM data and Martyn Chipperfield for helpful discussions. Aaron Hendry is acknowledged for providing computer code (GEO2CGM) to facilitate the conversion from spherical geographic coordinates to spherical corrected geomagnetic coordinates. Data from the WACCM-SIC runs are archived at the University of Leeds. Observational data sets from Halley, Antarctica, are available from the UK Polar Data Centre (https://www.bas.ac.uk/data/uk-pdc/).</t>
  </si>
  <si>
    <t>10.1029/2018JA025507</t>
  </si>
  <si>
    <t>GR5JA</t>
  </si>
  <si>
    <t>WOS:000442664300051</t>
  </si>
  <si>
    <t>Lee, KK; Lim, PE; Poong, SW; Wong, CY; Phang, SM; Beardall, J</t>
  </si>
  <si>
    <t>Lee, Kok-Keong; Lim, Phaik-Eem; Poong, Sze-Wan; Wong, Chiew-Yen; Phang, Siew-Moi; Beardall, John</t>
  </si>
  <si>
    <t>Growth and photosynthesis of Chlorella strains from polar, temperate and tropical freshwater environments under temperature stress</t>
  </si>
  <si>
    <t>Antarctic; Arctic; F-v/F-m; microalgae; pigments; recovery</t>
  </si>
  <si>
    <t>ELECTRON-TRANSPORT; PHOTOSYSTEM-II; LIGHT CURVES; HEAT-STRESS; PHOTOINHIBITION; FLUORESCENCE; ACCLIMATION; TOLERANCE; IRRADIATION; INHIBITION</t>
  </si>
  <si>
    <t>Elevated temperatures as a consequence of global warming have significant impacts on the adaptation and survival of microalgae which are important primary producers in many ecosystems. The impact of temperature on the photosynthesis of microalgae is of great interest as the primary production of algal biomass is strongly dependent on the photosynthetic rates in a dynamic environment. Here, we examine the effects of elevated temperature on Chlorella strains originating from different latitudes, namely Antarctic, Arctic, temperate and tropical regions. Chlorophyll fluorescence was used to assess the photosynthetic responses of the microalgae. Rapid light curves (RLCs) and maximum quantum yield (F-v/F-m) were recorded. The results showed that Chlorella originating from different latitudes portrayed different growth trends and photosynthetic performance. The Chlorella genus is eurythermal, with a broad temperature tolerance range, but with strain-specific characteristics. However, there was a large overlap between the tolerance range of the four strains due to their eurythermal adaptivity. Changes in the photosynthetic parameters indicated temperature stress. The ability of the four strains to reactivate photosynthesis after inhibition of photosynthesis under high temperatures was also studied. The Chlorella strains were shown to recover in terms of photosynthesis and growth (measured as Chl a) when they were returned to their ambient temperatures. Polar strains showed faster recovery in their optimal temperature compared to that under the ambient temperature from which they were isolated.</t>
  </si>
  <si>
    <t>[Lee, Kok-Keong; Lim, Phaik-Eem; Poong, Sze-Wan; Phang, Siew-Moi] Univ Malaya, Inst Ocean &amp; Earth Sci, Kuala Lumpur 50603, Malaysia; [Lee, Kok-Keong] Univ Malaya, Inst Grad Studies, Kuala Lumpur 50603, Malaysia; [Wong, Chiew-Yen] Int Med Univ, Sch Hlth Sci, Kuala Lumpur 57000, Malaysia; [Wong, Chiew-Yen] Univ Malaya, Natl Antarctic Res Ctr, Kuala Lumpur 50603, Malaysia; [Phang, Siew-Moi] Univ Malaya, Inst Biol Sci, Kuala Lumpur 50603, Malaysia; [Beardall, John] Monash Univ, Sch Biol Sci, Clayton, Vic 3800, Australia</t>
  </si>
  <si>
    <t>Universiti Malaya; Universiti Malaya; International Medical University Malaysia; Universiti Malaya; Universiti Malaya; Monash University</t>
  </si>
  <si>
    <t>Lim, PE (corresponding author), Univ Malaya, Inst Ocean &amp; Earth Sci, Kuala Lumpur 50603, Malaysia.</t>
  </si>
  <si>
    <t>phaikeem@um.edu.my</t>
  </si>
  <si>
    <t>Beardall, John/L-5262-2019; Phang, Siew Moi/A-7653-2008; LIM, Phaik Eem/B-5331-2010; Poong, Sze Wan/S-2212-2016</t>
  </si>
  <si>
    <t>Beardall, John/0000-0001-7684-446X; LIM, Phaik Eem/0000-0001-9186-1487; Poong, Sze Wan/0000-0003-4033-864X; Wong, Chiew-Yen/0000-0003-0534-6206</t>
  </si>
  <si>
    <t>HiCoE Grant from the Ministry of Higher Education (MOHE), Malaysia [IOES-2014H]; University of Malaya Postgraduate Research Fund [PG121-2015A]; Knowledge Management Grant [RP001O-13SUS]; Antarctic Flagship Project by the Ministry of Science, Technology &amp; Innovation (MOSTI), Malaysia [FP0712E012, PV002-2015]</t>
  </si>
  <si>
    <t>HiCoE Grant from the Ministry of Higher Education (MOHE), Malaysia; University of Malaya Postgraduate Research Fund(Universiti Malaya); Knowledge Management Grant; Antarctic Flagship Project by the Ministry of Science, Technology &amp; Innovation (MOSTI), Malaysia</t>
  </si>
  <si>
    <t>Supported by the HiCoE Grant (No. IOES-2014H) from the Ministry of Higher Education (MOHE), Malaysia, the University of Malaya Postgraduate Research Fund (No. PG121-2015A), the Knowledge Management Grant (No. RP001O-13SUS), and the Antarctic Flagship Project (Nos. FP0712E012, PV002-2015) by the Ministry of Science, Technology &amp; Innovation (MOSTI), Malaysia</t>
  </si>
  <si>
    <t>16 DONGHUANGCHENGGEN NORTH ST, Building 5, Room 411, BEIJING, 100009, PEOPLES R CHINA</t>
  </si>
  <si>
    <t>2523-3521</t>
  </si>
  <si>
    <t>10.1007/s00343-018-7093-x</t>
  </si>
  <si>
    <t>GP9IQ</t>
  </si>
  <si>
    <t>WOS:000441231100022</t>
  </si>
  <si>
    <t>Xie, MS; Li, J; He, PQ; Lin, XZ</t>
  </si>
  <si>
    <t>Xie Maisheng; Li Jiang; He Peiqing; Lin Xuezheng</t>
  </si>
  <si>
    <t>Expression and characterization of a bifunctional alginate lyase named Al163 from the Antarctic bacterium Pseudoalteromonas sp NJ-21</t>
  </si>
  <si>
    <t>Pseudoalteromonas sp.; alginate lyase; PL-6 family</t>
  </si>
  <si>
    <t>SPHINGOMONAS SP A1; CYTOKINE PRODUCTION; ESCHERICHIA-COLI; MAJOR SOURCES; FAMILY 6; OLIGOSACCHARIDES; CLONING; GROWTH; CELLS; ACID</t>
  </si>
  <si>
    <t>In this study, an endolytic alginate lyase, named Al163, was identified, cloned, and characterized from the Antarctic bacterium Pseudoalteromonas sp. NJ-21. Comparative sequence analysis showed that the predicted amino acid sequence encoded by al163 belongs to the polysaccharide lyase 6 (PL-6) family and has a molecular mass of about 80 kDa. Recombinant enzyme was purified by Ni-Sepharose affinity chromatography. Recombinant Al163 exhibited maximum activity (258 U/mg) at pH 7.0 and 40 degrees C, and thermal stability assays showed retention of almost 90% activity after incubation at 30 degrees C for 30 min. Al163 activity was stimulated by Cd2+, Ca2+, Fe (3+), and Mn2+, but inhibited by Cu2+, Si2+, Fe2+, and Ni2+. Thin-layer chromatographic analysis indicated that Al163 degraded sodium alginate, polyM, and polyG, generating disaccharides and trisaccharides as the final products. Only a few bacterial strains that produce a bifunctional alginate lyase have been reported. Our results indicate that recombinant Al163 exhibits broad substrate specificity and its products exhibit low degrees of polymerization. Both properties imply high potential for use of the enzyme in several industrial fields, including cosmetics and pharmaceuticals, based on the high demand for biologically active oligosaccharides.</t>
  </si>
  <si>
    <t>[Xie Maisheng; Li Jiang; He Peiqing; Lin Xuezheng] State Ocean Adm SOA, Inst Oceanog 1, Key Lab Marine Bioact Subst, Qingdao 266061, Peoples R China; [Li Jiang; He Peiqing; Lin Xuezheng] Key Lab Marine Nat Prod Qingdao, Qingdao 266061, Peoples R China</t>
  </si>
  <si>
    <t>Li, J (corresponding author), State Ocean Adm SOA, Inst Oceanog 1, Key Lab Marine Bioact Subst, Qingdao 266061, Peoples R China.;Li, J (corresponding author), Key Lab Marine Nat Prod Qingdao, Qingdao 266061, Peoples R China.</t>
  </si>
  <si>
    <t>lijiang@fio.org.cn</t>
  </si>
  <si>
    <t>Public Science and Technology Research Funds Project of Ocean [201505026-4]; Chinese Polar Environment Comprehensive Investigation &amp; Assessment Programs [CHINARE2016-01-05]; Basic Scientific Research Funds of First Institute of Oceanography, State Oceanic Administration (SOA) [2014T09]; Qingdao Applied Basic Research Project [14-2-4-14-jch]</t>
  </si>
  <si>
    <t>Public Science and Technology Research Funds Project of Ocean; Chinese Polar Environment Comprehensive Investigation &amp; Assessment Programs; Basic Scientific Research Funds of First Institute of Oceanography, State Oceanic Administration (SOA); Qingdao Applied Basic Research Project</t>
  </si>
  <si>
    <t>Supported by the Public Science and Technology Research Funds Project of Ocean (No. 201505026-4), the Chinese Polar Environment Comprehensive Investigation &amp; Assessment Programs (No. CHINARE2016-01-05), the Basic Scientific Research Funds of First Institute of Oceanography, State Oceanic Administration (SOA) (No. 2014T09), and the Qingdao Applied Basic Research Project (No. 14-2-4-14-jch).</t>
  </si>
  <si>
    <t>10.1007/s00343-018-7074-0</t>
  </si>
  <si>
    <t>WOS:000441231100025</t>
  </si>
  <si>
    <t>Surman, CA; Nicholson, LW; Phillips, RA</t>
  </si>
  <si>
    <t>Surman, Christopher A.; Nicholson, Lisa W.; Phillips, Richard A.</t>
  </si>
  <si>
    <t>Distribution and patterns of migration of a tropical seabird community in the Eastern Indian Ocean</t>
  </si>
  <si>
    <t>JOURNAL OF ORNITHOLOGY</t>
  </si>
  <si>
    <t>Geolocators; Global location sensors; Tracking; Marine threat</t>
  </si>
  <si>
    <t>COMPARATIVE FORAGING ECOLOGY; WEDGE-TAILED SHEARWATER; BREEDING SEABIRDS; HOUTMAN ABROLHOS; LESSER NODDY; ISLAND; BEHAVIOR; TERNS</t>
  </si>
  <si>
    <t>We present the first detailed data on the distribution and migration patterns of four pelagic seabird species in the Eastern Indian Ocean-the Lesser Noddy (Anous tenuirostris melanops), Brown Noddy (Anous stolidus), Wedge-tailed Shearwater (Ardenna pacifica) and Bridled Tern (Onychoprion anaethetus) breeding at the Houtman Abrolhos and the Wedge-tailed Shearwater breeding at Varanus Island, Western Australia-tracked using geolocators during their respective non-breeding periods. Lesser Noddies remained largely in the general vicinity or slightly to the south of the colony in their non-breeding season (February-September). Brown Noddies spent their non-breeding period (March-August) in the Northwest Shelf area of Western Australia, around 950 km north of the colony. In contrast, Bridled Terns and most Wedge-tailed Shearwaters undertook extensive non-breeding migrations. Wedge-tailed Shearwaters occupied waters adjacent or to the north of their nesting sites or migrated 4200 km northwest into the equatorial central Indian Ocean near the Ninety East Ridge during the non-breeding season (late April to mid-November). These same areas were used during the sabbatical summer by Wedge-tailed Shearwaters that had deferred breeding. Bridled Terns spent their non-breeding period (April-September) in the Celebes Sea, 3800 km north of the Houtman Abrolhos. The results are discussed in the context of potential marine threats to the different species during the non-breeding period.</t>
  </si>
  <si>
    <t>[Surman, Christopher A.; Nicholson, Lisa W.] Halfmoon Biosci, 45 Heather Rd, Ocean Beach, WA 6333, Australia; [Phillips, Richard A.] NERC, British Antarctic Survey, Madingley Rd, Cambridge CB3 0ET, England</t>
  </si>
  <si>
    <t>Surman, CA (corresponding author), Halfmoon Biosci, 45 Heather Rd, Ocean Beach, WA 6333, Australia.</t>
  </si>
  <si>
    <t>halfmoon.biosciences@westnet.com.au</t>
  </si>
  <si>
    <t>NERC [bas0100035] Funding Source: UKRI</t>
  </si>
  <si>
    <t>2193-7192</t>
  </si>
  <si>
    <t>2193-7206</t>
  </si>
  <si>
    <t>J ORNITHOL</t>
  </si>
  <si>
    <t>J. Ornithol.</t>
  </si>
  <si>
    <t>10.1007/s10336-018-1556-x</t>
  </si>
  <si>
    <t>GL3BJ</t>
  </si>
  <si>
    <t>WOS:000437001800023</t>
  </si>
  <si>
    <t>Vieira, G; Puric, J; Morao, LG; dos Santos, JA; Inforsato, FJ; Sette, LD; Ferreira, H; Sass, DC</t>
  </si>
  <si>
    <t>Vieira, G.; Puric, J.; Morao, L. G.; dos Santos, J. A.; Inforsato, F. J.; Sette, L. D.; Ferreira, H.; Sass, D. C.</t>
  </si>
  <si>
    <t>Terrestrial and marine Antarctic fungi extracts active against Xanthomonas citri subsp citri</t>
  </si>
  <si>
    <t>LETTERS IN APPLIED MICROBIOLOGY</t>
  </si>
  <si>
    <t>Antarctic fungi; antibacterial action; citrus canker; secondary metabolites; Xanthomonas</t>
  </si>
  <si>
    <t>ANTIBACTERIAL; ANTIFUNGAL; RESISTANCE; DIVERSITY; DNA</t>
  </si>
  <si>
    <t>This study aims to obtain secondary metabolites extracts from filamentous fungi isolated from soil and marine sediments from Antarctica and assess its potential antibacterial activity on Xanthomonas citri subsp. citri, the agent of citrus canker. Metabolites production was conducted in Malt 2% broth at 15 degrees C for 20days after which intracellular and extracellular extracts were obtained. The extracts were evaluated by cell viability assays through Resazurin Microtitre Assay. From 158 fungal extracts, 33 hampered bacterial growth invitro. The average inhibition of the extracts obtained from terrestrial (soil) and marine (sediments) fungi was 94 and 97% respectively. These inhibition values were close to the average of 90% cell death for the positive control. MIC90 and MBC for the bioactive extracts were established. Isolates that produced active metabolites against the phytopathogen were identified using molecular taxonomy (ITS-rRNA sequencing) as: Pseudogymnoascus, Penicillium, Cadophora, Paraconiothyrium and Toxicocladosporium. Antarctic fungal strains isolated from terrestrial and marine sediments were able to produce secondary metabolites with antimicrobial activity against X. citri subsp. citri, highlighting the importance of these microbial genetic resources. These metabolites have potential to be used as alternatives for the control of this plant pathogen. Significance and Impact of the StudyThis manuscript makes an impact on the study of micro-organisms from extreme habitats and their possible contribution in discovering new active molecules against pathogens of agricultural interest. Studies on the Antarctic continent and its communities have attracted the scientific community due to the long period of isolation and low levels of disturbance that surrounds the region. Knowing the potential of fungi in this region to produce active secondary metabolites, we aim to contribute to the discovery of compounds with antibacterial action in Xanthomonas citri subsp. citri, a plant pathogen present in several regions around the globe.</t>
  </si>
  <si>
    <t>[Vieira, G.; Puric, J.; Morao, L. G.; dos Santos, J. A.; Inforsato, F. J.; Sette, L. D.; Ferreira, H.; Sass, D. C.] Sao Paulo State Univ UNESP Julio de Mesquita Filh, Inst Biosci, Dept Biochem &amp; Microbiol, Rio Claro, SP, Brazil</t>
  </si>
  <si>
    <t>Universidade Estadual Paulista</t>
  </si>
  <si>
    <t>Sass, DC (corresponding author), Sao Paulo State Univ UNESP Julio de Mesquita Filh, Inst Biosci, Dept Biochem &amp; Microbiol, Rio Claro, SP, Brazil.</t>
  </si>
  <si>
    <t>daiane_sass@rc.unesp.br</t>
  </si>
  <si>
    <t>Morão, Luana G./H-5230-2018; Vieira, Gabrielle/Q-6455-2019; Ferreira, Henrique/AAD-3608-2020; Sass, Daiane Cristina/AHE-8650-2022; dos Santos, Juliana Aparecida/ITW-1493-2023; Sette, Lara Durães/C-8298-2013; Puric, Jagos/H-9128-2019</t>
  </si>
  <si>
    <t>Morão, Luana G./0000-0002-5574-8564; Ferreira, Henrique/0000-0002-9183-9420; Sass, Daiane Cristina/0000-0001-9466-5633; dos Santos, Juliana Aparecida/0000-0003-4654-4698; Sette, Lara Durães/0000-0002-5980-3786; Vieira, Gabrielle/0000-0001-8364-4044</t>
  </si>
  <si>
    <t>Coordenacao de Aperfeicoamento de Pessoal de Nivel Superior (CAPES); Fundacao de Amparo a Pesquisa do Estado de Sao Paulo (FAPESP) [2015/20629-6, 2016/07957-7]; Conselho Nacional de Desenvolvimento Cientifico e Tecnologico (CNPq); Pro-Reitoria de Pesquisa da UNESP; Fundacao de Amparo a Pesquisa do Estado de Sao Paulo (FAPESP) [15/20629-6, 16/07957-7] Funding Source: FAPESP</t>
  </si>
  <si>
    <t>Coordenacao de Aperfeicoamento de Pessoal de Nivel Superior (CAPES)(Coordenacao de Aperfeicoamento de Pessoal de Nivel Superior (CAPES)); Fundacao de Amparo a Pesquisa do Estado de Sao Paulo (FAPESP)(Fundacao de Amparo a Pesquisa do Estado de Sao Paulo (FAPESP)); Conselho Nacional de Desenvolvimento Cientifico e Tecnologico (CNPq)(Conselho Nacional de Desenvolvimento Cientifico e Tecnologico (CNPQ)); Pro-Reitoria de Pesquisa da UNESP; Fundacao de Amparo a Pesquisa do Estado de Sao Paulo (FAPESP)(Fundacao de Amparo a Pesquisa do Estado de Sao Paulo (FAPESP))</t>
  </si>
  <si>
    <t>Coordenacao de Aperfeicoamento de Pessoal de Nivel Superior (CAPES), Fundacao de Amparo a Pesquisa do Estado de Sao Paulo (FAPESP) (grants #2015/20629-6 and #2016/07957-7), Conselho Nacional de Desenvolvimento Cientifico e Tecnologico (CNPq) e Pro-Reitoria de Pesquisa da UNESP.</t>
  </si>
  <si>
    <t>0266-8254</t>
  </si>
  <si>
    <t>1472-765X</t>
  </si>
  <si>
    <t>LETT APPL MICROBIOL</t>
  </si>
  <si>
    <t>Lett. Appl. Microbiol.</t>
  </si>
  <si>
    <t>10.1111/lam.12890</t>
  </si>
  <si>
    <t>Biotechnology &amp; Applied Microbiology; Microbiology</t>
  </si>
  <si>
    <t>GJ0WR</t>
  </si>
  <si>
    <t>WOS:000434975700009</t>
  </si>
  <si>
    <t>Zheng, GG; Liu, XC; Liu, SW; Zhang, SH; Zhao, Y</t>
  </si>
  <si>
    <t>Zheng, Guang-Gao; Liu, Xiaochun; Liu, Shuwen; Zhang, Shuan-Hong; Zhao, Yue</t>
  </si>
  <si>
    <t>Late Mesozoic-early Cenozoic intermediate-acid intrusive rocks from the Gerlache Strait area, Antarctic Peninsula: Zircon U-Pb geochronology, petrogenesis and tectonic implications</t>
  </si>
  <si>
    <t>LITHOS</t>
  </si>
  <si>
    <t>Intermediate-acid intrusive rocks; Geochronology; Geochemistry; Sr-Nd-Hf isotopes; Petrogenesis; Antarctic Peninsula</t>
  </si>
  <si>
    <t>SOUTH SHETLAND ISLANDS; EASTERN PALMER-LAND; COLLECTOR ICP-MS; WEST ANTARCTICA; LASER-ABLATION; ELLSWORTH LAND; TRACE-ELEMENT; CONTINENTAL-CRUST; GONDWANA MARGIN; ARC MAGMATISM</t>
  </si>
  <si>
    <t>This paper reports zircon U-Pb geochronology, whole-rock chemistry and Sr-Nd-Hf isotopic data of intermediate-acid intrusive rocks from the Gerlache Strait area, Antarctic Peninsula. These intrusive rocks can be divided into three groups. Group #1 has an emplacement age of ca. 117 Ma, and is further subdivided according to K2O contents into High-K (HKS) and Low-K (LKS) Subgroups. The HKS monzogranites are weakly peraluminous, and yield epsilon(Hf)(t) and epsilon(Nd)(t) values of +0.9 to +2.3 and +0.1 to +2.3, respectively, with corresponding model Nd ages (T-DM(Nd)) of 766-471 Ma, indicating that they were derived from the partial melting of dominantly early Neoproterozoic to early Paleozoic juvenile basaltic materials with minor involvement of sediments. In contrast, the LKS granodioritic magma was derived from partial melting of early Paleozoic juvenile basaltic materials with epsilon(Hf)(t) and epsilon(Nd)(t) values of +10.3 to +12.5 and +5.4 to +5.5, respectively, and corresponding T-DM(Nd) ages of 548-500 Ma. Group #2 consists of granite porphyry that formed at ca. 82 Ma and is characterized by positive values of epsilon(Hf)(t) (+5.1 to +8.1) and epsilon(Nd)(t) (+1.9 to +3.1) with weakly peraluminous chemistry and corresponding T-DM(Nd) ages of 712-548 Ma, suggesting that it was generated from partial melting of dominantly Neoproterozoic juvenile basaltic materials with minor involvement of sediments. Group #3 comprises dioritic-granodioritic rocks that were emplaced at ca. 62-54 Ma. These rocks have Mg# values of 39-46, and epsilon(Hf)(t) and epsilon(Nd)(t) values of +6.7 to +12.2 and +3.6 to +7.2, respectively, with corresponding T-DM(Nd) ages of 529-307 Ma, indicating that they were derived from partial melting of Paleozoic juvenile basaltic materials with minor injection of mantle materials. Spatially, the lithology of these plutons roughly changes from acid to intermediate from east to west, concomitant with increasing epsilon(Hf)(t) and epsilon(Nd)(t) values and decreasing initial Sr-87/Sr-86 ratios and T-DM(Nd) ages. This trend reflects changes in source characteristics from a Gondwana affinity to a juvenile crust affinity. Overall, the southeast-to-northwest migration of magmatism in the northern Antarctic Peninsula since the Mesozoic may have been related to retreating subduction of the paleo-Pacific plate. (C) 2018 Elsevier B.V. All rights reserved.</t>
  </si>
  <si>
    <t>[Zheng, Guang-Gao; Liu, Xiaochun; Zhang, Shuan-Hong; Zhao, Yue] Chinese Acad Geol Sci, Inst Geomech, 11 Minzudaxue Nanlu, Beijing 100081, Peoples R China; [Zheng, Guang-Gao; Liu, Shuwen] Peking Univ, Sch Earth &amp; Space Sci, Beijing 100871, Peoples R China</t>
  </si>
  <si>
    <t>China Geological Survey; Chinese Academy of Geological Sciences; Institute of Geomechanics, Chinese Academy of Geological Sciences; Peking University</t>
  </si>
  <si>
    <t>Liu, XC (corresponding author), Chinese Acad Geol Sci, Inst Geomech, 11 Minzudaxue Nanlu, Beijing 100081, Peoples R China.;Liu, SW (corresponding author), Peking Univ, 5 Yiheyuan Rd Haidian Dist, Beijing 100871, Peoples R China.</t>
  </si>
  <si>
    <t>liuxchqw@cags.ac.cn; swliu@pku.edu.cn</t>
  </si>
  <si>
    <t>Zhang, Shuan-Hong/G-6488-2010</t>
  </si>
  <si>
    <t>Zhang, Shuan-Hong/0000-0002-2177-9039</t>
  </si>
  <si>
    <t>National Natural Science Foundation of China [41372082]; Chinese Polar Environment Comprehensive Investigation &amp; Assessment Programmes [CHINARE2016-02-05]; Geological Investigation Project of the Chinese Geological Survey [DD20160149, DD20160060]</t>
  </si>
  <si>
    <t>National Natural Science Foundation of China(National Natural Science Foundation of China (NSFC)); Chinese Polar Environment Comprehensive Investigation &amp; Assessment Programmes; Geological Investigation Project of the Chinese Geological Survey</t>
  </si>
  <si>
    <t>We would like to thank I. W. D. Dalziel, R. A. J. Trouw and Liang Gao for fieldwork assistance during the 2012-2013 and 2014-2015 Antarctic summer season, and Wei Wang and Sheng-Ping Qian for their assistance with laboratory analyses. We are particularly grateful to Philip T. Leat and Michael J. Flowerdew for their constructive and helpful reviews. We gratefully acknowledge logistical support from the 29th and 31st Chinese National Antarctic Research Expeditions and financial support from the National Natural Science Foundation of China (41372082), the Chinese Polar Environment Comprehensive Investigation &amp; Assessment Programmes (CHINARE2016-02-05), and the Geological Investigation Project of the Chinese Geological Survey (DD20160149 and DD20160060).</t>
  </si>
  <si>
    <t>0024-4937</t>
  </si>
  <si>
    <t>1872-6143</t>
  </si>
  <si>
    <t>Lithos</t>
  </si>
  <si>
    <t>10.1016/j.lithos.2018.05.008</t>
  </si>
  <si>
    <t>Geochemistry &amp; Geophysics; Mineralogy</t>
  </si>
  <si>
    <t>GL3TO</t>
  </si>
  <si>
    <t>WOS:000437064600012</t>
  </si>
  <si>
    <t>Paquette, JA; Engrand, C; Hilchenbach, M; Fray, N; Stenzel, OJ; Silen, J; Rynö, J; Kissel, J</t>
  </si>
  <si>
    <t>Paquette, J. A.; Engrand, C.; Hilchenbach, M.; Fray, N.; Stenzel, O. J.; Silen, J.; Ryno, J.; Kissel, J.</t>
  </si>
  <si>
    <t>Cosima Team</t>
  </si>
  <si>
    <t>The oxygen isotopic composition (18O/16O) in the dust of comet 67P/Churyumov-Gerasimenko measured by COSIMA on-board Rosetta</t>
  </si>
  <si>
    <t>comets: general; comets: individual: 67P/Churyumov-Gerasimenko; planetary systems</t>
  </si>
  <si>
    <t>INTERPLANETARY DUST; SOLAR-SYSTEM; ANTARCTIC MICROMETEORITES; MASS-SPECTROMETER; 81P/WILD 2; PARTICLES; RATIOS; WATER; STARDUST; MATTER</t>
  </si>
  <si>
    <t>The oxygen isotopic ratio O-18/O-16 has been measured in cometary gas for a wide variety of comets, but the only measurements in cometary dust were performed by the Stardust cometary sample return mission. Most such measurements find a value of the ratio that is consistent with Vienna Standard Mean Ocean Water (VSMOW) within errors. In this work we present the result of a measurement, using the COSIMA (the COmetary Secondary Ion Mass Analyser) instrument on the Rosetta orbiter, of the oxygen isotopic ratio in dust from Comet 67P/Churyumov-Gerasimenko. Measuring the O-18/O-16 ratio with COSIMA is challenging for a number of reasons, but it is possible with a reasonable degree of precision. We find a result of 2.00 x 10(-3) +/- 1.2 x 10(-4), which is consistent within errors with VSMOW.</t>
  </si>
  <si>
    <t>[Paquette, J. A.; Hilchenbach, M.; Stenzel, O. J.; Kissel, J.] Max Planck Inst Sonnensyst Forsch, Justus von Liebig Weg 3, D-37077 Gottingen, Germany; [Engrand, C.] Univ Paris Saclay, CSNSM, CNRS, IN2P3,Univ Paris Sud,UMR8609, Bat 104, F-91405 Orsay, France; [Fray, N.] Univ Paris Est Creteil, UMR CNRS 7583, LISA, F-94000 Creteil, France; [Fray, N.] Univ Paris Diderot, Inst Pierre Simon Laplace, F-94000 Creteil, France; [Silen, J.; Ryno, J.] Finnish Meteorol Inst, Observat Serv, Erik Palmenin Aukio 1, FI-00560 Helsinki, Finland</t>
  </si>
  <si>
    <t>Max Planck Society; Universite Paris Cite; Universite Paris Saclay; Centre National de la Recherche Scientifique (CNRS); CNRS - National Institute of Nuclear and Particle Physics (IN2P3); Universite Paris-Est-Creteil-Val-de-Marne (UPEC); Universite Paris Cite; Universite Paris Saclay; Universite Paris Cite; Finnish Meteorological Institute</t>
  </si>
  <si>
    <t>Paquette, JA (corresponding author), Max Planck Inst Sonnensyst Forsch, Justus von Liebig Weg 3, D-37077 Gottingen, Germany.</t>
  </si>
  <si>
    <t>paquette@mps.mpg.de</t>
  </si>
  <si>
    <t>Fray, Nicolas/0000-0002-9140-5462; Stenzel, Oliver/0000-0001-7253-8588; Engrand, Cecile/0000-0002-0396-5583</t>
  </si>
  <si>
    <t>Germany (DLR) [50 QP 1302]; France (CNES), Austria, Finland; ESA Technical Directorate</t>
  </si>
  <si>
    <t>Germany (DLR)(Helmholtz AssociationGerman Aerospace Centre (DLR)); France (CNES), Austria, Finland; ESA Technical Directorate</t>
  </si>
  <si>
    <t>COSIMA was built by a consortium led by the Max-Planck-Institut fur Extraterrestrische Physik, Garching, Germany, in collaboration with Laboratoire de Physique et Chimie de l'Environnement et 8 de l'Espace, Orleans, France, Institut d'Astrophysique Spatiale, CNRS/Universite Paris Sud, Orsay, France, Finnish Meteorological Institute, Helsinki, Finland, Universitat Wuppertal, Wuppertal, Germany, von Hoerner und Sulger GmbH, Schwetzingen, Germany, Universitat der Bundeswehr, Neubiberg, Germany, Institut fur Physik, Forschungszentrum Seibersdorf, Seibersdorf, Austria, Institut furWeltraumforschung, Osterreichische Akademie der Wissenschaften, Graz, Austria, and is led by the Max-Planck-Institut fur Sonnensystemforschung, Gottingen, Germany. The support of the national funding agencies of Germany (DLR, grant 50 QP 1302), France (CNES), Austria, Finland, and the ESA Technical Directorate is gratefully acknowledged. We thank the Rosetta Science Ground Segment at ESAC, the Rosetta Mission Operations Centre at ESOC, and the Rosetta Project at ESTEC for their outstanding work enabling the science return of the Rosetta Mission.</t>
  </si>
  <si>
    <t>10.1093/mnras/sty560</t>
  </si>
  <si>
    <t>GH8CH</t>
  </si>
  <si>
    <t>WOS:000433893700071</t>
  </si>
  <si>
    <t>Lough, AC; Wiens, DA; Nyblade, A</t>
  </si>
  <si>
    <t>Lough, Amanda C.; Wiens, Douglas A.; Nyblade, Andrew</t>
  </si>
  <si>
    <t>Reactivation of ancient Antarctic rift zones by intraplate seismicity</t>
  </si>
  <si>
    <t>EAST ANTARCTICA; EARTHQUAKES; PROPAGATION; SUPPRESSION; MAGNITUDE; TANZANIA; STRESSES; SCALE; SIZE</t>
  </si>
  <si>
    <t>Buried deep beneath the Antarctic polar ice sheet, the geological structure and tectonic activity of East Antarctica have long remained unknown. The apparent lack of tectonic seismicity was thought to be anomalous relative to other continental interiors and has been attributed to a lack of intraplate stress due to the surrounding spreading ridges and low absolute plate velocity or to the weight of ice sheets increasing the normal stress. Here we report 27 intraplate tectonic earthquakes detected by the AGAP/GAMSEIS seismic array during 2009 in the interior of East Antarctica, which represents locally recorded seismicity in the region. The earthquakes are primarily extensional and located at shallow to mid-crustal depths beneath sedimentary basins aligned linearly adjacent to the Gamburtsev Subglacial Mountains. The basins may be part of an ancient continental rift system, which provides a zone of pre-existing tectonic weakness that focuses the seismicity. These events, when combined with events in published catalogues of Antarctic seismicity, indicate levels of seismicity in East Antarctica of the same order of magnitude as that of other stable cratons, such as the Canadian Shield.</t>
  </si>
  <si>
    <t>[Lough, Amanda C.] Drexel Univ, Dept Biodivers Earth &amp; Environm Sci, Philadelphia, PA 19104 USA; [Wiens, Douglas A.] Washington Univ, Dept Earth &amp; Planetary Sci, St Louis, MO 63130 USA; [Nyblade, Andrew] Penn State Univ, Dept Geosci, University Pk, PA 16802 USA</t>
  </si>
  <si>
    <t>Drexel University; Washington University (WUSTL); Pennsylvania Commonwealth System of Higher Education (PCSHE); Pennsylvania State University; Pennsylvania State University - University Park</t>
  </si>
  <si>
    <t>Lough, AC (corresponding author), Drexel Univ, Dept Biodivers Earth &amp; Environm Sci, Philadelphia, PA 19104 USA.</t>
  </si>
  <si>
    <t>acl93@drexel.edu</t>
  </si>
  <si>
    <t>Wiens, Douglas/J-9259-2016</t>
  </si>
  <si>
    <t>Wiens, Douglas/0000-0002-5169-4386</t>
  </si>
  <si>
    <t>US National Science Foundation [ANT-0537597, ANT-0537371, ANT-0838934, ANT-0838973, PLR-1246712]; NSF [EAR-1063471]; NSF Office of Polar Programs; DOE National Nuclear Security Administration</t>
  </si>
  <si>
    <t>US National Science Foundation(National Science Foundation (NSF)); NSF(National Science Foundation (NSF)); NSF Office of Polar Programs(National Science Foundation (NSF)); DOE National Nuclear Security Administration(National Nuclear Security AdministrationUnited States Department of Energy (DOE))</t>
  </si>
  <si>
    <t>We thank the polar support specialists at IRIS/PASSCAL, who provided both instrumentation and field support during the operation of this array, and the pilots and staff of Kenn Borek Air and the New York Air National Guard for flight support. We thank the US Antarctic program, its contractors and staff at the South Pole Station, McMurdo Station and AGAP-S camp for logistical support. We also thank the members of the AGAP/GAMSEIS field team, particularly P. Shore, who were essential for gathering this data set. This research was supported by the US National Science Foundation under grants ANT-0537597, ANT-0537371, ANT-0838934, ANT-0838973 and PLR-1246712. Seismic data are available through the IRIS DMC. The facilities of the IRIS Consortium are supported by the NSF under Cooperative Agreement EAR-1063471, the NSF Office of Polar Programs and the DOE National Nuclear Security Administration.</t>
  </si>
  <si>
    <t>10.1038/s41561-018-0140-6</t>
  </si>
  <si>
    <t>GN1ZQ</t>
  </si>
  <si>
    <t>WOS:000438794800015</t>
  </si>
  <si>
    <t>Kender, S; Bogus, KA; Cobb, TD; Thomas, DJ</t>
  </si>
  <si>
    <t>Kender, Sev; Bogus, Kara A.; Cobb, Ty D.; Thomas, Deborah J.</t>
  </si>
  <si>
    <t>Neodymium Evidence for Increased Circumpolar Deep Water Flow to the North Pacific During the Middle Miocene Climate Transition</t>
  </si>
  <si>
    <t>Neodymium isotopes; Fish teeth; Philippine Sea; Pacific meridional overturning circulation; Neogene; Circumpolar Deep Water</t>
  </si>
  <si>
    <t>GLOBAL OCEAN CIRCULATION; RARE-EARTH-ELEMENT; OVERTURNING CIRCULATION; ISOTOPIC COMPOSITION; IZU-BONIN; ND; SEAWATER; MA; PALEOCEANOGRAPHY; RECORD</t>
  </si>
  <si>
    <t>Low salinity surface water inhibits local deepwater formation in the modern North Pacific. Instead, southern-sourced Circumpolar Deep Water (CDW) fills the basin, which is the product of water masses formed from cold sinking centers in the Southern Ocean and North Atlantic. This CDW is responsible for transporting a significant amount of global heat and dissolved carbon in the deep Pacific Ocean. The history of its flow and the broader overturning circulation are widely assumed to be sensitive to climate perturbations. However, insufficient records exist of CDW presence in the deep North Pacific with which to evaluate its evolution and role in major climate transitions of the past 23 Ma. Here we report sedimentary coatings and fish teeth neodymium isotope values-tracers for water-mass mixing-from deepwater International Ocean Discovery Program Site U1438 (4.7km water depth) in the Philippine Sea, northwest Pacific Ocean. Our results indicate the water mass shifted from a North Pacific source in the early Miocene to a southern source by similar to 14 Ma. Within the age model and temporal constraints, this major reorganization of North Pacific water mass structure may have coincided with ice sheet build up on Antarctica and is most consistent with an increased northward flux of CDW due to enhanced sinking of cold water forced by Antarctic cooling. The northward extent of this flux may have remained relatively constant during much of the past 14 Ma.</t>
  </si>
  <si>
    <t>[Kender, Sev; Bogus, Kara A.] Univ Exeter, Camborne Sch Mines, Penryn, England; [Kender, Sev] British Geol Survey, Nottingham, England; [Bogus, Kara A.] Texas A&amp;M Univ, Int Ocean Discovery Program, College Stn, TX USA; [Cobb, Ty D.; Thomas, Deborah J.] Texas A&amp;M Univ, Dept Oceanog, College Stn, TX 77843 USA</t>
  </si>
  <si>
    <t>University of Exeter; UK Research &amp; Innovation (UKRI); Natural Environment Research Council (NERC); NERC British Geological Survey; Texas A&amp;M University System; Texas A&amp;M University College Station; Texas A&amp;M University System; Texas A&amp;M University College Station</t>
  </si>
  <si>
    <t>Kender, S (corresponding author), Univ Exeter, Camborne Sch Mines, Penryn, England.;Kender, S (corresponding author), British Geol Survey, Nottingham, England.</t>
  </si>
  <si>
    <t>s.kender@exter.ac.uk</t>
  </si>
  <si>
    <t>; Kender, Sev/B-9409-2016</t>
  </si>
  <si>
    <t>Bogus, Kara/0000-0003-4690-0576; Kender, Sev/0000-0003-4216-3214</t>
  </si>
  <si>
    <t>Natural Environment Research Council (NERC) [RGS 114419]; NERC [NE/M017370/1] Funding Source: UKRI</t>
  </si>
  <si>
    <t>We thank the IODP for providing core material and the captain, crew, and technical staff of the JOIDES Resolution who sailed on Expedition 351. This work was funded by the Natural Environment Research Council (NERC) grant RGS 114419 to S.K. We thank Jun Tian and an anonymous reviewer for providing helpful comments on the manuscript. The data supporting this publication can be obtained from the tables. The bulk of the shipboard-collected data from this expedition is accessible from the IODP JOIDES Resolution Science Operator, Texas A&amp;M University (TAMU), at http://www.iodp.tamu.edu/database/index.html.</t>
  </si>
  <si>
    <t>10.1029/2017PA003309</t>
  </si>
  <si>
    <t>GQ0AK</t>
  </si>
  <si>
    <t>WOS:000441277800002</t>
  </si>
  <si>
    <t>Baggenstos, D; Severinghaus, JP; Mulvaney, R; McConnell, JR; Sigl, M; Maselli, O; Petit, JR; Grente, B; Steig, EJ</t>
  </si>
  <si>
    <t>Baggenstos, Daniel; Severinghaus, Jeffrey P.; Mulvaney, Robert; McConnell, Joseph Robert; Sigl, Michael; Maselli, Olivia; Petit, Jean-Robert; Grente, Benjamin; Steig, Eric J.</t>
  </si>
  <si>
    <t>A Horizontal Ice Core From Taylor Glacier, Its Implications for Antarctic Climate History, and an Improved Taylor Dome Ice Core Time Scale</t>
  </si>
  <si>
    <t>horizontal ice core; Taylor Glacier; deglaciation; north-south synchonicity; Taylor Dome time scale</t>
  </si>
  <si>
    <t>DEEP AIR CONVECTION; EAST ANTARCTICA; LAST DEGLACIATION; ACCUMULATION RATE; STABLE-ISOTOPES; CARBON-CYCLE; MINERAL DUST; POLAR ICE; ATMOSPHERIC CIRCULATION; WD2014 CHRONOLOGY</t>
  </si>
  <si>
    <t>Ice core records from Antarctica show mostly synchronous temperature variations during the last deglacial transition, an indication that the climate of the entire continent reacted as one unit to the global changes. However, a record from the Taylor Dome ice core in the Ross Sea sector of East Antarctica has been suggested to show a rapid warming, similar in style and synchronous with the Oldest Dryas-Bolling warming in Greenland. Since publication of the Taylor Dome record, a number of lines of evidence have suggested that this interpretation is incorrect and reflects errors in the underlying time scale. The issues raised regarding the dating of Taylor Dome currently linger unresolved, and the original time scale remains the de facto chronology. We present new water isotope and chemistry data from nearby Taylor Glacier to resolve the confusion surrounding the Taylor Dome time scale. We find that the Taylor Glacier record is incompatible with the original interpretation of the Taylor Dome ice core, showing that the warming in the area was gradual and started at similar to 18 ka BP (before 1950) as seen in other East Antarctic ice cores. We build a consistent, up-to-date Taylor Dome chronology from 0 to 60 ka BP by combining new and old age markers based on synchronization to other ice core records. The most notable feature of the new TD2015 time scale is a gas age-ice age difference of up to 12,000 years during the Last Glacial Maximum, by far the largest ever observed.</t>
  </si>
  <si>
    <t>[Baggenstos, Daniel; Severinghaus, Jeffrey P.] Univ Calif San Diego, Scripps Inst Oceanog, La Jolla, CA 92093 USA; [Mulvaney, Robert] NERC, British Antarctic Survey, Cambridge, England; [McConnell, Joseph Robert; Sigl, Michael; Maselli, Olivia] Desert Res Inst, Dept Hydrol Sci, Reno, NV USA; [Petit, Jean-Robert; Grente, Benjamin] Univ Grenoble Alpes, IGE, Grenoble INP, CNRS,IRD, Grenoble, France; [Steig, Eric J.] Univ Washington, Dept Earth &amp; Space Sci, Seattle, WA 98195 USA</t>
  </si>
  <si>
    <t>University of California System; University of California San Diego; Scripps Institution of Oceanography; UK Research &amp; Innovation (UKRI); Natural Environment Research Council (NERC); NERC British Antarctic Survey; Nevada System of Higher Education (NSHE); Desert Research Institute NSHE; Centre National de la Recherche Scientifique (CNRS); Communaute Universite Grenoble Alpes; Institut National Polytechnique de Grenoble; Universite Grenoble Alpes (UGA); Institut de Recherche pour le Developpement (IRD); University of Washington; University of Washington Seattle</t>
  </si>
  <si>
    <t>Baggenstos, D (corresponding author), Univ Calif San Diego, Scripps Inst Oceanog, La Jolla, CA 92093 USA.</t>
  </si>
  <si>
    <t>baggenstos@climate.unibe.ch</t>
  </si>
  <si>
    <t>Baggenstos, Daniel/AAK-5751-2021; Steig, Eric J/G-9088-2015; Mulvaney, Robert/K-3929-2012</t>
  </si>
  <si>
    <t>Baggenstos, Daniel/0000-0001-9756-6884; McConnell, Joseph/0000-0001-9051-5240; Maselli, Olivia/0000-0003-2236-2152; Severinghaus, Jeffrey/0000-0001-8883-3119; Sigl, Michael/0000-0002-9028-9703; Mulvaney, Robert/0000-0002-5372-8148</t>
  </si>
  <si>
    <t>U.S. Antarctic Program Data Center; NERC [bas0100034] Funding Source: UKRI</t>
  </si>
  <si>
    <t>U.S. Antarctic Program Data Center; NERC(UK Research &amp; Innovation (UKRI)Natural Environment Research Council (NERC))</t>
  </si>
  <si>
    <t>The US Antarctic Program provided outstanding logistical support. IDDO (Ice Drilling Design and Operations) provided the drilling systems. The Polar Geospatial Center (PGC) provided satellite imagery. We thank Paul Rose for being a whiz and keeping the chain saws running. Thomas Bauska, Christo Buizert, Michael Dyonisius, Xavier Fain, Benjamin Hmiel, Robb Kulin, James Lee, Chandra Llewellyn, Logan Mitchell, Avery Palardy, Hinrich Schaefer, and Adrian Schilt all helped with sampling in the field. We also thank students and staff of the DRI ice core lab, including Monica Arienzo, Nathan Chellman, and Larry Layman. The data and TD2015 age model are available for download as supporting information accompanying this publication or from the U.S. Antarctic Program Data Center (https://doi.org/10.15784/601103). Finally, we thank two anonymous reviewers for providing careful and constructive reviews.</t>
  </si>
  <si>
    <t>10.1029/2017PA003297</t>
  </si>
  <si>
    <t>WOS:000441277800009</t>
  </si>
  <si>
    <t>Silva, TR; Duarte, AWF; Passarini, MRZ; Ruiz, ALTG; Franco, CH; Moraes, CB; de Melo, IS; Rodrigues, RA; Fantinatti-Garboggini, F; Oliveira, VM</t>
  </si>
  <si>
    <t>Silva, Tiago R.; Duarte, Alysson W. F.; Passarini, Michel R. Z.; Ruiz, Ana Lucia T. G.; Franco, Caio Haddad; Moraes, Carolina Borsoi; de Melo, Itamar Soares; Rodrigues, Rodney A.; Fantinatti-Garboggini, Fabiana; Oliveira, Valeria Maia</t>
  </si>
  <si>
    <t>Bacteria from Antarctic environments: diversity and detection of antimicrobial, antiproliferative, and antiparasitic activities</t>
  </si>
  <si>
    <t>Bioprospecting; Bioactive compounds; Cold environments; 16S rRNA genes; Pseudomonas</t>
  </si>
  <si>
    <t>COLD-ADAPTED MICROORGANISMS; MICROBISPORA-AERATA STRAIN; ANTICANCER DRUG SCREEN; SP NOV.; BACILLUS-SUBTILIS; ANTIBIOTIC PRODUCTION; SOXHLET EXTRACTION; LIVINGSTON ISLAND; MARINE SEDIMENT; SP. NOV.</t>
  </si>
  <si>
    <t>Microorganisms dominate most of Antarctic ecosystems and play a crucial role in their functioning. They are called extremophilic microorganisms with unique and versatile metabolic properties with possible biotechnological applications in several areas. The aim of the present study was to identify psychrotolerant microorganisms from Antarctic continent samples and to screen them for antimicrobial effects. Phylogenetic analyses revealed that most isolates were closely related to recognized species, including those recovered previously from Antarctica, which belonged to the major phyla Firmicutes, Bacteroidetes, Actinobacteria, and Proteobacteria (classes Alpha, Beta, and Gammaproteobacteria). A total of 326 bacterial isolates, distributed in 39 different genera, were recovered and identified based on sequencing of the 16S rRNA gene. The main representative genera were Arthrobacter, Psychrobacter, Pseudoalteromonas, and Rhodococcus. Antimicrobial screening revealed fifteen isolates capable of inhibiting growth of at least one of the indicator strains: Escherichia coli, Micrococcus luteus, Staphylococcus aureus, Bacillus subtilis, and Candida albicans. One psychrotolerant bacterium, Pseudomonas sp. isolate 99, showed a broad antimicrobial range, in addition to antiproliferative and antiparasitic activity. Overall, the small number of antibiotic-producing isolates obtained and the weakness of their inhibition halos corroborated previous findings suggesting that cold-loving bacteria from Antarctica are not as good as their relatives from mesophilic environments for antimicrobial prospecting. Nonetheless, antiproliferative and antiparasitic results observed are promising and suggest that there is an untapped wealth in Antarctic environments for bioprospecting compounds with pharmaceutical potential application.</t>
  </si>
  <si>
    <t>tiago04@gmail.com; vmaia@cpqba.unicamp.br</t>
  </si>
  <si>
    <t>Fantinatti-Garboggini, Fabiana/F-3991-2012; Borsoi Moraes, Carolina/I-4408-2014; Duarte, Alysson Wagner Fernandes/S-8062-2019; Silva, Tiago R/I-1326-2017; Franco, Caio H/N-5560-2017; Passarimi, Michel/AAD-5806-2022; Rodrigues, Rodney A. F./C-7734-2012; Alexandre Ferreira Rodrigues, Rodney/KGL-8482-2024; Ruiz, Ana Lucia Tasca Gois/C-2249-2012; Oliveira, Valéria Maia/L-2422-2014</t>
  </si>
  <si>
    <t>Borsoi Moraes, Carolina/0000-0002-0689-2770; Duarte, Alysson Wagner Fernandes/0000-0001-9626-7524; Silva, Tiago R/0000-0002-2269-9321; Franco, Caio H/0000-0003-2467-9401; Rodrigues, Rodney A. F./0000-0001-5631-0970; Ruiz, Ana Lucia Tasca Gois/0000-0002-0844-8702; Oliveira, Valéria Maia/0000-0001-8817-4758; Fantinatti-Garboggini, Fabiana/0000-0002-0096-047X</t>
  </si>
  <si>
    <t>FAPESP [2014/17936-1, 2016/05640-6]</t>
  </si>
  <si>
    <t>FAPESP(Fundacao de Amparo a Pesquisa do Estado de Sao Paulo (FAPESP))</t>
  </si>
  <si>
    <t>We would like to thank Prof. Luis Henrique Rosa, coordinator of the MycoAntar Project (CNPq), and the Brazilian Antarctic Program for making the sampling feasible in the three expeditions OPERANTAR XXXII (summer 2013/2014), OPERANTAR XXXIII (summer 2014/2015), and OPERANTAR XXXIV (summer 2015/2016). The authors are also grateful to FAPESP for financial funding (process numbers 2014/17936-1; 2016/05640-6).</t>
  </si>
  <si>
    <t>10.1007/s00300-018-2300-y</t>
  </si>
  <si>
    <t>GL4ET</t>
  </si>
  <si>
    <t>WOS:000437102400015</t>
  </si>
  <si>
    <t>Hughes, PD; Gibbard, PL</t>
  </si>
  <si>
    <t>Hughes, Philip D.; Gibbard, Philip L.</t>
  </si>
  <si>
    <t>Global glacier dynamics during 100 ka Pleistocene glacial cycles</t>
  </si>
  <si>
    <t>Glaciation; orbital forcing; glacial cycles; ice sheets; glaciers; Pleistocene</t>
  </si>
  <si>
    <t>CARBON-DIOXIDE CONCENTRATION; SCALE CLIMATE VARIABILITY; QUATERNARY GLACIATION; ICE VOLUME; NORTHERN-HEMISPHERE; DOME-C; ISOTOPE STAGES; RECORD; MARINE; HISTORY</t>
  </si>
  <si>
    <t>Ice volume during the last ten 100 ka glacial cycles was driven by solar radiation flux in the Northern Hemisphere. Early minima in solar radiation combined with critical levels of atmospheric CO2 drove initial glacier expansion. Glacial cycles between Marine Isotope Stage (MIS) 24 and MIS 13, whilst at 100 ka periodicity, were irregular in amplitude, and the shift to the largest amplitude 100 ka glacial cycles occurred after MIS 16. Mountain glaciers in the mid-latitudes and Asia reached their maximum extents early in glacial cycles, then retreated as global climate became increasingly arid. In contrast, larger ice masses close to maritime moisture sources continued to build up and dominated global glacial maxima reflected in marine isotope and sea-level records. The effect of this pattern of glaciation on the state of the global atmosphere is evident in dust records from Antarctic ice cores, where pronounced double peaks in dust flux occur in all of the last eight glacial cycles. Glacier growth is strongly modulated by variations in solar radiation, especially in glacial inceptions. This external control accounts for similar to 50-60% of ice volume change through glacial cycles. Internal global glacier-climate dynamics account for the rest of the change, which is controlled by the geographic distributions of glaciers.</t>
  </si>
  <si>
    <t>[Hughes, Philip D.] Univ Manchester, Sch Environm Educ &amp; Dev, Dept Geog, Oxford Rd, Manchester M13 9PL, Lancs, England; [Gibbard, Philip L.] Univ Cambridge, Scott Polar Res Inst, Lensfield Rd, Cambridge CB2 1ER, England</t>
  </si>
  <si>
    <t>University of Manchester; University of Cambridge</t>
  </si>
  <si>
    <t>Hughes, PD (corresponding author), Univ Manchester, Sch Environm Educ &amp; Dev, Dept Geog, Oxford Rd, Manchester M13 9PL, Lancs, England.</t>
  </si>
  <si>
    <t>philip.hughes@manchester.ac.uk</t>
  </si>
  <si>
    <t>Gibbard, Phil/AAU-8014-2021</t>
  </si>
  <si>
    <t>Hughes, Philip/0000-0002-8284-0219</t>
  </si>
  <si>
    <t>10.1017/qua.2018.37</t>
  </si>
  <si>
    <t>GM3XQ</t>
  </si>
  <si>
    <t>WOS:000438045900016</t>
  </si>
  <si>
    <t>Li, T; Liu, Y; Li, T; Hui, FM; Chen, ZQ; Cheng, X</t>
  </si>
  <si>
    <t>Li, Teng; Liu, Yan; Li, Tian; Hui, Fengming; Chen, Zhuoqi; Cheng, Xiao</t>
  </si>
  <si>
    <t>Antarctic Surface Ice Velocity Retrieval from MODIS-Based Mosaic of Antarctica (MOA)</t>
  </si>
  <si>
    <t>Antarctic; ice velocity; feature tracking; COSI-Corr; filter; MOA</t>
  </si>
  <si>
    <t>OPTICAL SATELLITE IMAGERY; ASTER DATA; LANDSAT 8; QUALITY ASSESSMENT; THWAITES GLACIER; WEST ANTARCTICA; ROCK OUTCROP; RADAR DATA; FLOW; SHEET</t>
  </si>
  <si>
    <t>The velocity of ice flow in the Antarctic is a crucial factor to determine ice discharge and thus future sea level rise. Feature tracking has been widely used in optical and radar imagery with fine resolution to retrieve flow parameters, although the primitive result may be contaminated by noise. In this paper, we present a series of modified post-processing steps, such as SNR thresholding by residual, complex Butterworth filters, and triple standard deviation truncation, to improve the performance of primitive results, and apply it to MODIS-based Mosaic of Antarctica (MOA) datasets. The final velocity field result displays the general flow pattern of the peripheral Antarctic. Seventy-eight out of 97 streamlines starting from seed points are smooth and continuous. The RMSE with 178 manually selected tie points is within 60 m.a(-1). The systematic comparison with Making Earth System Data Records for Use in Research Environments (MEaSUREs) datasets in seven drainages shows that the results regarding high magnitude and large-scale ice shelf are highly reliable; absolute mean and median difference are less than 18 m.a(-1), while the result of localized drainage suffered from too much tracking error. The relative differences from manually selected and random points are controlled within 8% when speed is beyond 500 m.a(-1), but bias and uncertainty are pronounced when speed is lower than that. The result through our accuracy control strategy highlights that coarse remote-sensed images such as Moderate Resolution Imaging Spectrophotometer (MODIS) can still offer the capability for comprehensive and long-term continental ice sheet surface velocity mapping.</t>
  </si>
  <si>
    <t>[Li, Teng; Liu, Yan; Li, Tian; Hui, Fengming; Chen, Zhuoqi; Cheng, Xiao] Beijing Normal Univ, Coll Global Change &amp; Earth Syst Sci GCESS, State Key Lab Remote Sensing Sci, Beijing 100875, Peoples R China; [Li, Teng; Liu, Yan; Li, Tian; Hui, Fengming; Chen, Zhuoqi; Cheng, Xiao] Joint Ctr Global Change Studies, Beijing 100875, Peoples R China</t>
  </si>
  <si>
    <t>Beijing Normal University</t>
  </si>
  <si>
    <t>Cheng, X (corresponding author), Beijing Normal Univ, Coll Global Change &amp; Earth Syst Sci GCESS, State Key Lab Remote Sensing Sci, Beijing 100875, Peoples R China.;Cheng, X (corresponding author), Joint Ctr Global Change Studies, Beijing 100875, Peoples R China.</t>
  </si>
  <si>
    <t>litengbnu@foxmail.com; lyxixi_2003@163.com; litiansky@foxmail.com; huifm@bnu.edu.cn; chenzq@bnu.edu.cn; xcheng@bnu.edu.cn</t>
  </si>
  <si>
    <t>Liu）, 刘岩（Yan/AAT-5481-2020; Li, Teng/E-9284-2018</t>
  </si>
  <si>
    <t>Li, Tian/0000-0002-1577-4004; Li, Teng/0000-0002-5620-3662; Cheng, Xiao/0000-0001-6910-6565</t>
  </si>
  <si>
    <t>National Key Research and Development Program of China [2016YFA0600103]; Strategic Priority Research Program of the Chinese Academy of Sciences [XDA19070202]; National Natural Science Foundation of China [41406211, 41676176, 41676182]; Fundamental Research Funds for the Central Universities in China</t>
  </si>
  <si>
    <t>National Key Research and Development Program of China; Strategic Priority Research Program of the Chinese Academy of Sciences(Chinese Academy of Sciences); National Natural Science Foundation of China(National Natural Science Foundation of China (NSFC)); Fundamental Research Funds for the Central Universities in China</t>
  </si>
  <si>
    <t>This work was supported by the National Key Research and Development Program of China (Grant No. 2016YFA0600103), the Strategic Priority Research Program of the Chinese Academy of Sciences(Grant No. XDA19070202), the National Natural Science Foundation of China (Grant No. 41406211, 41676176 and 41676182), and the Fundamental Research Funds for the Central Universities in China.</t>
  </si>
  <si>
    <t>10.3390/rs10071045</t>
  </si>
  <si>
    <t>GO8IV</t>
  </si>
  <si>
    <t>WOS:000440332500068</t>
  </si>
  <si>
    <t>Cavan, EL; Giering, SLC; Wolff, GA; Trimmer, M; Sanders, R</t>
  </si>
  <si>
    <t>Cavan, E. L.; Giering, S. L. C.; Wolff, G. A.; Trimmer, M.; Sanders, R.</t>
  </si>
  <si>
    <t>Alternative Particle Formation pathways in the Eastern Tropical North Pacific's Biological Carbon Pump</t>
  </si>
  <si>
    <t>PARTICULATE ORGANIC-MATTER; FATTY-ACID; SINKING VELOCITY; ATLANTIC SECTOR; SOUTHERN-OCEAN; FLUX; PHYTOPLANKTON; EXPORT; SEA; SEDIMENTATION</t>
  </si>
  <si>
    <t>A fraction of organic carbon produced in the oceans by phytoplankton sinks storing 5-15 gigatonnes of carbon annually in the ocean interior. The accepted paradigm is that rapid aggregation of phytoplankton cells occurs, forming large, fresh particles which sink quickly; this concept is incorporated into ecosystem models used to predict the future climate. Here we demonstrate a slower, less efficient export pathway in the Eastern Tropical North Pacific. Lipid biomarkers suggest that the large, fast-sinking particles found beneath the mixed layer are compositionally distinct from those found in the mixed layer and thus not directly and efficiently formed from phytoplankton cells. We postulate that they are formed from the in situ aggregation of smaller, slow-sinking particles over time in the mixed layer itself. This export pathway is likely widespread where smaller phytoplankton species dominate. Its lack of representation in biogeochemical models suggests that they may be currently overestimating the ability of the oceans to store carbon if large, fast-sinking, labile particles dominate simulated particle export. Plain Language Summary The oceans are one of the largest sinks of atmospheric carbon dioxide on our planet. One method by which this occurs is through the production of organic material (phytoplankton-plant-like cells) in the surface ocean, which capture atmospheric carbon dioxide during photosynthesis. Eventually, the phytoplankton die and sink out of the surface ocean, transporting huge amounts of carbon to the deep ocean where it is stored for centuries or even millennia. Our current understanding is that generally, most organic material sinks quickly as large, fast-sinking (hundreds of meters per day) particles (clumps of dead phytoplankton cells). However, in our study in the Equatorial Pacific Ocean, we were able to show that a different and much slower process occurs where phytoplankton first aggregate to smaller, slower sinking detrital particles and eventually form very degraded larger particles that sink to the deep. This has consequences for estimating ocean carbon storage as smaller particles are respired much quicker than larger particles. Thus, where they are an important part of this carbon sink, such as in the Equatorial Pacific, the proportion phytoplankton-captured atmospheric carbon dioxide being stored in the deep ocean is likely reduced.</t>
  </si>
  <si>
    <t>[Cavan, E. L.; Giering, S. L. C.; Sanders, R.] Natl Oceanog Ctr, European Way, Southampton, Hants, England; [Cavan, E. L.] Univ Southampton, Natl Oceanog Ctr, Southampton, Hants, England; [Cavan, E. L.] Univ Tasmania, Inst Marine &amp; Antarctic Studies, Hobart, Tas, Australia; [Wolff, G. A.] Univ Liverpool, Sch Environm Sci, Liverpool, Merseyside, England; [Trimmer, M.] Queen Mary Univ London, Sch Biol &amp; Chem Sci, London, England</t>
  </si>
  <si>
    <t>NERC National Oceanography Centre; University of Southampton; University of Southampton; NERC National Oceanography Centre; University of Tasmania; University of Liverpool; University of London; Queen Mary University London</t>
  </si>
  <si>
    <t>Cavan, EL (corresponding author), Natl Oceanog Ctr, European Way, Southampton, Hants, England.;Cavan, EL (corresponding author), Univ Southampton, Natl Oceanog Ctr, Southampton, Hants, England.;Cavan, EL (corresponding author), Univ Tasmania, Inst Marine &amp; Antarctic Studies, Hobart, Tas, Australia.</t>
  </si>
  <si>
    <t>emma.cavan@utas.edu.au</t>
  </si>
  <si>
    <t>Wolff, George A/B-7982-2018; Trimmer, Mark/HGT-8823-2022; Trimmer, Mark/ABB-2336-2021</t>
  </si>
  <si>
    <t>Trimmer, Mark/0000-0002-9859-5537; cavan, emma/0000-0003-1099-6705</t>
  </si>
  <si>
    <t>NERC standard grant [NE/EO1559X/1]; NERC [noc010009] Funding Source: UKRI</t>
  </si>
  <si>
    <t>NERC standard grant(UK Research &amp; Innovation (UKRI)Natural Environment Research Council (NERC)); NERC(UK Research &amp; Innovation (UKRI)Natural Environment Research Council (NERC))</t>
  </si>
  <si>
    <t>We wish to thank the Guatemalan government and their Navy for access to their territorial waters. We are grateful to the crew for their support during cruise JC097 onboard the RRS James Cook. We also thank Anu Thompson for her help with lipid extractions and GCMS analysis. This work was funded by a NERC standard grant, NE/EO1559X/1. The authors declare no competing financial issues. The particle lipid data to produce Figures 3 and 4 are available in the supporting information. E.L.C., G.W., and R.S. designed the study. E.L.C. and M.T. collected the particles, and E.L.C. did the lipid extractions and analyzed the data with inputs from S.G. E.L.C. and S.G. wrote the manuscript with contributions from all coauthors.</t>
  </si>
  <si>
    <t>10.1029/2018JG004392</t>
  </si>
  <si>
    <t>HA2KP</t>
  </si>
  <si>
    <t>WOS:000450067500013</t>
  </si>
  <si>
    <t>Al-Attar, D; Crawford, O; Valentine, AP; Trampert, J</t>
  </si>
  <si>
    <t>Al-Attar, David; Crawford, Ophelia; Valentine, Andrew P.; Trampert, Jeannot</t>
  </si>
  <si>
    <t>Hamilton's principle and normal mode coupling in an aspherical planet with a fluid core</t>
  </si>
  <si>
    <t>Tides and planetary waves; Surface waves and free oscillations; Theoretical seismology</t>
  </si>
  <si>
    <t>GENERAL BOUNDARY CONDITIONS; SEISMIC-WAVE PROPAGATION; FREE-OSCILLATION SPECTRA; ANELASTIC EARTH; ROTATING EARTH; ELEMENT METHOD; MATRIX-METHODS; MANTLE; MEDIA; EQUATIONS</t>
  </si>
  <si>
    <t>We apply Hamilton's principle to obtain the exact equations of motion for an elastic planet that is rotating, self-gravitating and comprises both fluid and solid regions. This variational problem is complicated by the occurrence of tangential slip at fluid-solid boundaries, but we show how this can be accommodated both directly and using the method of Lagrange multipliers. A novelty of our approach is that the planet's motion is described relative to an arbitrary reference configuration, with this generality offering advantages for numerical calculations. In particular, aspherical topography on the free surface or internal boundaries of the planet's equilibrium configuration can be converted exactly into effective volumetric heterogeneities within a geometrically spherical reference body by applying a suitable particle relabelling transformation. The theory is then specialized to consider the linearized motion of a planet about a steadily rotating equilibrium configuration, with these results having applications to normal mode coupling calculations used within studies of long-period seismology, tidal deformation and related fields. In particular, we explain how our new theory will, for the first time, allow aspherical boundary topography to be incorporated exactly within such coupling calculations.</t>
  </si>
  <si>
    <t>[Al-Attar, David; Crawford, Ophelia] Univ Cambridge, Bullard Labs, Madingley Rd, Cambridge CB3 0EZ, England; [Valentine, Andrew P.] Australian Natl Univ, Res Sch Earth Sci, Acton, ACT 2601, Australia; [Trampert, Jeannot] Univ Utrecht, Dept Earth Sci, POB 80021, NL-3508 TA Utrecht, Netherlands</t>
  </si>
  <si>
    <t>University of Cambridge; Australian National University; Utrecht University</t>
  </si>
  <si>
    <t>Al-Attar, D (corresponding author), Univ Cambridge, Bullard Labs, Madingley Rd, Cambridge CB3 0EZ, England.</t>
  </si>
  <si>
    <t>da380@cam.ac.uk</t>
  </si>
  <si>
    <t>Valentine, Andrew P/A-9585-2013; Trampert, Jeannot/N-3240-2019</t>
  </si>
  <si>
    <t>Trampert, Jeannot/0000-0002-5868-9491; Valentine, Andrew/0000-0001-6134-9351</t>
  </si>
  <si>
    <t>European Research Council (ERC) under the European Union Seventh Framework Programme (FP/2007-2013) grant [320639]; NERC; CASE award from the British Antarctic Survey; Australian Research Council [DE180100040]; Research School of Earth Sciences at ANU; Geoscience Australia; Australian Research Council [DE180100040] Funding Source: Australian Research Council</t>
  </si>
  <si>
    <t>European Research Council (ERC) under the European Union Seventh Framework Programme (FP/2007-2013) grant(European Research Council (ERC)); NERC(UK Research &amp; Innovation (UKRI)Natural Environment Research Council (NERC)); CASE award from the British Antarctic Survey; Australian Research Council(Australian Research Council); Research School of Earth Sciences at ANU; Geoscience Australia; Australian Research Council(Australian Research Council)</t>
  </si>
  <si>
    <t>We thank John Woodhouse for his influence on this work. We would also like to thank the editor Duncan Agnew along with reviewers Guust Nolet and Andreas Fichtner for their careful reading and helpful comments. The research leading to these results has received partial funding from the European Research Council (ERC) under the European Union's Seventh Framework Programme (FP/2007-2013) grant agreement number 320639 (iGEO). OC is supported by an NERC studentship with a CASE award from the British Antarctic Survey. APV acknowledges support from the Australian Research Council (grant DE180100040), Geoscience Australia, and The Research School of Earth Sciences at ANU.</t>
  </si>
  <si>
    <t>10.1093/gji/ggy141</t>
  </si>
  <si>
    <t>GY0TT</t>
  </si>
  <si>
    <t>WOS:000448235200033</t>
  </si>
  <si>
    <t>Tarakanov, RY; Gritsenko, AM</t>
  </si>
  <si>
    <t>Tarakanov, R. Yu.; Gritsenko, A. M.</t>
  </si>
  <si>
    <t>Jets of the Antarctic Circumpolar Current in the Drake Passage Based on Hydrographic Section Data</t>
  </si>
  <si>
    <t>CURRENT SOUTH; FRONTS; OCEAN</t>
  </si>
  <si>
    <t>We have analyzed the fine structure of Antarctic Circumpolar Current jets in the Drake Passage based on CTD and SADCP measurements over two hydrographic sections in January 2010 and October-November 2011. Eleven jets with a local horizontal velocity maximum were revealed in 2010, and nine jets in 2011. These individual jets were various combinations of 12 jets of the Antarctic Circumpolar Current, which we revealed earlier in the region south of Africa. Satellite altimetry data available at http://www.aviso.altimetry.fr were also used to interpret the synoptic patterns of currents over the sections.</t>
  </si>
  <si>
    <t>[Tarakanov, R. Yu.; Gritsenko, A. M.] Russian Acad Sci, Shirshov Inst Oceanol, Moscow 177997, Russia</t>
  </si>
  <si>
    <t>Tarakanov, RY (corresponding author), Russian Acad Sci, Shirshov Inst Oceanol, Moscow 177997, Russia.</t>
  </si>
  <si>
    <t>rtarakanov@gmail.com</t>
  </si>
  <si>
    <t>Tarakanov, Roman/R-3325-2016</t>
  </si>
  <si>
    <t>Tarakanov, Roman/0000-0002-8711-1859</t>
  </si>
  <si>
    <t>Russian Science Foundation [14-50-00095]</t>
  </si>
  <si>
    <t>Russian Science Foundation(Russian Science Foundation (RSF))</t>
  </si>
  <si>
    <t>This work was accomplished for the analysis of the sections data under a state assignment of FASO Russia (topic no. 0149-2018-0003) and for the analysis of the satellite altimetry data by Russian Science Foundation (grant No 14-50-00095).</t>
  </si>
  <si>
    <t>10.1134/S0001437018040100</t>
  </si>
  <si>
    <t>GV9TI</t>
  </si>
  <si>
    <t>WOS:000446502900001</t>
  </si>
  <si>
    <t>Zatsepa, SN; Ivchenko, AA; Korotenko, KA; Solbakov, VV; Stanovoy, VV</t>
  </si>
  <si>
    <t>Zatsepa, S. N.; Ivchenko, A. A.; Korotenko, K. A.; Solbakov, V. V.; Stanovoy, V. V.</t>
  </si>
  <si>
    <t>The Role of Wind Waves in Oil Spill Natural Dispersion in the Sea</t>
  </si>
  <si>
    <t>The paper analyzes the available parametrizations for calculating oil dispersion in water. A new parametrization of oil droplet flux into water has been elaborated based on a number of recent experimental studies on wind waves and oil droplet dispersion during wave breaking. The turnover rate (TOR) of the sea surface is proposed to determine the primary flux of oil droplets into water. The parameter of lognormal distribution (median) of oil droplets is calculated versus their sizes in a wide range of oil density, viscosity, interfacial tension, and wind speed.</t>
  </si>
  <si>
    <t>[Zatsepa, S. N.; Ivchenko, A. A.; Solbakov, V. V.] Zubov State Oceanog Inst, Moscow 119034, Russia; [Korotenko, K. A.] Russian Acad Sci, Shirshov Inst Oceanol, Moscow 117997, Russia; [Solbakov, V. V.] Russian Acad Sci, Fed Res Ctr Comp Sci &amp; Control, Moscow 119333, Russia; [Stanovoy, V. V.] Arctic &amp; Antarctic Res Inst, St Petersburg 199397, Russia</t>
  </si>
  <si>
    <t>Zubov State Oceanographic Institute; Russian Academy of Sciences; Shirshov Institute of Oceanology; Russian Academy of Sciences; Federal Research Center Computer Science &amp; Control of RAS; Arctic &amp; Antarctic Research Institute</t>
  </si>
  <si>
    <t>Zatsepa, SN (corresponding author), Zubov State Oceanog Inst, Moscow 119034, Russia.</t>
  </si>
  <si>
    <t>zatsepa@gmail.com</t>
  </si>
  <si>
    <t>Korotenko, Konstantin/AGS-0466-2022; Korotenko, Konstantin Alex/K-3917-2017; Solbakov, Vyacheslav/AAB-6735-2019</t>
  </si>
  <si>
    <t>Korotenko, Konstantin/0000-0003-1581-1300; Solbakov, Vyacheslav/0000-0002-9396-1905; ZATSEPA, Sergei/0000-0002-7072-3920</t>
  </si>
  <si>
    <t>Russia Foundation for Basic Research [14-07-00513, 14-07-00434, 15-07-04871]</t>
  </si>
  <si>
    <t>Russia Foundation for Basic Research</t>
  </si>
  <si>
    <t>This work was supported by the Russia Foundation for Basic Research, project nos. 14-07-00513, 14-07-00434, and 15-07-04871.</t>
  </si>
  <si>
    <t>10.1134/S0001437018040136</t>
  </si>
  <si>
    <t>WOS:000446502900002</t>
  </si>
  <si>
    <t>Schreider, AA; Schreider, AA; Sazhneva, AE; Galindo-Zaldivar, J; Ruano, P; Maldonado, A; Martos-Martin, Y; Lobo, F</t>
  </si>
  <si>
    <t>Schreider, Al. A.; Schreider, A. A.; Sazhneva, A. E.; Galindo-Zaldivar, J.; Ruano, P.; Maldonado, A.; Martos-Martin, Y.; Lobo, F.</t>
  </si>
  <si>
    <t>Vertical Structure of Near-Surface Sediments in the Central Parts of the Yaghan and Scan Basins (Scotia Sea)</t>
  </si>
  <si>
    <t>WEDDELL SEA; ANTARCTICA; BOTTOM; TRANSPORT; IMAGES</t>
  </si>
  <si>
    <t>The structure of the sediment sequence of the Scotia Sea is the basis for reconstructing the geological history of the development of its floor in the late Quaternary. One of the most important elements of the floor of the southern Scotia Sea is the Scan Basin, the formation of which played a substantial role in the breakup of the American-Antarctic continental bridge that connected the Bruce and Discovery banks. By now, the main parameters of the sediment sequence in the Scan Basin have been reconstructed, but the literature reflects the lack of data on the upper part of the section. On an observation profile, the Spanish R/V Hesperides, using a TOPAS PS 18/40 high-resolution seismic profiler, distinguished three beds in the central part of the basin. The total mean thickness of the first reflector is 3.7 ms; the second, 2.3 ms; and the third, 1.8 ms. The beds have a relatively consistent thickness and are distinctly traced along the profile. The literature data on the sedimentation parameters make it possible to estimate the total mean deposition time for the first bed of 133 ka; the second, 84 ka; and the third, 64 ka; the total mean sediment accumulation time for all three beds is 281 ka.</t>
  </si>
  <si>
    <t>[Schreider, Al. A.] Sci Res Inst Econ &amp; Adm Gas Ind, Moscow 105066, Russia; [Schreider, A. A.; Sazhneva, A. E.] Russian Acad Sci, Shirshov Inst Oceanol, Moscow 117997, Russia; [Galindo-Zaldivar, J.; Ruano, P.] Univ Granada, Granada 18010, Spain; [Maldonado, A.; Martos-Martin, Y.; Lobo, F.] Andalusian Inst Earth Syst Res, Granada, Spain</t>
  </si>
  <si>
    <t>Russian Academy of Sciences; Shirshov Institute of Oceanology; University of Granada; Universidad de Cordoba; Universidad de Jaen; University of Granada; Instituto Interuniversitario de Investigacion del Sistema Tierra en Andalucia</t>
  </si>
  <si>
    <t>Schreider, AA (corresponding author), Sci Res Inst Econ &amp; Adm Gas Ind, Moscow 105066, Russia.</t>
  </si>
  <si>
    <t>aschr@ocean.ru; alexe@ocean.ru</t>
  </si>
  <si>
    <t>Sazhneva, Alexandra/HPG-9897-2023; Ruano, Patricia/L-9168-2014; Lobo, Francisco José/J-9836-2012; Galindo-Zaldivar, Jesus/K-3640-2012</t>
  </si>
  <si>
    <t>Lobo, Francisco José/0000-0002-3294-7202; Galindo-Zaldivar, Jesus/0000-0002-3493-2637</t>
  </si>
  <si>
    <t>Russian Foundation for Basic Research [17-05-00075]; [0149-2018-0015]</t>
  </si>
  <si>
    <t>Russian Foundation for Basic Research(Russian Foundation for Basic Research (RFBR)Spanish Government);</t>
  </si>
  <si>
    <t>The methodical aspects of this study were elaborated under a State Assignment (project no. 0149-2018-0015), and the results-oriented part of the work was supported by the Russian Foundation for Basic Research (project no. 17-05-00075).</t>
  </si>
  <si>
    <t>10.1134/S0001437018040082</t>
  </si>
  <si>
    <t>WOS:000446502900010</t>
  </si>
  <si>
    <t>Menezes, A; Mahender, K; Chakraborty, B; Fernandes, WA; Vardhan, YV; Kurian, J</t>
  </si>
  <si>
    <t>Menezes, Andrew; Mahender, Kotha; Chakraborty, Bishwajit; Fernandes, William A.; Vardhan, Y. Vishnu; Kurian, John</t>
  </si>
  <si>
    <t>Mapping and analyses of two coralline banks in the western continental margin of India using multibeam echosounder data</t>
  </si>
  <si>
    <t>MBES; Bathymetry; Backscatter; Seafloor Roughness; ANN; SOM; PDF</t>
  </si>
  <si>
    <t>SEA-FLOOR; BACKSCATTER DATA; MORPHOLOGY; SHELF; SEEPAGE; SEGMENTATION; ROUGHNESS</t>
  </si>
  <si>
    <t>Six and eleven profiles of bathymetric and backscatter data are drawn from the gridded (rasterized) maps of the two banks, the Gaveshani Bank and another, an unnamed bank (at latitude 13 degrees 43.5' N, longitude 73 degrees 42' E) respectively. The existence of six and five classes of data is established with respect to the Gaveshani and the unnamed bank through the use of Artificial Neural Network (ANN) based unsupervised self-organizing map (SOM) architecture, for determining the number of data classes, and corresponding 60 and 209 segments using fuzzy c-means (FCM) algorithm for segmentation. The segmented profiles of each bank are overlaid on the respective gridded backscatter maps to examine the seafloor morphology associated with the distribution of the overlying sediment material. Lower backscatter intensities (-60 to -30 dB) are observed with respect to the unnamed bank, whereas in the case of Gaveshani bank, the backscatter intensities were varying from -30 to -15 dB, indicating relatively higher intensity in comparison to the unnamed bank. This portends reduced sediment deposition on the Gaveshani bank due to erosion.</t>
  </si>
  <si>
    <t>[Menezes, Andrew; Chakraborty, Bishwajit; Fernandes, William A.; Vardhan, Y. Vishnu] Natl Inst Oceanog, CSIR, Panaji 403004, Goa, India; [Mahender, Kotha] Goa Univ, Taleigao Plateau 403206, Goa, India; [Kurian, John] ESSO Natl Ctr Antarctic &amp; Ocean Res, Vasco Da Gama 403804, Goa, India</t>
  </si>
  <si>
    <t>Council of Scientific &amp; Industrial Research (CSIR) - India; CSIR - National Institute of Oceanography (NIO); Goa University; Ministry of Earth Sciences (MoES) - India; National Centre for Polar and Ocean Research (NCPOR)</t>
  </si>
  <si>
    <t>Menezes, A (corresponding author), Natl Inst Oceanog, CSIR, Panaji 403004, Goa, India.</t>
  </si>
  <si>
    <t>aamenezes@gmail.com</t>
  </si>
  <si>
    <t>MoES, New Delhi, Government of India</t>
  </si>
  <si>
    <t>Authors acknowledge the encouragement received from Director, CSIR-NIO. The funding support from MoES, New Delhi, Government of India under the Exclusive Economic Zone survey programe using multi-beam echosounding system is gratefully acknowledged. We are thankful to Dr. P.S.Rao, Chief Scientist for his academic inputs in order to improve the work. The SRTM data used here was accessed from http://srtm.csi.cgiar.org.</t>
  </si>
  <si>
    <t>GT1IC</t>
  </si>
  <si>
    <t>WOS:000444221600003</t>
  </si>
  <si>
    <t>Wang, K; Han, LH; Zhu, YJ; Liu, YJ; Wang, JF; Xue, CH</t>
  </si>
  <si>
    <t>Wang, Kai; Han, Lihua; Zhu, Yujie; Liu, Yanjun; Wang, Jingfeng; Xue, Changhu</t>
  </si>
  <si>
    <t>Antarctic Krill Oil improves articular cartilage degeneration via activating chondrocyte autophagy and inhibiting apoptosis in osteoarthritis mice</t>
  </si>
  <si>
    <t>Antarctic krill oil; Osteoarthritis; Cartilage degeneration; Autophagy; Apoptosis</t>
  </si>
  <si>
    <t>POLYUNSATURATED FATTY-ACIDS; RECEPTOR-GAMMA; MOLECULAR-MECHANISMS; PROGRESSION; DEFICIENCY; EXPRESSION; MODEL; ENHANCEMENT; ASSOCIATION; ARTHRITIS</t>
  </si>
  <si>
    <t>In this study, the in vivo effects of Antarctic krill oil (AKO) on cartilage degeneration in destabilization of the medial meniscus (DMM) mouse were investigated. Results showed that AKO improved the cartilage structure, inhibited chondrocyte hypertrophic differentiation and inhibited abnormal apoptosis in articular cartilage. Autophagy is a self-protective metabolic process required for maintaining cartilage homeostasis. We observed that expression of mTOR were reduced, which was consist with high PPAR-gamma levels. The expression of key genes related to autophagy, including LC-3B, Beclin-1, ATG-5; and BNIP-3 were significantly enhanced after treatment with AKO. In addition, we observed that AKO suppressed the expression of key genes in p53-dependent mitochondrial apoptotic pathway, such as p53, Bax, Bid, cytochrome c, caspase-9, caspase-3 and enhanced the expression of anti-apoptotic genes, including Bcl-2 and Bcl-xl. These findings provided a new perspective for the effect of AKO on OA, which associated with the regulation of autophagy and apoptosis.</t>
  </si>
  <si>
    <t>[Wang, Kai; Han, Lihua; Zhu, Yujie; Liu, Yanjun; Wang, Jingfeng; Xue, Changhu] Ocean Univ China, Coll Food Sci &amp; Engn, 5 Yushan Rd, Qingdao 266003, Shandong, Peoples R China</t>
  </si>
  <si>
    <t>minghaidao@163.com; HannaH_19930216@163.com; 1475990571@qq.com; fs-lauyang@hotmail.com; jfwang@ouc.edu.cn; xuech@ouc.edu.cn</t>
  </si>
  <si>
    <t>Wang, Kai/HTS-5222-2023; wang, jing/GRS-7509-2022; wang, dan/JEF-0836-2023; Liu, Yanjun/JZC-8366-2024; wang, jiahui/IXD-1197-2023; wang, jing/GVT-8700-2022; zhu, yujie/KBC-4009-2024</t>
  </si>
  <si>
    <t>Wang, Kai/0000-0001-5447-8710; Liu, Yanjun/0000-0002-0627-928X</t>
  </si>
  <si>
    <t>Shandong Primary Research &amp; Developement Plan [2016YYSP017]; National Natural Science Foundation of China [31330060]</t>
  </si>
  <si>
    <t>Shandong Primary Research &amp; Developement Plan; National Natural Science Foundation of China(National Natural Science Foundation of China (NSFC))</t>
  </si>
  <si>
    <t>This study was supported by Shandong Primary Research &amp; Developement Plan (No. 2016YYSP017) and National Natural Science Foundation of China (31330060).</t>
  </si>
  <si>
    <t>2214-9414</t>
  </si>
  <si>
    <t>10.1016/j.jff.2018.05.008</t>
  </si>
  <si>
    <t>GS4PG</t>
  </si>
  <si>
    <t>WOS:000443630000045</t>
  </si>
  <si>
    <t>Wang, HM; Li, XY; Xu, J; Zhang, XY; Ge, SL; Chen, LF; Wang, YP; Zhu, SY; Miao, J; Si, YD</t>
  </si>
  <si>
    <t>Wang, Hongmei; Li, Xiaoying; Xu, Jian; Zhang, Xingying; Ge, Shule; Chen, Liangfu; Wang, Yapeng; Zhu, Songyan; Miao, Jing; Si, Yidan</t>
  </si>
  <si>
    <t>Assessment of Retrieved N2O, NO2, and HF Profiles from the Atmospheric Infrared Ultraspectral Sounder Based on Simulated Spectra</t>
  </si>
  <si>
    <t>SENSORS</t>
  </si>
  <si>
    <t>GF5 AIUS; occultation; retrieval algorithm; microwindow selection; N2O; NO2; HF</t>
  </si>
  <si>
    <t>VALIDATION; CHEMISTRY; INSTRUMENT; ACE</t>
  </si>
  <si>
    <t>The Atmospheric Infrared Ultraspectral Sounder (AIUS), the first high-resolution (0.02 cm(-1)) solar occultation sounder, aboard GF5, was launched in May 2018 from China. However, relevant studies about vertical profiles of atmospheric constituents based on its operational data were not conducted until half a year later. Due to an urgent need for Hin-orbit tests, the real spectra (called reference spectra hereafter) were substituted with simulated spectra calculated from the reference forward model (RFM) plus different random noises at different altitudes. In the generation process of the reference spectra for N2O, NO2, and HF species, ACE-FTS (Atmospheric Chemistry Experiment Fourier Transform Spectrometer instrument on the SCISAT satellite) level 2 products replace corresponding profiles included in the atmospheric background profiles. The optimal estimation method is employed to extract N2O, NO2, and HF profiles in this study. Comparing the retrieved results with ACE-FTS level 2 products, the relative deviations for these three species are calculated. For N2O, the average relative deviation is less than 6% at altitudes below 25 km, while larger deviations are observed in the range of 25-45 km, with the maximum being at 25%. Additionally, the difference for NO2 is less than 5% in the 20-45 km range, with a larger discrepancy found below 20 km and above 45 km; the maximum deviation reaches +/- 40%. For HF, the relative deviation is less than 6% for all tangent heights, implying satisfactory retrieval. The vertical resolution, averaging kernel, and number of degrees of freedom are used to assess the retrieval algorithm, which indicate that the retrieved information content is much more attributable to the reference spectra contribution than to the a priori profile. Finally, a large number of retrieval tests are performed for N2O, NO2, and HF in selected areas covering the Arctic region, northern middle latitude, tropics, southern middle latitude, and Antarctic region, and reliable results are obtained. Thus, to a great extent, the algorithm adopted in the AIUS system can process retrievals reliably and precisely.</t>
  </si>
  <si>
    <t>[Wang, Hongmei; Li, Xiaoying; Chen, Liangfu; Wang, Yapeng; Zhu, Songyan; Miao, Jing; Si, Yidan] Chinese Acad Sci, Inst Remote Sensing &amp; Digital Earth, State Key Lab Remote Sensing Sci, Beijing 100101, Peoples R China; [Wang, Hongmei; Wang, Yapeng; Zhu, Songyan; Miao, Jing; Si, Yidan] Univ Chinese Acad Sci, Beijing 100049, Peoples R China; [Xu, Jian] German Aerosp Ctr DLR, Remote Sensing Technol Inst, D-82234 Oberpfaffenhofen, Germany; [Zhang, Xingying] China Meteorol Adm, Natl Satellite Meteorol Ctr, Beijing 100081, Peoples R China; [Ge, Shule] China Ctr Resources Satellite Data &amp; Applicat, Beijing 100094, Peoples R China</t>
  </si>
  <si>
    <t>Chinese Academy of Sciences; The Institute of Remote Sensing &amp; Digital Earth, CAS; Chinese Academy of Sciences; University of Chinese Academy of Sciences, CAS; Helmholtz Association; German Aerospace Centre (DLR); China Meteorological Administration</t>
  </si>
  <si>
    <t>Li, XY (corresponding author), Chinese Acad Sci, Inst Remote Sensing &amp; Digital Earth, State Key Lab Remote Sensing Sci, Beijing 100101, Peoples R China.</t>
  </si>
  <si>
    <t>wanghm@radi.ac.cn; lixy01@radi.ac.cn; jian.xu@dlr.de; zxy@cma.gov.cn; gslcresda@126.com; chenlf@radi.ac.cn; wangyp@radi.ac.cn; soonyenju@outlook.com; miaojing16@mails.ucas.ac.cn; siyd@radi.ac.cn</t>
  </si>
  <si>
    <t>Xu, Jian/AAP-5179-2021; fang, li/JNS-8415-2023</t>
  </si>
  <si>
    <t>Xu, Jian/0000-0003-2348-125X; Wang, Hongmei/0000-0002-9716-8293</t>
  </si>
  <si>
    <t>Canadian Space Agency (CSA)</t>
  </si>
  <si>
    <t>Canadian Space Agency (CSA)(Canadian Space Agency)</t>
  </si>
  <si>
    <t>The ACE-FTS data were provided by the ACE-FTS team. ACE, also known as SCISAT, is a Canadian-led mission mainly supported by the Canadian Space Agency (CSA). We also thank Anu Dudhia for providing the RFM source code and help.</t>
  </si>
  <si>
    <t>1424-8220</t>
  </si>
  <si>
    <t>SENSORS-BASEL</t>
  </si>
  <si>
    <t>Sensors</t>
  </si>
  <si>
    <t>10.3390/s18072209</t>
  </si>
  <si>
    <t>Chemistry, Analytical; Engineering, Electrical &amp; Electronic; Instruments &amp; Instrumentation</t>
  </si>
  <si>
    <t>Chemistry; Engineering; Instruments &amp; Instrumentation</t>
  </si>
  <si>
    <t>GQ0UF</t>
  </si>
  <si>
    <t>Green Submitted, Green Published, Green Accepted, gold</t>
  </si>
  <si>
    <t>WOS:000441334300231</t>
  </si>
  <si>
    <t>Kessarkar, PM; Naqvi, SWA; Thamban, M; Fernandes, LL; Siebert, C; Rao, VP; Kawahata, H; Ittekkot, V; Frank, M</t>
  </si>
  <si>
    <t>Kessarkar, Pratima M.; Naqvi, S. W. A.; Thamban, M.; Fernandes, Lina L.; Siebert, Christopher; Rao, V. Purnachandra; Kawahata, H.; Ittekkot, V.; Frank, Martin</t>
  </si>
  <si>
    <t>Variations in Denitrification and Ventilation Within the Arabian Sea Oxygen Minimum Zone During the Holocene</t>
  </si>
  <si>
    <t>Holocene; Arabian Sea; denitrification; Mo isotopes; oxygen minimum zone</t>
  </si>
  <si>
    <t>MOLYBDENUM ISOTOPE SIGNATURES; GLOBAL CLIMATE-CHANGE; MARINE-SEDIMENTS; MILLENNIAL-SCALE; LATE QUATERNARY; WATER COLUMN; SURFACE PRODUCTIVITY; MONSOON VARIABILITY; CONTINENTAL-MARGIN; ATMOSPHERIC N2O</t>
  </si>
  <si>
    <t>The continental slope of India is exposed to an intense perennial oxygen minimum zone (OMZ) supporting pelagic denitrification. Sediments that are presently in contact with the lower boundary of the denitrification zone indicate marked changes in the intermediate and bottom waters ventilation of OMZ during the past 9,500years. The N-15 of sediment suggests that the OMZ waters were less ventilated during the early Holocene (between 9.5 and 8.5ka BP) resulting in intensified denitrifying conditions with an average N-15 value of 7.8, while at the same time stable Mo isotope composition (average Mo-98 of -0.02) indicates that the bottom waters that were in contact with the sediments were better oxygenated. By the mid-Holocene OMZ became more oxygenated suppressing denitrification (average N-15 of 6.2), while bottom waters gradually became less oxygenated (average Mo-98 of 1.7). The mid-Holocene reduction in denitrification coincided with a global decrease in atmospheric N2O as inferred from ice core records, which is consistent with a decreased contribution from the Arabian Sea. Since similar to 5.5ka BP OMZ waters have again been undergoing progressive deoxygenation accompanied by increasing denitrification.</t>
  </si>
  <si>
    <t>[Kessarkar, Pratima M.; Naqvi, S. W. A.; Fernandes, Lina L.; Rao, V. Purnachandra] CSIR Natl Inst Oceanog, Panaji, Goa, India; [Thamban, M.] Natl Ctr Antarctic &amp; Ocean Res, Vasco Da Gama, Goa, India; [Siebert, Christopher; Frank, Martin] GEOMAR Helmholtz Ctr Ocean Res Kiel, Kiel, Germany; [Rao, V. Purnachandra] Vignans Univ, Dept Civil Engn, Vadlamudi, Guntur, India; [Kawahata, H.] Univ Tokyo, Ocean Res Inst, Tokyo, Japan; [Ittekkot, V.] Univ Bremen, Bremen, Germany</t>
  </si>
  <si>
    <t>Council of Scientific &amp; Industrial Research (CSIR) - India; CSIR - National Institute of Oceanography (NIO); Ministry of Earth Sciences (MoES) - India; National Centre for Polar and Ocean Research (NCPOR); Helmholtz Association; GEOMAR Helmholtz Center for Ocean Research Kiel; Vignan's Foundation for Science, Technology &amp; Research (VFSTR); University of Tokyo; University of Bremen</t>
  </si>
  <si>
    <t>Kessarkar, PM (corresponding author), CSIR Natl Inst Oceanog, Panaji, Goa, India.</t>
  </si>
  <si>
    <t>pratimak@nio.org</t>
  </si>
  <si>
    <t>Ittekkot, Venugopalan/AAC-3437-2022; Siebert, Christopher/M-7071-2013; Kawahata, Hodaka/F-9065-2016</t>
  </si>
  <si>
    <t>Thamban, Meloth/0000-0003-3379-8189; Kawahata, Hodaka/0000-0003-4236-7356</t>
  </si>
  <si>
    <t>Hanse Wissenschaftskolleg, Delmenhorst, Germany; CSIR, India</t>
  </si>
  <si>
    <t>Hanse Wissenschaftskolleg, Delmenhorst, Germany; CSIR, India(Council of Scientific &amp; Industrial Research (CSIR) - India)</t>
  </si>
  <si>
    <t>We thank the Director, CSIR-National Institute of Oceanography, Goa, for the facilities and encouragement. S. W. A. N. thanks Hanse Wissenschaftskolleg, Delmenhorst, Germany, for the award of a HWK fellowship in the course of which a part of this work was carried out. P. M. K. thanks Florian Scholz, GEOMAR, Germany, for discussions and CSIR, India, for Raman Fellowship. We thank anonymous reviewers that helped in improving the manuscript. This is NIO contribution 6247.</t>
  </si>
  <si>
    <t>10.1029/2017GC007286</t>
  </si>
  <si>
    <t>GS2OC</t>
  </si>
  <si>
    <t>WOS:000443389300016</t>
  </si>
  <si>
    <t>Zhang, ZX; Chen, LJ; Li, XQ; Xia, ZY; Heelis, RA; Horne, RB</t>
  </si>
  <si>
    <t>Zhang, Zhenxia; Chen, Lunjin; Li, Xinqiao; Xia, Zhiyang; Heelis, Roderick A.; Horne, Richard B.</t>
  </si>
  <si>
    <t>Observed Propagation Route of VLF Transmitter Signals in the Magnetosphere</t>
  </si>
  <si>
    <t>WAVES; FIELD; DEMETER</t>
  </si>
  <si>
    <t>Signals of powerful ground transmitters at various places have been detected by satellites in near-Earth space. The study on propagation mode, ducted or nonducted, has attracted much attentions for several decades. Based on the statistical results from Van Allen Probes (data from October 2012 to March 2017) and DEMETER satellite (from January 2006 to December 2007), we present the ground transmitter signals distributed clearly in ionosphere and magnetosphere. The observed propagation route in the meridian plane in the magnetosphere for each of various transmitters from the combination of DEMETER and Van Allen Probes data in nighttime is revealed for the first time. We use realistic ray tracing simulation and compare simulation results against Van Allen Probes and DEMETER observation. By comparison we demonstrate that the observed propagation route, with partial deviation from the field lines corresponding to ground stations, provides direct and clear statistical evidence that the nonducted propagation mode plays a main role, although with partial contribution from ducted propagation. The propagation characteristics of VLF transmitter signals in the magnetosphere are critical for quantitatively assessing their contribution to energetic electron loss in radiation belts. Plain Language Summary The topic on signal propagation of ground-based VLF transmitter in ionosphere and magnetosphere has attracted much attention in several decades. But the question about the propagation mode (ducted or nonducted) has not been answered definitely due to lacks of direct support from statistical satellite data. In this paper, the observed propagation route in the meridian plane in the magentosphere for each of various transmitter from the combination of DEMETER and Van Allen Probes data is revealed for the first time. Based on satellite observation and ray tracing simulation, we provide a clear and strong proof that the nonducted mode of transmitter signal plays a main role. The determination of the propagation mode will play a significant role in many fields, including the wave propagation model development and electron population adjustment as radiation belt remediation, which aims at lowering the damage of relativistic particles to the spacecraft and astronaut.</t>
  </si>
  <si>
    <t>[Zhang, Zhenxia] China Earthquake Adm, Dev Res Ctr, Beijing, Peoples R China; [Zhang, Zhenxia; Chen, Lunjin; Xia, Zhiyang; Heelis, Roderick A.] Univ Texas Dallas, Dept Phys, Richardson, TX 75083 USA; [Li, Xinqiao] Chinese Acad Sci, Inst High Energy Phys, Beijing, Peoples R China; [Horne, Richard B.] British Antarctic Survey, Cambridge, England</t>
  </si>
  <si>
    <t>China Earthquake Administration; University of Texas System; University of Texas Dallas; Chinese Academy of Sciences; Institute of High Energy Physics, CAS; UK Research &amp; Innovation (UKRI); Natural Environment Research Council (NERC); NERC British Antarctic Survey</t>
  </si>
  <si>
    <t>Chen, LJ (corresponding author), Univ Texas Dallas, Dept Phys, Richardson, TX 75083 USA.</t>
  </si>
  <si>
    <t>Lunjin.Chen@gmail.com</t>
  </si>
  <si>
    <t>Horne, Richard B/U-3764-2019; Zhang, Zhenxia/HPD-0126-2023; Chen, Lunjin/L-1250-2013</t>
  </si>
  <si>
    <t>Horne, Richard B/0000-0002-0412-6407; Xia, Zhiyang/0000-0001-8922-6484; Chen, Lunjin/0000-0003-2489-3571; Heelis, Roderick/0000-0002-5543-5357; Li, Xinqiao/0000-0003-3466-9493; Zhang, Zhenxia/0000-0001-5244-0938</t>
  </si>
  <si>
    <t>APSCO-SP/PM-EARTHQUAKE; China Scholarship Council [201604190024]; SER grant [XH12066]; NSFC grant [41574139]; AFOSR grant [FA9550-16-1-0344]; NASA grant [NNX15AF55G]; Natural Environment Research Council (NERC) Highlight Topic grant [NE/P01738X/1]; NASA [NNX15AF55G, 803257] Funding Source: Federal RePORTER; NERC [NE/P01738X/1, bas0100031, NE/R016038/1] Funding Source: UKRI</t>
  </si>
  <si>
    <t>APSCO-SP/PM-EARTHQUAKE; China Scholarship Council(China Scholarship Council); SER grant; NSFC grant(National Natural Science Foundation of China (NSFC)); AFOSR grant(United States Department of DefenseAir Force Office of Scientific Research (AFOSR)); NASA grant(National Aeronautics &amp; Space Administration (NASA)); Natural Environment Research Council (NERC) Highlight Topic grant(UK Research &amp; Innovation (UKRI)Natural Environment Research Council (NERC)); NASA(National Aeronautics &amp; Space Administration (NASA)); NERC(UK Research &amp; Innovation (UKRI)Natural Environment Research Council (NERC))</t>
  </si>
  <si>
    <t>The authors would like to express their sincere thanks for the provision of data download of DEMETER Project. We appreciate that all the Van Allen Probes data are publicly available at (http://emfisis.physics.uiowa.edu/Flight/). This work is supported by the APSCO-SP/PM-EARTHQUAKE, the China Scholarship Council (201604190024), the SER grant (XH12066), the NSFC grant (41574139), the AFOSR grant (FA9550-16-1-0344), the NASA grant (NNX15AF55G), and the Natural Environment Research Council (NERC) Highlight Topic grant (NE/P01738X/1; Rad-Sat).</t>
  </si>
  <si>
    <t>10.1029/2018JA025637</t>
  </si>
  <si>
    <t>WOS:000442664300019</t>
  </si>
  <si>
    <t>Gu, SY; Dou, XK; Pancheva, D; Yi, W; Chen, TD</t>
  </si>
  <si>
    <t>Gu, Sheng-Yang; Dou, Xiankang; Pancheva, Dora; Yi, Wen; Chen, Tingdi</t>
  </si>
  <si>
    <t>Investigation of the Abnormal Quasi 2-Day Wave Activities During the Sudden Stratospheric Warming Period of January 2006</t>
  </si>
  <si>
    <t>MESOSPHERE-LOWER THERMOSPHERE; MIDDLE ATMOSPHERE MODEL; COMMUNITY CLIMATE MODEL; ANTARCTIC OZONE HOLE; QUASI-2-DAY WAVE; PLANETARY-WAVES; HIGH-LATITUDES; SUMMER PERIOD; 2DAY WAVE; VARIABILITY</t>
  </si>
  <si>
    <t>A quasi 2-day wave (QTDW) during the austral summer period usually coincides with a sudden stratospheric warming (SSW) event in the winter hemisphere, while the SSW influences on QTDWs are not totally understood. In this work, the hourly Navy Operational Global Atmospheric Prediction System-Advanced Level Physics High Altitude reanalysis data sets during January/February 2006 are utilized to study the contribution of a major SSW on the anomalous QTDW activities during the same period. Our new findings are generalized as follows: (1) The summer easterly is enhanced during a SSW event due to the interhemispheric coupling, which is clearly indicated by the anomalous cross-equator circulation from the winter to summer mesosphere. (2) The enhanced summer easterly could sustain critical layers for QTDWs with larger phase speeds (e.g., smaller zonal wave number or shortwave period) and strengthen the summer easterly barotropic/baroclinic instabilities, which are essential for the QTDW amplification through wave-mean flow interactions. This is why a strong westward QTDW with zonal wave number 2 is identified besides the conventionally dominant wave mode of wave number 3, and their periods are only similar to 42-45 hr during January 2006. (3) The strong winter planetary waves during SSW periods facilitate the occurrence of the nonlinear interaction between QTDWs and stationary planetary waves, which is strongly suggested by the abnormal temporal variations of wave number 2 and wave number 3 QTDWs. We conclude that the anomalous QTDW behaviors in summer mesosphere during January 2006 are associated with the major SSW event in the winter stratosphere.</t>
  </si>
  <si>
    <t>[Gu, Sheng-Yang; Dou, Xiankang] Wuhan Univ, Sch Elect Informat, Wuhan, Hubei, Peoples R China; [Gu, Sheng-Yang; Dou, Xiankang; Yi, Wen; Chen, Tingdi] Univ Sci &amp; Technol China, Dept Geophys &amp; Planetary Sci, Hefei, Anhui, Peoples R China; [Pancheva, Dora] BAS, Natl Inst Geophys Geodesy &amp; Geog, Sofia, Bulgaria</t>
  </si>
  <si>
    <t>Wuhan University; Chinese Academy of Sciences; University of Science &amp; Technology of China, CAS; Bulgarian Academy of Sciences</t>
  </si>
  <si>
    <t>Gu, SY (corresponding author), Wuhan Univ, Sch Elect Informat, Wuhan, Hubei, Peoples R China.;Gu, SY (corresponding author), Univ Sci &amp; Technol China, Dept Geophys &amp; Planetary Sci, Hefei, Anhui, Peoples R China.</t>
  </si>
  <si>
    <t>gushengyang@whu.edu.cn</t>
  </si>
  <si>
    <t>Yi, Wen/M-4896-2019; Dou, xiankang/M-9106-2013</t>
  </si>
  <si>
    <t>Yi, Wen/0000-0003-3717-6811;</t>
  </si>
  <si>
    <t>National Natural Science Foundation of China [41704153, 41421063, 41304123]</t>
  </si>
  <si>
    <t>This work is sponsored by the National Natural Science Foundation of China (41704153, 41421063, and 41304123). The NOGAPS-ALPHA data set is available at ftp://map.nrl.navy.mil/pub/nrl/nogaps, and the Aura/MLS temperature observation can be downloaded at https://acdisc.gesdisc.eosdis.nasa.gov/data/Aura_MLS_Level2/.</t>
  </si>
  <si>
    <t>10.1029/2018JA025596</t>
  </si>
  <si>
    <t>WOS:000442664300053</t>
  </si>
  <si>
    <t>Roach, CJ; Balwada, D; Speer, K</t>
  </si>
  <si>
    <t>Roach, Christopher J.; Balwada, Dhruv; Speer, Kevin</t>
  </si>
  <si>
    <t>Global Observations of Horizontal Mixing from Argo Float and Surface Drifter Trajectories</t>
  </si>
  <si>
    <t>isopycnal mixing; Argo floats; drifters; Lagrangian methods</t>
  </si>
  <si>
    <t>LATERAL EDDY DIFFUSIVITY; OCEAN CIRCULATION MODELS; SOUTHERN-OCEAN; NORTH-ATLANTIC; OVERTURNING CIRCULATION; RELATIVE DISPERSION; PACIFIC-OCEAN; TRACER; VARIABILITY; PARAMETERIZATION</t>
  </si>
  <si>
    <t>Mixing by mesoscale eddies in the ocean plays a major role in setting the distribution of oceanic tracers, with important implications for physical and biochemical systems at local to global scales. Roach et al. (2016; https://doi.org/10.1002/2015JC011440) demonstrated that a two-particle analysis of Argo trajectories produces robust estimates of horizontal mixing in the Southern Ocean. Here we extend this analysis to produce global 1 degrees x1 degrees maps of eddy diffusivity at the nominal Argo parking depth of 1,000 m. We also applied this methodology to estimate surface eddy diffusivities from Global Drifter Program (GDP) surface drifters. The global mean eddy diffusivity was 543 +/- 155 m(2)/s at 1,000m and 2637 +/- 311 m(2)/s at the surface, with elevated diffusivities in regions of enhanced eddy kinetic energy, such as western boundary currents and along the Antarctic Circumpolar Current. The eddy kinetic energy at the equator is high at both the surface and depth, but the eddy diffusivity is only enhanced near the surface. At depth the eddy diffusivity is strongly suppressed due to the presence of mean flow. We used our observational estimates to test the validity of an eddy diffusivity parameterization that accounts for mixing suppression in the presence of zonal mean flows. Our results indicated that this parameterization generally agrees with the directly observed eddy diffusivities in the midlatitude and high-latitude oceans.</t>
  </si>
  <si>
    <t>[Roach, Christopher J.] Univ Tasmania, Inst Marine &amp; Antarctic Studies, Hobart, Tas, Australia; [Roach, Christopher J.] Univ Tasmania, ARC Ctr Excellence Climate Syst Sci, Hobart, Tas, Australia; [Balwada, Dhruv] NYU, Courant Inst Math Sci, New York, NY USA; [Speer, Kevin] Florida State Univ, Inst Geophys Fluid Dynam, Tallahassee, FL 32306 USA; [Speer, Kevin] Florida State Univ, Earth Ocean &amp; Atmospher Sci, Tallahassee, FL 32306 USA</t>
  </si>
  <si>
    <t>University of Tasmania; University of Tasmania; ARC Centre of Excellence for Climate System Science; New York University; State University System of Florida; Florida State University; State University System of Florida; Florida State University</t>
  </si>
  <si>
    <t>Roach, CJ (corresponding author), Univ Tasmania, Inst Marine &amp; Antarctic Studies, Hobart, Tas, Australia.;Roach, CJ (corresponding author), Univ Tasmania, ARC Ctr Excellence Climate Syst Sci, Hobart, Tas, Australia.</t>
  </si>
  <si>
    <t>christopher.roach@utas.edu.au</t>
  </si>
  <si>
    <t>Balwada, Dhruv/0000-0001-6632-0187</t>
  </si>
  <si>
    <t>NSF [OCE 1231803, OCE 0622670, OCE 0822075]</t>
  </si>
  <si>
    <t>Funding for this research was provided by NSF OCE 1231803, NSF OCE 0622670, and NSF OCE 0822075. We wish to thank S. Cole for making her mixing data set publically available and for a number of useful comments and suggestions during the review process. We also wish to thank an anonymous reviewer for comments that helped to improve the paper. Argo and surface drifter mixing fields are available at https://github.com/croachutas/Isopycnal_Diffusivity. We used data collected and made freely available by the International Argo Program and the national programs that contribute to it. (http://www.argo.ucsd.edu, http://argo.jcommops.org). The Argo Program is part of the Global Ocean Observing System. http://doi.org/10.17882/42182.</t>
  </si>
  <si>
    <t>10.1029/2018JC013750</t>
  </si>
  <si>
    <t>GQ7BM</t>
  </si>
  <si>
    <t>Green Published, Green Accepted, Bronze</t>
  </si>
  <si>
    <t>WOS:000441888200008</t>
  </si>
  <si>
    <t>Rosier, SHR; Hofstede, C; Brisbourne, AM; Hattermann, T; Nicholls, KW; Davis, PED; Anker, PGD; Hillenbrand, CD; Smith, AM; Corr, HFJ</t>
  </si>
  <si>
    <t>Rosier, S. H. R.; Hofstede, C.; Brisbourne, A. M.; Hattermann, T.; Nicholls, K. W.; Davis, P. E. D.; Anker, P. G. D.; Hillenbrand, C. -D.; Smith, A. M.; Corr, H. F. J.</t>
  </si>
  <si>
    <t>A New Bathymetry for the Southeastern Filchner-Ronne Ice Shelf: Implications for Modern Oceanographic Processes and Glacial History</t>
  </si>
  <si>
    <t>WEDDELL SEA EMBAYMENT; PENSACOLA MOUNTAINS; DEGLACIAL HISTORY; GROUNDING-LINE; ANTARCTICA; SHEET; OCEAN; BENEATH; STREAM; CAVITY</t>
  </si>
  <si>
    <t>The Filchner-Ronne Ice Shelf, the ocean cavity beneath it, and the Weddell Sea that bounds it, form an important part of the global climate system by modulating ice discharge from the Antarctic Ice Sheet and producing cold dense water masses that feed the global thermohaline circulation. A prerequisite for modeling the ice sheet and oceanographic processes within the cavity is an accurate knowledge of the sub-ice sheet bedrock elevation, but beneath the ice shelf where airborne radar cannot penetrate, bathymetric data are sparse. This paper presents new seismic point measurements of cavity geometry from a particularly poorly sampled region south of Berkner Island that connects the Filchner and Ronne ice shelves. An updated bathymetric grid formed by combining the new data with existing data sets reveals several new features. In particular, a sill running between Berkner Island and the mainland could alter ocean circulation within the cavity and change our understanding of paleo-ice stream flow in the region. Also revealed are deep troughs near the grounding lines of Foundation and Support Force ice streams, which provide access for seawater with melting potential. Running an ocean tidal model with the new bathymetry reveals large differences in tidal current velocities, both within the new gridded region and further afield, potentially affecting sub-ice shelf melt rates. Plain Language Summary The Filchner-Ronne Ice Shelf in Antarctica is the largest body of floating ice in the world and plays an important role in the global climate system through its interactions with the ocean and Antarctic Ice Sheet. Due to its thickness and remoteness, the shape of the large ocean cavity beneath this floating ice shelf is poorly understood, yet this information is crucial for ice and ocean models of the region. In this study we present recent measurements of the thickness of this ocean cavity and, in combination with previous measurements, produce a new map of the area. A number of new features are revealed in this map, and we discuss the implications for ocean currents within the cavity, as well as past and future ice sheet flow.</t>
  </si>
  <si>
    <t>[Rosier, S. H. R.; Brisbourne, A. M.; Nicholls, K. W.; Davis, P. E. D.; Anker, P. G. D.; Hillenbrand, C. -D.; Smith, A. M.; Corr, H. F. J.] British Antarctic Survey, Cambridge, England; [Rosier, S. H. R.] Northumbria Univ, Geog &amp; Environm Sci, Newcastle, England; [Hofstede, C.; Hattermann, T.] Helmholtz Ctr Polar &amp; Marine Res, Alfred Wegener Inst, Bremerhaven, Germany; [Hattermann, T.] Akvaplan Niva As, Tromso, Norway</t>
  </si>
  <si>
    <t>UK Research &amp; Innovation (UKRI); Natural Environment Research Council (NERC); NERC British Antarctic Survey; Northumbria University; Helmholtz Association; Alfred Wegener Institute, Helmholtz Centre for Polar &amp; Marine Research; Akvaplan-niva</t>
  </si>
  <si>
    <t>Rosier, SHR (corresponding author), British Antarctic Survey, Cambridge, England.;Rosier, SHR (corresponding author), Northumbria Univ, Geog &amp; Environm Sci, Newcastle, England.</t>
  </si>
  <si>
    <t>sebastian.rosier@northumbria.ac.uk</t>
  </si>
  <si>
    <t>Hofstede, Coen/JXM-4966-2024; Corr, Hugh/C-5398-2011; Brisbourne, Alex/E-6198-2013</t>
  </si>
  <si>
    <t>Davis, Peter/0000-0002-6471-6310; SMITH, ANDREW/0000-0001-8577-482X; Brisbourne, Alex/0000-0002-9887-7120; hofstede, coen/0000-0002-6015-6918</t>
  </si>
  <si>
    <t>UK Natural Environment Research Council large grant Ice shelves [NE/L013770/1]; AWI strategic fund; Norwegian Research Council [231549]; NERC [bas0100034, bas0100033, bas0100030] Funding Source: UKRI</t>
  </si>
  <si>
    <t>UK Natural Environment Research Council large grant Ice shelves; AWI strategic fund; Norwegian Research Council(Research Council of Norway); NERC(UK Research &amp; Innovation (UKRI)Natural Environment Research Council (NERC))</t>
  </si>
  <si>
    <t>We thank A. Lambrecht for providing seismic data near FIS grounding line, P. Fretwell and M. Cooper for their help with Bedmap2 data, and L. Padman for helpful discussions regarding the tidal model results. We are very grateful to BAS logistics, pilots, and field assistants for their tireless work to help acquire the data. We would also like to thank Ralph Timmermann and an anonymous reviewer for their comments that helped improve the manuscript. This work was funded by the UK Natural Environment Research Council large grant Ice shelves in a warming world: Filchner Ice Shelf System (NE/L013770/1), the AWI strategic fund, and the Norwegian Research Council project 231549 Inflow of Warm Deep Water on the Antarctic Continental Shelves. The point seismic data set is publicly available through the UK Polar Data Centre at http://doi.org/10.5285/dada63fb-c40a-4b13-97ba-c53860881d79.</t>
  </si>
  <si>
    <t>10.1029/2018JC013982</t>
  </si>
  <si>
    <t>WOS:000441888200011</t>
  </si>
  <si>
    <t>Valla, D; Piola, AR; Meinen, CS; Campos, E</t>
  </si>
  <si>
    <t>Valla, Daniel; Piola, Alberto R.; Meinen, Christopher S.; Campos, Edmo</t>
  </si>
  <si>
    <t>Strong Mixing and Recirculation in the Northwestern Argentine Basin</t>
  </si>
  <si>
    <t>WESTERN BOUNDARY CURRENT; MERIDIONAL OVERTURNING CIRCULATION; CURRENT TRANSPORT VARIABILITY; ANTARCTIC BOTTOM WATER; ATLANTIC DEEP-WATER; SOUTH-ATLANTIC; INTERMEDIATE WATER; GEOSTROPHIC CIRCULATION; LAGRANGIAN OBSERVATIONS; RAPID CHANGES</t>
  </si>
  <si>
    <t>The Atlantic component of the Meridional Overturning Circulation (AMOC) is a key contributor to the global meridional transport of volume, salt, and heat, and thus plays a central role in global climate. As part of ongoing efforts to monitor the intensity and variability of the AMOC in the South Atlantic, hydrographic sections have been regularly occupied since 2009 near the western boundary along a zonal line at 34.5 degrees S. Here this high-quality, high-resolution data set is analyzed to establish the average hydrographic conditions of the northwestern Argentine Basin and the water mass spatial and temporal variability. The water mass analysis also reveals the pathways of the flow in this region, which are further corroborated by full-depth direct velocity measurements. The repeated hydrographic sections capture an extremely rich vertical structure, characterized by seven distinct water mass layers of northern and southern origin, each with unique property signatures. Almost all of these layers exhibit a sharp zonally banded structure, which is indicative of recirculation cells offshore from the western boundary. The circulation at intermediate levels includes a previously undetected recirculation cell confined very close to the western boundary and superimposed on the classical intermediate water pathway beneath the South Atlantic subtropical gyre. The deep level flow is characterized by the Deep Western Boundary Current (DWBC) and a northward recirculation similar to 500 km east from the slope.</t>
  </si>
  <si>
    <t>[Valla, Daniel; Piola, Alberto R.] Univ Buenos Aires, Fac Ciencias Exactas &amp; Nat, Dept Ciencias Atmosfera &amp; Oceanos, Dept Oceanog,Serv Hidrog Naval, Buenos Aires, DF, Argentina; [Valla, Daniel; Piola, Alberto R.] Consejo Nacl Invest Cient &amp; Tecn, IFAECI, UMI, Buenos Aires, DF, Argentina; [Meinen, Christopher S.] Atlantic Oceanog &amp; Meteorol Lab, Miami, FL USA; [Campos, Edmo] Univ Sao Paulo, Inst Oceanog, Sao Paulo, Brazil</t>
  </si>
  <si>
    <t>University of Buenos Aires; Servicio de Hidrografia Naval; Consejo Nacional de Investigaciones Cientificas y Tecnicas (CONICET); National Oceanic Atmospheric Admin (NOAA) - USA; Atlantic Oceanographic &amp; Meteorological Laboratory (AOML); Universidade de Sao Paulo</t>
  </si>
  <si>
    <t>Valla, D (corresponding author), Univ Buenos Aires, Fac Ciencias Exactas &amp; Nat, Dept Ciencias Atmosfera &amp; Oceanos, Dept Oceanog,Serv Hidrog Naval, Buenos Aires, DF, Argentina.;Valla, D (corresponding author), Consejo Nacl Invest Cient &amp; Tecn, IFAECI, UMI, Buenos Aires, DF, Argentina.</t>
  </si>
  <si>
    <t>dvalla@hidro.gov.ar</t>
  </si>
  <si>
    <t>Piola, Alberto/HZI-5475-2023; Campos, edmo/G-6995-2012; Meinen, Christopher/G-1902-2012; Piola, Alberto/O-2280-2013</t>
  </si>
  <si>
    <t>Campos, edmo/0000-0001-6399-5496; Valla, Daniel/0000-0003-3303-9641; Meinen, Christopher/0000-0002-8846-6002; Piola, Alberto/0000-0002-5003-8926</t>
  </si>
  <si>
    <t>Inter-American Institute for Global Change Research (IAI) [SGP2076, CRN3070]; U.S. National Science Foundation [GEO-0452325, GEO-1128040]; NOAA Climate Program Office's Ocean Observing and Monitoring Division under the Southwest Atlantic Meridional Overturning Circulation (SAM) project [100007298]; NOAA Atlantic Oceanographic and Meteorological Laboratory; Sao Paulo State Funding Agency (FAPESP) [2011/50552-4]; Consejo Nacional de Investigaciones Cientificas y Tecnicas, Argentina; Argentine Presidential Fellowship in Science and Technology Program - Argentine government and; Argentine Fulbright Commission; CNPq Fellowship [302018/2014-0]</t>
  </si>
  <si>
    <t>Inter-American Institute for Global Change Research (IAI); U.S. National Science Foundation(National Science Foundation (NSF)); NOAA Climate Program Office's Ocean Observing and Monitoring Division under the Southwest Atlantic Meridional Overturning Circulation (SAM) project; NOAA Atlantic Oceanographic and Meteorological Laboratory(National Oceanic Atmospheric Admin (NOAA) - USA); Sao Paulo State Funding Agency (FAPESP)(Fundacao de Amparo a Pesquisa do Estado de Sao Paulo (FAPESP)); Consejo Nacional de Investigaciones Cientificas y Tecnicas, Argentina(Consejo Nacional de Investigaciones Cientificas y Tecnicas (CONICET)); Argentine Presidential Fellowship in Science and Technology Program - Argentine government and; Argentine Fulbright Commission; CNPq Fellowship(Conselho Nacional de Desenvolvimento Cientifico e Tecnologico (CNPQ))</t>
  </si>
  <si>
    <t>The CTD data from the CITHER-2 project are available at http://campagnes.flotteoceanographique.fr/series/15/. The CTD data from the CLIVAR/WOCE A10 occupations as well as the Argo data were obtained from the U.S. NODC World Ocean Database 2013 available at http://www.nodc.noaa.gov/OC5/WOD/pr_wod.html, updated to December 2016. The Argo data were collected and made freely available by the International Argo Program and the national programs that contribute to it (http://www.argo.ucsd.edu and http://argo.jcommops.org). The Argo Program is part of the Global Ocean Observing System. The EKE map was produced from data distributed by E.U. Copernicus Marine Service Information, and the ADT map was downloaded from Aviso http://www.aviso.altimetry.fr). The hydrographic and LACDP data from the SAM cruises are available at ftp://ftp.aoml.noaa.gov/phod/pub/SAM/hydrographic_data/. We thank the captains and crews of R/V Puerto Deseado and R/V Alpha-Crucis who ably supported our work at sea. Marcela Charo processed the CTD data collected in the SAM cruises. This work was financed by the Inter-American Institute for Global Change Research (IAI) grants SGP2076 and CRN3070 (U.S. National Science Foundation grants GEO-0452325 and GEO-1128040) and NOAA Climate Program Office's Ocean Observing and Monitoring Division (Fund Ref 100007298) under the Southwest Atlantic Meridional Overturning Circulation (SAM) project, with additional support from the NOAA Atlantic Oceanographic and Meteorological Laboratory. The Brazilian component of the research was funded by the Sao Paulo State Funding Agency (FAPESP) (grant 2011/50552-4). D. Valla was supported by a fellowship from Consejo Nacional de Investigaciones Cientificas y Tecnicas, Argentina, and the Argentine Presidential Fellowship in Science and Technology Program sponsored by the Argentine government and the Argentine Fulbright Commission. The participation of C. S. Meinen was supported via the NOAA Climate Program Office's Ocean Observing and Monitoring Division (FundRef 100007298) under the Southwest Atlantic Meridional Overturning Circulation (SAM) project, with additional support from the NOAA Atlantic Oceanographic and Meteorological Laboratory. E. Campos acknowledges a CNPq Fellowship (grant 302018/2014-0). We thank the anonymous reviewers whose comments on earlier drafts of this manuscript helped improving the final presentation of the results.</t>
  </si>
  <si>
    <t>10.1029/2018JC013907</t>
  </si>
  <si>
    <t>WOS:000441888200012</t>
  </si>
  <si>
    <t>Williams, NL; Juranek, LW; Feely, RA; Russell, JL; Johnson, KS; Hales, B</t>
  </si>
  <si>
    <t>Williams, N. L.; Juranek, L. W.; Feely, R. A.; Russell, J. L.; Johnson, K. S.; Hales, B.</t>
  </si>
  <si>
    <t>Assessment of the Carbonate Chemistry Seasonal Cycles in the Southern Ocean From Persistent Observational Platforms</t>
  </si>
  <si>
    <t>climatology; autonomous floats; Southern Ocean; ocean carbon cycle; climate change; pH</t>
  </si>
  <si>
    <t>DISSOLVED INORGANIC CARBON; ANTHROPOGENIC CARBON; SURFACE OCEAN; SEA-WATER; VARIABILITY; CO2; PH; ALKALINITY; SATURATION; PACIFIC</t>
  </si>
  <si>
    <t>Observations from Southern Ocean Carbon and Climate Observations and Modeling (SOCCOM) biogeochemical profiling Argo floats are used to characterize the climatological seasonal cycles and drivers of dissolved inorganic carbon, total alkalinity, pH, the partial pressure of carbon dioxide (CO2), and the saturation state of aragonite at the surface and at 200 m across five Southern Ocean frontal regimes, including under sea ice. The Southern Ocean ranges from a temperature-dominated system in the northernmost Subtropical Zone to a biologically dominated system in the most poleward Seasonal Sea Ice Zone. In all zones, the ingassing or outgassing of CO2 must be balanced by geostrophic and Ekman transport, mixing from below, and particle transport of carbon into or out of the euphotic zone. The climatological seasonal cycles spanning the period from 2014 to 2017 compare favorably with existing climatologies in spring and summer and less so during winter months, at higher latitudes, and in ice-covered regions due, in part, to limited wintertime observations before SOCCOM. We observe increases in the carbon and nutrient content of surface waters south of the Subantarctic Front between climatological data products and the SOCCOM float climatologies, even after adjusting for anthropogenic change, suggesting a large-scale increase in the amount of upwelled carbon- and nutrient-rich deep waters. This increased upwelling corresponds to a positive Southern Annular Mode Index over 2014-2017 and likely acts to decrease the magnitude of the Southern Ocean sink of total carbon by increasing outgassing of natural CO2, especially during winter months.</t>
  </si>
  <si>
    <t>[Williams, N. L.; Juranek, L. W.; Hales, B.] Oregon State Univ, Coll Earth Ocean &amp; Atmospher Sci, Corvallis, OR 97331 USA; [Williams, N. L.; Feely, R. A.] NOAA, Pacific Marine Environm Lab, 7600 Sand Point Way Ne, Seattle, WA 98115 USA; [Russell, J. L.] Univ Arizona, Dept Geosci, Tucson, AZ 85721 USA; [Johnson, K. S.] Monterey Bay Aquarium Res Inst, Moss Landing, CA USA</t>
  </si>
  <si>
    <t>Oregon State University; National Oceanic Atmospheric Admin (NOAA) - USA; University of Arizona; Monterey Bay Aquarium Research Institute</t>
  </si>
  <si>
    <t>Williams, NL (corresponding author), Oregon State Univ, Coll Earth Ocean &amp; Atmospher Sci, Corvallis, OR 97331 USA.;Williams, NL (corresponding author), NOAA, Pacific Marine Environm Lab, 7600 Sand Point Way Ne, Seattle, WA 98115 USA.</t>
  </si>
  <si>
    <t>nancy.williams@noaa.gov</t>
  </si>
  <si>
    <t>Williams, Nancy L./ABH-4755-2020; Feely, Richard A./ABI-5740-2020; Johnson, Kenneth/F-9742-2011</t>
  </si>
  <si>
    <t>Williams, Nancy L./0000-0002-6541-9385; Russell, Joellen/0000-0001-9937-6056; Juranek, Laurie/0000-0002-4922-8263; Johnson, Kenneth/0000-0001-5513-5584</t>
  </si>
  <si>
    <t>U.S. National Science Foundation's Southern Ocean Carbon and Climate Observations and Modeling (SOCCOM) project under the NSF [PLR-1425989]; NASA [NNX14AP49G]; U.S. Argo through NOAA/JISAO [NA17RJ1232]; Pacific Marine Environmental Laboratory of NOAA; Ocean Observations and Monitoring Division, Climate Program Office, National Oceanic and Atmospheric Administration, United States; ARCS Foundation Oregon Chapter; Directorate For Geosciences; Office of Polar Programs (OPP) [1425989] Funding Source: National Science Foundation; NASA [675912, NNX14AP49G] Funding Source: Federal RePORTER</t>
  </si>
  <si>
    <t>U.S. National Science Foundation's Southern Ocean Carbon and Climate Observations and Modeling (SOCCOM) project under the NSF(National Science Foundation (NSF)); NASA(National Aeronautics &amp; Space Administration (NASA)); U.S. Argo through NOAA/JISAO(National Oceanic Atmospheric Admin (NOAA) - USA); Pacific Marine Environmental Laboratory of NOAA(National Oceanic Atmospheric Admin (NOAA) - USA); Ocean Observations and Monitoring Division, Climate Program Office, National Oceanic and Atmospheric Administration, United States(National Oceanic Atmospheric Admin (NOAA) - USA); ARCS Foundation Oregon Chapter; Directorate For Geosciences; Office of Polar Programs (OPP)(National Science Foundation (NSF)NSF - Directorate for Geosciences (GEO)); NASA(National Aeronautics &amp; Space Administration (NASA))</t>
  </si>
  <si>
    <t>A snapshot of the quality controlled SOCCOM biogeochemical float data used in this study is available at http://doi.org/10.6075/J0PG1PX7. The float temperature and salinity data used in this project are available at http://doi.org/10.17882/42182 and were made freely available by the International Argo Program and the national programs that contribute to it. NCEP Reanalysis-Derived data provided by the NOAA/OAR/ESRL PSD, Boulder, Colorado, United States, from their Web site at http://www.esrl.noaa.gov/psd/. This work was sponsored by the U.S. National Science Foundation's Southern Ocean Carbon and Climate Observations and Modeling (SOCCOM) project under the NSF award PLR-1425989 and supplemented by NASA (NNX14AP49G). Additionally, we acknowledge support from U.S. Argo through NOAA/JISAO grant NA17RJ1232 to the University of Washington and the Pacific Marine Environmental Laboratory of NOAA. Logistical support for this project in Antarctic waters was provided by the U.S. National Science Foundation through the U.S. Antarctic Program and the U.S. GO-SHIP program, Australia's CSIRO, and Germany's Alfred Wegener Institute. Richard Feely was supported by the Ocean Observations and Monitoring Division, Climate Program Office, National Oceanic and Atmospheric Administration, United States. Nancy Williams is also supported by the ARCS Foundation Oregon Chapter. We thank James Orr and an anonymous reviewer for thoughtful comments and suggestions, which have greatly improved this manuscript. This is PMEL contribution number 4631.</t>
  </si>
  <si>
    <t>10.1029/2017JC012917</t>
  </si>
  <si>
    <t>WOS:000441888200023</t>
  </si>
  <si>
    <t>Xu, KP; Tang, XH; Bi, GQ; Cao, M; Wang, L; Mao, YX</t>
  </si>
  <si>
    <t>Xu Kuipeng; Tang Xianghai; Bi Guiqi; Cao Min; Wang Lu; Mao Yunxiang</t>
  </si>
  <si>
    <t>The first complete organellar genomes of an Antarctic red alga, Pyropia endiviifolia: insights into its genome architecture and phylogenetic position within genus Pyropia (Bangiales, Rhodophyta)</t>
  </si>
  <si>
    <t>Antarctic; Pyropia endiviifolia; plastid and mitochondrial genomes; genome structure; phylogenetic</t>
  </si>
  <si>
    <t>MITOCHONDRIAL GENOMES; SEQUENCE; EVOLUTION; ALIGNMENT; TOOL</t>
  </si>
  <si>
    <t>Pyropia species grow in the intertidal zone and are cold-water adapted. To date, most of the information about the whole plastid and mitochondrial genomes (ptDNA and mtDNA) of this genus is limited to Northern Hemisphere species. Here, we report the sequencing of the ptDNA and mtDNA of the Antarctic red alga Pyropia endiviifolia using the Illumina platform. The plastid genome (195 784 bp, 33.28% GC content) contains 210 protein-coding genes, 37 tRNA genes and 6 rRNA genes. The mitochondrial genome (34 603 bp, 30.5% GC content) contains 26 protein-coding genes, 25 tRNA genes and 2 rRNA genes. Our results suggest that the organellar genomes of Py. endiviifolia have a compact organization. Although the collinearity of these genomes is conserved compared with other Pyropia species, the genome sizes show significant differences, mainly because of the different copy numbers of rDNA operons in the ptDNA and group II introns in the mtDNA. The other Pyropia species have 2-3 distinct intronic ORFs in their cox 1 genes, but Py. endiviifolia has no introns in its cox 1 gene. This has led to a smaller mtDNA than in other Pyropia species. The phylogenetic relationships within Pyropia were examined using concatenated gene sets from most of the available organellar genomes with both the maximum likelihood and Bayesian methods. The analysis revealed a sister taxa affiliation between the Antarctic species Py. endiviifolia and the North American species Py. kanakaensis.</t>
  </si>
  <si>
    <t>[Xu Kuipeng; Tang Xianghai; Bi Guiqi; Cao Min; Wang Lu; Mao Yunxiang] Ocean Univ China, Key Lab Marine Genet &amp; Breeding, Minist Educ, Qingdao 266003, Peoples R China; [Mao Yunxiang] Qingdao Natl Lab Marine Sci &amp; Technol, Lab Marine Biol &amp; Biotechnol, Qingdao 266003, Peoples R China</t>
  </si>
  <si>
    <t>Ocean University of China; Laoshan Laboratory</t>
  </si>
  <si>
    <t>Tang, XH; Mao, YX (corresponding author), Ocean Univ China, Key Lab Marine Genet &amp; Breeding, Minist Educ, Qingdao 266003, Peoples R China.;Mao, YX (corresponding author), Qingdao Natl Lab Marine Sci &amp; Technol, Lab Marine Biol &amp; Biotechnol, Qingdao 266003, Peoples R China.</t>
  </si>
  <si>
    <t>txianghai@ouc.edu.cn; yxmao@ouc.edu.cn</t>
  </si>
  <si>
    <t>Bi, Guiqi/HLW-5466-2023</t>
  </si>
  <si>
    <t>National Natural Science Foundation of China [31372517]; Qingdao National Laboratory for Marine Science and Technology [2015ASKJ02]; National Infrastructure of Fishery Germplasm Resources [2016DKA30470]</t>
  </si>
  <si>
    <t>National Natural Science Foundation of China(National Natural Science Foundation of China (NSFC)); Qingdao National Laboratory for Marine Science and Technology; National Infrastructure of Fishery Germplasm Resources</t>
  </si>
  <si>
    <t>Supported by the National Natural Science Foundation of China (No. 31372517), the Scientific and Technological Innovation Project Financially Supported by Qingdao National Laboratory for Marine Science and Technology (No. 2015ASKJ02), and the National Infrastructure of Fishery Germplasm Resources (No. 2016DKA30470)</t>
  </si>
  <si>
    <t>10.1007/s00343-018-7088-7</t>
  </si>
  <si>
    <t>WOS:000441231100026</t>
  </si>
  <si>
    <t>Leihy, RI; Duffy, GA; Chown, SL</t>
  </si>
  <si>
    <t>Leihy, Rachel I.; Duffy, Grant A.; Chown, Steven L.</t>
  </si>
  <si>
    <t>Species richness and turnover among indigenous and introduced plants and insects of the Southern Ocean Islands</t>
  </si>
  <si>
    <t>connectivity; dispersal limitation; distance decay; niche differentiation; similarity; stochastic processes</t>
  </si>
  <si>
    <t>ECOLOGICAL BIOGEOGRAPHY; ENERGY AVAILABILITY; COMMUNITY DIVERSITY; BIODIVERSITY CHANGE; PROPAGULE PRESSURE; BETA-DIVERSITY; HUMAN IMPACTS; INVASION; AREA; DISPERSAL</t>
  </si>
  <si>
    <t>Simultaneously investigating variation in species richness and turnover for indigenous and introduced communities holds great promise as a means to understand the relative contributions of ecological processes to community structure. Such insight will advance understanding of the ways in which environmental change may affect future community dynamics. Using a recently developed multi-site turnover metric, zeta diversity (zeta), we explored species turnover patterns across indigenous and introduced insect and vascular plant communities of the Southern Ocean Islands. In addition, we used updated species occurrence and high-resolution environmental data to reexamine previously described patterns and drivers of species richness across the region. Species richness variation in indigenous insect and vascular plant communities was largely explained by island isolation and temperature, whereas human visitation frequency was strongly associated with introduced species diversity of both groups. Indigenous communities of both plants and insects had faster rates of species turnover across sites and less inter-island connectivity than their introduced counterparts. Zeta diversity analyses suggested that stochastic processes were more influential than niche-related processes on the observed patterns of turnover of indigenous insects. Meanwhile, turnover patterns of introduced insects and indigenous and introduced vascular plants were indicative of the dominance of niche-related processes. These outcomes highlight very different diversity patterns across indigenous and alien communities and indicate that different ecological processes may underlie diversity variation across these islands and taxonomic groups.</t>
  </si>
  <si>
    <t>[Leihy, Rachel I.; Duffy, Grant A.; Chown, Steven L.] Monash Univ, Sch Biol Sci, Clayton, Vic 3800, Australia</t>
  </si>
  <si>
    <t>Leihy, RI (corresponding author), Monash Univ, Sch Biol Sci, Clayton, Vic 3800, Australia.</t>
  </si>
  <si>
    <t>Chown, Steven/0000-0001-6069-5105; Leihy, Rachel/0000-0001-9672-625X; Duffy, Grant/0000-0002-9031-8164</t>
  </si>
  <si>
    <t>Australian Antarctic Program Grant [4482]; Australian Research Council [DP170101046]; Antarctic Circumnavigation Expedition (ACE)</t>
  </si>
  <si>
    <t>Australian Antarctic Program Grant; Australian Research Council(Australian Research Council); Antarctic Circumnavigation Expedition (ACE)</t>
  </si>
  <si>
    <t>M.A. McGeoch, G. Latombe, P. Adler, and two anonymous referees provided helpful comments on a previous version of this manuscript. D.M. Bergstrom, P. Convey, J.D. Shaw, and A. Terauds provided independent assessments of human visitation across the region. This work was supported by Australian Antarctic Program Grant 4482, an Australian Research Council Discovery Project Grant DP170101046, and the Antarctic Circumnavigation Expedition (ACE 2016-2017).</t>
  </si>
  <si>
    <t>e02358</t>
  </si>
  <si>
    <t>10.1002/ecs2.2358</t>
  </si>
  <si>
    <t>GQ2YU</t>
  </si>
  <si>
    <t>WOS:000441526900021</t>
  </si>
  <si>
    <t>Ohneiser, C; Wilson, GS</t>
  </si>
  <si>
    <t>Ohneiser, C.; Wilson, G. S.</t>
  </si>
  <si>
    <t>Eccentricity-Paced Southern Hemisphere Glacial-Interglacial Cyclicity Preceding the Middle Miocene Climatic Transition</t>
  </si>
  <si>
    <t>anisotropy; magnetic; susceptibility; sediment; Miocene</t>
  </si>
  <si>
    <t>ANTARCTIC ICE-SHEET; ATMOSPHERIC CARBON-DIOXIDE; NEW-ZEALAND; OCEAN; EVOLUTION; PLIOCENE; RECORD; HISTORY; CO2; ISOTOPE</t>
  </si>
  <si>
    <t>We present new paleoclimate proxy data from the Southwest Pacific spanning the middle Miocene climatic transition (circa 16.2-13.5 Ma), which indicate a dynamic South Pacific Oceanic system with two periods of increasing and decreasing current strength in response to orbitally paced ice volume variations. A magneto-biostratigraphic age model provides age control for magnetic susceptibility and Anisotropy of Magnetic Susceptibility data from a mudstone succession in Western Southland, New Zealand. Magnetic susceptibility in this succession reflects changes in carbonate content, which we suggest is proxy for ocean productivity or sea level variations and therefore a proxy for ice volume variations. The Anisotropy of Magnetic Susceptibility data carry a record of deep current strength in response to ice volume changes. Our data show that periods of increased ice volume resulted in the northward migration of erosive currents in this sector of the Pacific and that large, dynamic ice sheets may have persisted in Antarctic during the middle Miocene climatic optimum.</t>
  </si>
  <si>
    <t>[Ohneiser, C.; Wilson, G. S.] Univ Otago, Dept Geol, Dunedin, New Zealand; [Wilson, G. S.] Univ Otago, Dept Marine Sci, Dunedin, New Zealand</t>
  </si>
  <si>
    <t>Ohneiser, C (corresponding author), Univ Otago, Dept Geol, Dunedin, New Zealand.</t>
  </si>
  <si>
    <t>christian.ohneiser@otago.ac.nz</t>
  </si>
  <si>
    <t>Wilson, Gary S/B-3803-2010; Ohneiser, Christian/B-5797-2018</t>
  </si>
  <si>
    <t>Wilson, Gary/0000-0003-0025-3641; Ohneiser, Christian/0000-0002-2781-2522</t>
  </si>
  <si>
    <t>GNS Science Antarctic Drivers of Global Change Program [UOOX0207]; FRST [UOOX0207]</t>
  </si>
  <si>
    <t>GNS Science Antarctic Drivers of Global Change Program; FRST(New Zealand Foundation for Research, Science and Technology)</t>
  </si>
  <si>
    <t>Data generated from this work can be downloaded from the Paleoceanography and Paleoclimatology Journal website. This project was funded by the GNS Science Antarctic Drivers of Global Change Program and FRST contract UOOX0207 to G. S. W. We thank Alissa Quinn and Kirsty Tinto for assistance with data collection, and Luke Easterbrook for assistance with figure drafting.</t>
  </si>
  <si>
    <t>10.1029/2017PA003278</t>
  </si>
  <si>
    <t>WOS:000441277800010</t>
  </si>
  <si>
    <t>Patterson, MO; McKay, R; Naish, T; Bostock, HC; Dunbar, R; Ohneiser, C; Woodard, SC; Wilson, G; Caballero-Gill, R</t>
  </si>
  <si>
    <t>Patterson, M. O.; McKay, R.; Naish, T.; Bostock, H. C.; Dunbar, R.; Ohneiser, C.; Woodard, S. C.; Wilson, G.; Caballero-Gill, R.</t>
  </si>
  <si>
    <t>A Southwest Pacific Perspective on Long-Term Global Trends in Pliocene-Pleistocene Stable Isotope Records</t>
  </si>
  <si>
    <t>DEEP-WATER CIRCULATION; ANTARCTIC ICE-SHEET; SOUTHERN-OCEAN; NORTH-ATLANTIC; SURFACE TEMPERATURES; LAST GLACIATION; DIATOM EVIDENCE; MASS STRUCTURE; NEW-ZEALAND; CLIMATE</t>
  </si>
  <si>
    <t>Continuous stable isotope records from marine sediment cores spanning the Pliocene have been used to assess the oceans' response to major perturbations in the climate system as the oceans play an integral role in regulating the global distribution of heat and gases. The Early to mid-Pliocene has previously been characterized as a time of relative warmth followed by Late Pliocene Southern Hemisphere cooling and bipolar glaciation at similar to 2.7 Ma. Previous studies have predominantly focused on the Atlantic and Equatorial Pacific Oceans. In this study, we extended the deep water benthic foraminifera stable isotope record from Ocean Drilling Program (ODP) Site 1123 in the southwest Pacific, back to the warm Early Pliocene. This is a high-latitude site at the gateway where the abyssal waters enter the Pacific Ocean and provides information about the connection between the Southern Ocean and the Pacific. We identify a dichotomy between the deep southwest Pacific and South Atlantic C-13 records spanning the mid-Pliocene and suggest that this is most likely the result of variations in the relative contributions of Northern versus Southern Hemisphere deep waters to the different basins. At 3.6Ma, C-13 values start to decrease; this is interpreted to represent alteration in preformed values as a result of increased remineralization of carbon caused by a reduction in deep ocean ventilation in the Southern Ocean. This is likely the consequence of a greater extent and seasonal duration of sea ice in the Southern Ocean from Antarctic Ice Sheet expansion and cooling.</t>
  </si>
  <si>
    <t>[Patterson, M. O.] SUNY Binghamton, Dept Geol Sci, Binghamton, NY 13902 USA; [McKay, R.; Naish, T.] Victoria Univ Wellington, Antarctic Res Ctr, Wellington, New Zealand; [Bostock, H. C.] Natl Inst Water &amp; Atmosphere, Wellington, New Zealand; [Dunbar, R.] Stanford Univ, Dept Environm Earth Syst Sci, Stanford, CA 94305 USA; [Ohneiser, C.] Univ Otago, Dept Geol, Dunedin, New Zealand; [Woodard, S. C.] Global Aquat Res LLC, Sodus, NY USA; [Wilson, G.] Univ Otago, Dept Marine Sci, Dunedin, New Zealand; [Caballero-Gill, R.] Brown Univ, Dept Earth Environm &amp; Planetary SCi, Providence, RI 02912 USA</t>
  </si>
  <si>
    <t>State University of New York (SUNY) System; State University of New York (SUNY) Binghamton; Victoria University Wellington; National Institute of Water &amp; Atmospheric Research (NIWA) - New Zealand; Stanford University; University of Otago; University of Otago; Brown University</t>
  </si>
  <si>
    <t>Patterson, MO (corresponding author), SUNY Binghamton, Dept Geol Sci, Binghamton, NY 13902 USA.</t>
  </si>
  <si>
    <t>patterso@binghamton.edu</t>
  </si>
  <si>
    <t>Ohneiser, Christian/B-5797-2018; Wilson, Gary S/B-3803-2010; Bostock, Helen/A-6834-2013</t>
  </si>
  <si>
    <t>Bostock, Helen/0000-0002-8903-8958; Naish, Tim/0000-0002-1185-9932; Patterso, Molly/0000-0002-5058-9269; Ohneiser, Christian/0000-0002-2781-2522; Wilson, Gary/0000-0003-0025-3641; McKay, Robert/0000-0002-5602-6985</t>
  </si>
  <si>
    <t>U.S. National Science Foundation (NSF); Royal Society of New Zealand Marsden Fund [VUW0903]; Rutherford Discovery Fellowship [RDF-13-VUW-003]; Ministry of Science and Innovation [CTM-2011-24079]; Victoria University of Wellington PhD Scholarship; Antarctic Research Centre Endowment Fund</t>
  </si>
  <si>
    <t>U.S. National Science Foundation (NSF)(National Science Foundation (NSF)); Royal Society of New Zealand Marsden Fund(Royal Society of New ZealandMarsden Fund (NZ)); Rutherford Discovery Fellowship(Royal Society of New Zealand); Ministry of Science and Innovation(Spanish Government); Victoria University of Wellington PhD Scholarship; Antarctic Research Centre Endowment Fund</t>
  </si>
  <si>
    <t>This research used samples provided by the International Ocean Discovery Program (IODP). The IODP is sponsored by the U.S. National Science Foundation (NSF) and participating countries under the management of Joint Oceanographic Institutions. Financial support for this study was provided from the Royal Society of New Zealand Marsden Fund (contract VUW0903), a Rutherford Discovery Fellowship (RDF-13-VUW-003), the Ministry of Science and Innovation (grant CTM-2011-24079), a Victoria University of Wellington PhD Scholarship and the Antarctic Research Centre Endowment Fund. The authors would like to thank Dave Mucciarone for assistance with stable isotope data and Lionel Carter, Richard Levy, Rob DeConto, Tim Herbert, Ed Gasson, and Ben Keisling for useful conversations. We would like to thank our reviewers for their insightful comments that made this manuscript better. Data supporting the conclusions presented in this study can be obtained in the supporting information.</t>
  </si>
  <si>
    <t>10.1029/2017PA003269</t>
  </si>
  <si>
    <t>WOS:000441277800012</t>
  </si>
  <si>
    <t>Sentman, LT; Dunne, JP; Stouffer, RJ; Krasting, JP; Toggweiler, JR; Broccoli, AJ</t>
  </si>
  <si>
    <t>Sentman, Lori T.; Dunne, John P.; Stouffer, Ronald J.; Krasting, John P.; Toggweiler, J. R.; Broccoli, Anthony J.</t>
  </si>
  <si>
    <t>The Mechanistic Role of the Central American Seaway in a GFDL Earth System Model. Part 1: Impacts on Global Ocean Mean State and Circulation</t>
  </si>
  <si>
    <t>NORTHERN-HEMISPHERE GLACIATION; ATLANTIC THERMOHALINE CIRCULATION; LINE SIMULATION CHARACTERISTICS; DEEP-WATER CIRCULATION; GENERAL-CIRCULATION; EQUATORIAL PACIFIC; THERMOCLINE DEPTH; ATMOSPHERE MODEL; SOUTHERN-OCEAN; CLIMATE-CHANGE</t>
  </si>
  <si>
    <t>To explore the mechanisms involved in the global ocean circulation response to the shoaling and closure of the Central American Seaway (CAS), we performed a suite of sensitivity experiments using the Geophysical Fluid Dynamics Laboratory Earth System Model (ESM), GFDL-ESM2G, varying only the seaway widths and sill depths. Changes in large-scale transport, global ocean mean state, and deep ocean circulation in all simulations are driven by the direct impacts of the seaway on global mass, heat, and salt transports. Net mass transport through the seaway into the Caribbean is 20.5-23.1 Sv with a deep CAS but only 14.1 Sv for the wide, shallow CAS. Seaway transport originates from the Antarctic Circumpolar Current in the Pacific and rejoins it in the South Atlantic, reducing the Indonesian Throughflow and transporting heat and salt southward into the South Atlantic, in contrast to present-day and previous CAS simulations. The increased southward salt transport increases the large-scale upper ocean density, and the freshening and warming from the changing ocean transports decreases the intermediate and deep water density. The ocean circulation pathway with a CAS traps heat in the Southern Hemisphere oceans and reduces the northern extent of Antarctic Bottom Water penetration in the Atlantic, strengthening and deepening Atlantic meridional overturning, in contrast to previous studies. In all simulations, the seaway has a profound effect on the global ocean mean state and alters deep water mass properties and circulation in the Atlantic, Indian, and Pacific basins, with implications for changing deep water circulation as a possible driver for changes in long-term climate.</t>
  </si>
  <si>
    <t>[Sentman, Lori T.; Dunne, John P.; Stouffer, Ronald J.; Krasting, John P.; Toggweiler, J. R.] NOAA, Geophys Fluid Dynam Lab, Princeton, NJ 08540 USA; [Broccoli, Anthony J.] Rutgers State Univ, Dept Environm Sci, New Brunswick, NJ USA; [Broccoli, Anthony J.] Rutgers State Univ, Inst Earth Ocean &amp; Atmospher Sci, New Brunswick, NJ USA</t>
  </si>
  <si>
    <t>National Oceanic Atmospheric Admin (NOAA) - USA; Rutgers University System; Rutgers University New Brunswick; Rutgers University System; Rutgers University New Brunswick</t>
  </si>
  <si>
    <t>Sentman, LT (corresponding author), NOAA, Geophys Fluid Dynam Lab, Princeton, NJ 08540 USA.</t>
  </si>
  <si>
    <t>lori.sentman@noaa.gov</t>
  </si>
  <si>
    <t>Broccoli, Anthony J/D-9186-2014; Toggweiler, J. R./O-5883-2019; Krasting, John/G-9360-2019; Dunne, John/F-8086-2012</t>
  </si>
  <si>
    <t>Broccoli, Anthony J/0000-0003-2619-1434; Toggweiler, J. R./0000-0001-6345-5756; Krasting, John/0000-0002-4650-9844; Dunne, John/0000-0002-8794-0489; Stouffer, Ronald/0000-0002-7900-6290</t>
  </si>
  <si>
    <t>NOAA Oceanic and Atmospheric Research Graduate Studies Program</t>
  </si>
  <si>
    <t>NOAA Oceanic and Atmospheric Research Graduate Studies Program(National Oceanic Atmospheric Admin (NOAA) - USA)</t>
  </si>
  <si>
    <t>This research was supported by the NOAA Oceanic and Atmospheric Research Graduate Studies Program. Model data and scripts are available at ftp://data1.gfdl.noaa.gov/users/Lori.Sentman/CAS/GFDL-ESM2G/. James R. Miller, Andrew Wittenberg, and Zachary Naiman reviewed earlier versions of this manuscript and provided valuable insight, including personal communication with Eric Galbraith. Alistair Adcroft, Matthew J. Harrison, and Zhi Liang provided technical support. Catherine Raphael produced and enhanced many of the illustration figures.</t>
  </si>
  <si>
    <t>10.1029/2018PA003364</t>
  </si>
  <si>
    <t>WOS:000441277800013</t>
  </si>
  <si>
    <t>Cherniavskaia, EA; Sudakov, I; Golden, KM; Strong, C; Timokhov, LA</t>
  </si>
  <si>
    <t>Cherniavskaia, Ekaterina A.; Sudakov, Ivan; Golden, Kenneth M.; Strong, Courtenay; Timokhov, Leonid A.</t>
  </si>
  <si>
    <t>Observed winter salinity fields in the surface layer of the Arctic Ocean and statistical approaches to predicting large-scale anomalies and patterns</t>
  </si>
  <si>
    <t>atmosphere/ice/ocean interactions; climate change; polar and subpolar oceans</t>
  </si>
  <si>
    <t>ATLANTIC MULTIDECADAL OSCILLATION; EMPIRICAL ORTHOGONAL FUNCTIONS; SEA-ICE; ATMOSPHERE; HALOCLINE; IMPACT; MODEL; CIRCULATION; PATHWAYS; HEAT</t>
  </si>
  <si>
    <t>Significant salinity anomalies have been observed in the Arctic Ocean surface layer during the last decade. Our study is based on an extensive gridded dataset of winter salinity in the upper 50 m layer of the Arctic Ocean for the periods 1950-1993 and 2007-2012, obtained from similar to 20 000 profiles. We investigate the interannual variability of the salinity fields, identify predominant patterns of anomalous behavior and leading modes of variability, and develop a statistical model for the prediction of surface-layer salinity. The statistical model is based on linear regression equations linking the principal components of surface-layer salinity obtained through empirical orthogonal function decomposition with environmental factors, such as atmospheric circulation, river runoff, ice processes and water exchange with neighboring oceans. Using this model, we obtain prognostic fields of the surface-layer salinity for the winter period 2013-2014. The prognostic fields generated by the model show tendencies of surface-layer salinification, which were also observed in previous years. Although the used data are proprietary and have gaps, they provide the most spatiotemporally detailed observational resource for studying multidecadal variations in basin-wide Arctic salinity. Thus, there is community value in the identification, dissemination and modeling of the principal modes of variability in this salinity record.</t>
  </si>
  <si>
    <t>[Cherniavskaia, Ekaterina A.; Timokhov, Leonid A.] Arctic &amp; Antarctic Res Inst, Dept Oceanog, Bering Str 38, St Petersburg 199397, Russia; [Sudakov, Ivan] Univ Dayton, Dept Phys, 300 Coll Pk,SC 101B, Dayton, OH 45469 USA; [Golden, Kenneth M.] Univ Utah, Dept Math, 155 S 1400 E,Room 233, Salt Lake City, UT 84112 USA; [Strong, Courtenay] Univ Utah, Dept Atmospher Sci, 135 S 1460 E,Room 819, Salt Lake City, UT 84112 USA</t>
  </si>
  <si>
    <t>Arctic &amp; Antarctic Research Institute; University System of Ohio; University of Dayton; Utah System of Higher Education; University of Utah; Utah System of Higher Education; University of Utah</t>
  </si>
  <si>
    <t>Sudakov, I (corresponding author), Univ Dayton, Dept Phys, 300 Coll Pk,SC 101B, Dayton, OH 45469 USA.</t>
  </si>
  <si>
    <t>isudakov1@udayton.edu</t>
  </si>
  <si>
    <t>Cherniavskaia, Ekaterina A/J-7258-2016; /F-2218-2017</t>
  </si>
  <si>
    <t>Cherniavskaia, Ekaterina A/0000-0002-8517-1057; /0000-0003-2614-8794</t>
  </si>
  <si>
    <t>Otto Schmidt Laboratory for Polar and Marine Research [OSL-13-05]; Ministry of Education and Science of the Russian Federation [14.616.21.0076]; Russian Foundation for Basic Research [14-01-31053_mol_a, 16-34-00733_mol_a, 16-31-60070_mol_a_dk]; Division of Mathematical Sciences at the US National Science Foundation (NSF) [ARC-0934721, DMS-0940249, DMS-1413454]; Division of Polar Programs at the US National Science Foundation (NSF) [ARC-0934721, DMS-0940249, DMS-1413454]; Office of Naval Research (ONR) [N00014-13-10291]; NSF Math Climate Research Network (MCRN); University of Dayton Open Access Fund; Division Of Mathematical Sciences; Direct For Mathematical &amp; Physical Scien [1413454] Funding Source: National Science Foundation</t>
  </si>
  <si>
    <t>Otto Schmidt Laboratory for Polar and Marine Research; Ministry of Education and Science of the Russian Federation(Ministry of Education and Science, Russian Federation); Russian Foundation for Basic Research(Russian Foundation for Basic Research (RFBR)Spanish Government); Division of Mathematical Sciences at the US National Science Foundation (NSF)(National Science Foundation (NSF)NSF - Directorate for Mathematical &amp; Physical Sciences (MPS)); Division of Polar Programs at the US National Science Foundation (NSF)(National Science Foundation (NSF)NSF - Directorate for Geosciences (GEO)); Office of Naval Research (ONR)(Office of Naval Research); NSF Math Climate Research Network (MCRN)(National Science Foundation (NSF)); University of Dayton Open Access Fund; Division Of Mathematical Sciences; Direct For Mathematical &amp; Physical Scien(National Science Foundation (NSF)NSF - Directorate for Mathematical &amp; Physical Sciences (MPS))</t>
  </si>
  <si>
    <t>We thank the following data providers. The detailed algorithm of the salinity data gridding procedure is available at the AARI website: http://www.aari.ru/resources/a0013_17/kara/Atlas_Kara_Sea_Winter/text/tehnik_report.htm#p2. Indices of atmospheric circulation are available at NOAA's Database. The area of ice-free surface in the Arctic Ocean was calculated from data cited at https://www.aari.ru/projects/ECIMO/index.php?im=100. River runoff data were obtained from the Joint US-Russian Atlas of the Arctic Ocean and Arctic RIMS Data Server. We thank M. Janout for providing AD indices north of 600N. We are grateful for the financial support from the Otto Schmidt Laboratory for Polar and Marine Research (Grant OSL-13-05), from the Ministry of Education and Science of the Russian Federation (project 14.616.21.0076), and from the Russian Foundation for Basic Research (grants 14-01-31053_mol_a; 16-34-00733_mol_a; 16-31-60070_mol_a_dk). Finally, we gratefully acknowledge the support from the Division of Mathematical Sciences and the Division of Polar Programs at the US National Science Foundation (NSF) through grants ARC-0934721, DMS-0940249 and DMS-1413454. We are also grateful for the support from the Office of Naval Research (ONR) through grant N00014-13-10291. We thank the NSF Math Climate Research Network (MCRN) as well for their support of this work. We thank N. Lebedev and V. Karpy for help with data processing. In preparing this text, we have benefited from discussions with Jessica R. Houf. Funding for Open Access provided by the University of Dayton Open Access Fund.</t>
  </si>
  <si>
    <t>10.1017/aog.2018.10</t>
  </si>
  <si>
    <t>WOS:000440821800002</t>
  </si>
  <si>
    <t>Shved, GM; Golitsyn, GS; Ermolenko, SI; Kukushkina, AE</t>
  </si>
  <si>
    <t>Shved, G. M.; Golitsyn, G. S.; Ermolenko, S. I.; Kukushkina, A. E.</t>
  </si>
  <si>
    <t>Relationship of the Long-Period Free Oscillations of the Earth with Atmospheric Processes</t>
  </si>
  <si>
    <t>DOKLADY EARTH SCIENCES</t>
  </si>
  <si>
    <t>MODES</t>
  </si>
  <si>
    <t>Based on the five-year record of the superconducting gravimeter in Strasburg (48.6A degrees N, 7.7A degrees E), the correlation is calculated between the long-period free oscillations of the Earth and the Arctic Oscillation and Antarctic Oscillation indices of atmospheric circulation. The statistically significant correlations for the S-0(2), T-0(2), T-0(3), and S-0(5) oscillations show that their excitation on seismically quiet days is at least partly due to dynamic processes in the atmosphere.</t>
  </si>
  <si>
    <t>[Shved, G. M.; Ermolenko, S. I.; Kukushkina, A. E.] St Petersburg State Univ, St Petersburg 199034, Russia; [Golitsyn, G. S.] Russian Acad Sci, Obukhov Inst Atmospher Phys, Moscow 119017, Russia</t>
  </si>
  <si>
    <t>Saint Petersburg State University; Russian Academy of Sciences; Obukhov Institute of Atmospheric Physics of Russian Academy of Sciences</t>
  </si>
  <si>
    <t>Shved, GM (corresponding author), St Petersburg State Univ, St Petersburg 199034, Russia.</t>
  </si>
  <si>
    <t>g.shved@spbu.ru</t>
  </si>
  <si>
    <t>Shved, Gustav M./K-9092-2013</t>
  </si>
  <si>
    <t>1028-334X</t>
  </si>
  <si>
    <t>1531-8354</t>
  </si>
  <si>
    <t>DOKL EARTH SCI</t>
  </si>
  <si>
    <t>Dokl. Earth Sci.</t>
  </si>
  <si>
    <t>10.1134/S1028334X18070292</t>
  </si>
  <si>
    <t>GP6PQ</t>
  </si>
  <si>
    <t>WOS:000441005300029</t>
  </si>
  <si>
    <t>Labadie, G; Tixier, P; Barbraud, C; Fay, R; Gasco, N; Duhamel, G; Guinet, C</t>
  </si>
  <si>
    <t>Labadie, Guillemette; Tixier, Paul; Barbraud, Christophe; Fay, Remi; Gasco, Nicolas; Duhamel, Guy; Guinet, Christophe</t>
  </si>
  <si>
    <t>First demographic insights on historically harvested and poorly known male sperm whale populations off the Crozet and Kerguelen Islands (Southern Ocean)</t>
  </si>
  <si>
    <t>abundance; Antarctic; mark-recapture; multistate; robust design; sperm whale; Physeter macrocephalus</t>
  </si>
  <si>
    <t>KILLER WHALES; ORCINUS-ORCA; PHYSETER-MACROCEPHALUS; LONGLINE FISHERIES; MARINE MAMMALS; NORTH PACIFIC; DEPREDATION; RECAPTURE; BEHAVIOR; KAIKOURA</t>
  </si>
  <si>
    <t>Age and sex dependent spatial segregation has resulted in limited knowledge of the ecology and demography of sperm whale adult males feeding seasonally in high latitudes. This study focused on adult males interacting with the Patagonian toothfish (Dissostichus eleginoides) fishery operating off the Kerguelen and Crozet Archipelagos. Demographic parameters were estimated using a 10-yr-long photoidentification data set paired with multistate closed robust design capture-markrecapture models. The examination of a set of 29,078 photographs taken from fishing vessels during sperm whale depredation events resulted in identification of 295 individuals with nine visiting both study areas. Dispersal between both study regions was estimated to be 1% per year. The mean annual number of interacting sperm whales was estimated to n = 82 (95% CI 58 141) in Crozet and n = 106 (95% CI 76-174) in Kerguelen. Transient proportions were 13% in Crozet and 26% in Kerguelen. Corrected for transience, apparent survival estimates were 0.953 (95% CI 0.890-0.993) in Crozet, and 0.911 (95% CI 0.804-0.986) in Kerguelen. These survival and population size estimates are the first for depredating adult males in high latitudes, and can be used in evaluating the current conservation status of this historically harvested stock and to investigate depredation trends in 35 both Crozet and Kerguelen Islands.</t>
  </si>
  <si>
    <t>[Labadie, Guillemette; Tixier, Paul; Barbraud, Christophe; Fay, Remi; Guinet, Christophe] CNRS, CEBC, Paris, France; [Labadie, Guillemette; Tixier, Paul; Barbraud, Christophe; Fay, Remi; Guinet, Christophe] Univ La Rochelle, UMR7372, La Rochelle, France; [Gasco, Nicolas; Duhamel, Guy] Museum Natl Hist Nat, Dept Milieux &amp; Peuplements Aquat, CP 26,43 Rue Cuvier, F-75005 Paris, France; [Tixier, Paul] Deakin Univ, Sch Life &amp; Environm Sci, 221 Burwood Highway, Burwood, Vic 3125, Australia</t>
  </si>
  <si>
    <t>Centre National de la Recherche Scientifique (CNRS); La Rochelle Universite; Centre National de la Recherche Scientifique (CNRS); CNRS - Institute of Ecology &amp; Environment (INEE); Museum National d'Histoire Naturelle (MNHN); Deakin University</t>
  </si>
  <si>
    <t>Labadie, G (corresponding author), CNRS, CEBC, Paris, France.;Labadie, G (corresponding author), Univ La Rochelle, UMR7372, La Rochelle, France.</t>
  </si>
  <si>
    <t>guillemette.labadie@gmail.com</t>
  </si>
  <si>
    <t>Barbraud, Christophe/A-5870-2012; Tixier, Paul/AFU-7272-2022; Guinet, Christophe/AAR-8457-2020</t>
  </si>
  <si>
    <t>Barbraud, Christophe/0000-0003-0146-212X; Tixier, Paul/0000-0002-7325-3573</t>
  </si>
  <si>
    <t>Institut Polaire Francais (IPEV) [109]; Terres Australes et Antarctiques Francaises (TAAF); Reserve Naturelle des Terres Australes; Agence National pour la Recheche (ANR); Syndicat des Armements Reunionais des Palangriers Congelateurs (SARPC); Fondation des Mers Australes, OrcaDepred project</t>
  </si>
  <si>
    <t>Institut Polaire Francais (IPEV); Terres Australes et Antarctiques Francaises (TAAF); Reserve Naturelle des Terres Australes; Agence National pour la Recheche (ANR)(Agence Nationale de la Recherche (ANR)); Syndicat des Armements Reunionais des Palangriers Congelateurs (SARPC); Fondation des Mers Australes, OrcaDepred project</t>
  </si>
  <si>
    <t>This work was conducted as part of the program no 109 with the Institut Polaire Francais (IPEV). Funding and logistic support was provided by the Terres Australes et Antarctiques Francaises (TAAF), the Reserve Naturelle des Terres Australes, the Agence National pour la Recheche (ANR) and the Syndicat des Armements Reunionais des Palangriers Congelateurs (SARPC) and the Fondation des Mers Australes as part of the OrcaDepred project. We are grateful to the Museum National d'Histoire Naturelle, Paris and especially P. Pruvost, A. Martin, and C. Chazeau, for providing data from the PECHEKER database. Special thanks to all the photographers and fish observers who helped collect photo-identification images.</t>
  </si>
  <si>
    <t>10.1111/mms.12469</t>
  </si>
  <si>
    <t>GO8AJ</t>
  </si>
  <si>
    <t>WOS:000440304300002</t>
  </si>
  <si>
    <t>Donnelly, DM; Ensor, P; Gill, P; Clarke, RH; Evans, K; Double, MC; Webster, T; Rayment, W; Schmitt, NT</t>
  </si>
  <si>
    <t>Donnelly, David M.; Ensor, Paul; Gill, Peter; Clarke, Rohan H.; Evans, Karen; Double, Michael C.; Webster, Trudi; Rayment, Will; Schmitt, Natalie T.</t>
  </si>
  <si>
    <t>New diagnostic descriptions and distribution information for Shepherd's beaked whale (Tasmacetus shepherdi) off Southern Australia and New Zealand</t>
  </si>
  <si>
    <t>SUBMARINE CANYONS; SHELF; SYSTEM; SEA</t>
  </si>
  <si>
    <t>[Donnelly, David M.] Killer Whales Australia, 8 Campbell Parade, Box Hill South, Vic 3128, Australia; [Donnelly, David M.] Blue Planet Marine, POB 919 Jamison Ctr, Canberra, ACT 2614, Australia; [Donnelly, David M.; Ensor, Paul; Double, Michael C.; Schmitt, Natalie T.] Australian Marine Mammal Ctr, Australian Antarctic Div, 203 Channel Highway, Kingston, Tas 7050, Australia; [Ensor, Paul] Governors Bay, RD1, Lyttelton 8971, New Zealand; [Gill, Peter] Blue Whale Study Inc, Post Off Narrawong, Narrawong, Vic 3285, Australia; [Clarke, Rohan H.] Monash Univ, Sch Biol Sci, Clayton, Vic 3800, Australia; [Evans, Karen] CSIRO Oceans &amp; Atmosphere, GPO Box 1538, Hobart, Tas 7001, Australia; [Webster, Trudi] Yellow Eyed Penguin Trust, POB 724, Dunedin 9054, New Zealand; [Webster, Trudi; Rayment, Will] Univ Otago, Dept Marine Sci, POB 56, Dunedin 9054, New Zealand</t>
  </si>
  <si>
    <t>Australian Antarctic Division; Monash University; Commonwealth Scientific &amp; Industrial Research Organisation (CSIRO); University of Otago</t>
  </si>
  <si>
    <t>Donnelly, DM (corresponding author), Killer Whales Australia, 8 Campbell Parade, Box Hill South, Vic 3128, Australia.;Donnelly, DM (corresponding author), Blue Planet Marine, POB 919 Jamison Ctr, Canberra, ACT 2614, Australia.;Donnelly, DM (corresponding author), Australian Marine Mammal Ctr, Australian Antarctic Div, 203 Channel Highway, Kingston, Tas 7050, Australia.</t>
  </si>
  <si>
    <t>killerwhalesaustralia@gmail.com</t>
  </si>
  <si>
    <t>Webster, Trudi/0000-0002-3507-1162; Evans, Karen/0000-0003-2205-4264</t>
  </si>
  <si>
    <t>University of Otago Research Grant</t>
  </si>
  <si>
    <t>The authors would like to thank Galatee Films, Cascade Charters, the staff and collaborators of Australian Marine Mammal Centre of the Australian Antarctic Division, Catriona Johnston, Paula Olson, Anton Van-Helden, Robert L. Pitman, Maren Reichelt, Mick Baines, Tamara Organ, Ash Ansley, Suzanne Mason, Kylie Owen, Department of Conservation, New Zealand, All At-Sea Charters, Mr. James Melville, Santos Pty Ltd., Bight Petroleum, Tom Brough, the New Zealand Whale &amp; Dolphin Trust, the crew of RV Polaris II, and the International Fund for Animal Welfare (IFAW), as well as all observers and pilots that assisted with surveys. Surveys off the Otago coast were funded by a University of Otago Research Grant to WR. Finally, the authors would like to thank the Editor and reviewers at Marine Mammal Science for their constructive feedback and suggestions which strengthened the manuscript. Data acquired from sightings 1-4 were collected under Tasmanian Department of Primary Industries, Water permit FA07094, and the University of Tasmania Animal Ethics Committee approval permit A0009875. Sightings 5 and 6 under Department of Conservation New Zealand permit number DOCDM-275801. Sightings 7 and 10 under Commonwealth of Australia permit number 2007-0007 and sighting 11 under Commonwealth of Australia permit number 2013-0004. All other sightings were incidental to normal vessel activities for other purposes.</t>
  </si>
  <si>
    <t>10.1111/mms.12478</t>
  </si>
  <si>
    <t>WOS:000440304300014</t>
  </si>
  <si>
    <t>Remote camera network tracks Antarctic species at low cost</t>
  </si>
  <si>
    <t>C</t>
  </si>
  <si>
    <t>GO6AS</t>
  </si>
  <si>
    <t>WOS:000440117100022</t>
  </si>
  <si>
    <t>Ruppel, A; Jacobs, J; Eagles, G; Läufer, A; Jokat, W</t>
  </si>
  <si>
    <t>Ruppel, Antonia; Jacobs, Joachim; Eagles, Graeme; Laeufer, Andreas; Jokat, Wilfried</t>
  </si>
  <si>
    <t>New geophysical data from a key region in East Antarctica: Estimates for the spatial extent of the Tonian Oceanic Arc Super Terrane (TOAST)</t>
  </si>
  <si>
    <t>Airborne magnetics; Subglacial geology; Tonian Oceanic Arc Super Terrane (TOAST); Sot Rondane; Eastern Dronning Maud Land</t>
  </si>
  <si>
    <t>DRONNING-MAUD-LAND; SOR RONDANE MOUNTAINS; EARLY PALEOZOIC TECTONISM; ARABIAN-NUBIAN SHIELD; U-PB GEOCHRONOLOGY; AFRICAN OROGEN; MOZAMBIQUE BELT; CRUSTAL EVOLUTION; HOLM COMPLEX; ZIRCON</t>
  </si>
  <si>
    <t>Within Antarctica, eastern Dronning Maud Land (DML) represents a key region for improving our understanding of crustal fragments that were involved in the amalgamation and breakup histories of Rodinia and Gondwana. An aerogeophysical survey was flown during the austral summers 2013/14 and 2014/15 to explore the largely ice covered region south and east of Sor Rondane. Here, we present 40,000 new line kilometer of aeromagnetic data gathered across an area of ca. 295,000 km(2) with a 10 km line spacing. Magnetic domains, major lineaments, locations, and depths of magnetic source bodies are detected from total field data, their tilt derivative, pseudo gravity, and analytical signal transformations, and from Euler Deconvolution maps. These data are integrated with exposure information from the Sor Rondane, Belgica and the Yamato mountains in order to identify the eastern spatial extent of a major juvenile Early Neoproterozoic crustal province, the Tonian Oceanic Arc Super Terrane (TOAST). Magnetic data reveal a characteristic pattern with NW-SE trending elongated magnetic anomalies to the south of Sor Rondane. This area is interpreted as the eastward continuation of the distinct SE DML Province and therefore of the TOAST. Major curvilinear magnetic anomalies of several hundreds of kilometers length dissect the region south and southwest of Sor Rondane. These may represent boundaries of individual oceanic arc terrane or alternatively major Pan-African shear zones. A significant change of the magnetic anomaly pattern ca. 800 km inland of Sor Rondane may indicate the southern minimum extent of the TOAST. Magnetic anomalies of varying size, amplitude, and orientation suggest a complex transitional area between the Belgica and Yamato Mts., which appears to separate the TOAST from an lndo-Antarctic craton to the east. The new data suggest that the TOAST is comparable in size with the Antarctic Peninsula and therefore represents a significant piece of Neoproterozoic crustal addition. It originated at the periphery or outboard of Rodinia and is a remnant of the Mozambique Ocean. (C) 2018 International Association for Gondwana Research. Published by Elsevier B.V. All rights reserved.</t>
  </si>
  <si>
    <t>[Ruppel, Antonia; Laeufer, Andreas] Fed Inst Geosci &amp; Nat Resources BGR, Stilleweg 2, D-30655 Hannover, Germany; [Jacobs, Joachim] Univ Bergen, Dept Earth Sci, POB 7800, N-5020 Bergen, Norway; [Jacobs, Joachim] Norwegian Polar Res Inst, Fram Ctr, N-9296 Tromso, Norway; [Eagles, Graeme; Jokat, Wilfried] Helmholtz Ctr Polar &amp; Marine Res, AWI, Alten Hafen 26, D-27570 Bremerhaven, Germany</t>
  </si>
  <si>
    <t>University of Bergen; Norwegian Polar Institute; Helmholtz Association; Alfred Wegener Institute, Helmholtz Centre for Polar &amp; Marine Research</t>
  </si>
  <si>
    <t>Ruppel, A (corresponding author), Fed Inst Geosci &amp; Nat Resources BGR, Stilleweg 2, D-30655 Hannover, Germany.</t>
  </si>
  <si>
    <t>Antonia.Ruppel@BGR.de</t>
  </si>
  <si>
    <t>Läufer, Andreas/ABC-1465-2020</t>
  </si>
  <si>
    <t>Läufer, Andreas/0000-0003-2219-0450; Ruppel, Antonia/0000-0001-5101-411X; Jokat, Wilfried/0000-0002-7793-5854; Eagles, Graeme/0000-0001-5325-0810</t>
  </si>
  <si>
    <t>Deutsche Forschungsgemeinschaft (DFG) within the frame of the Collaborative Research Programme SPP 1158 [LA1080/9, LI 745/15]; Deutsche Forschungsgemeinschaft (DFG) within the framework of the priority programme 1158 Antarctic Research with comparative investigations in Arctic ice areas</t>
  </si>
  <si>
    <t>Deutsche Forschungsgemeinschaft (DFG) within the frame of the Collaborative Research Programme SPP 1158; Deutsche Forschungsgemeinschaft (DFG) within the framework of the priority programme 1158 Antarctic Research with comparative investigations in Arctic ice areas</t>
  </si>
  <si>
    <t>Parts of this study was financially supported by Deutsche Forschungsgemeinschaft (DFG) within the frame of the Collaborative Research Programme SPP 1158 (grants LA1080/9 to A. Laufer and LI 745/15 to F. Lisker) in the framework of the priority programme 1158 Antarctic Research with comparative investigations in Arctic ice areas.</t>
  </si>
  <si>
    <t>10.1016/j.gr.2018.02.019</t>
  </si>
  <si>
    <t>WOS:000440265400008</t>
  </si>
  <si>
    <t>Sauser, C; Delord, K; Barbraud, C</t>
  </si>
  <si>
    <t>Sauser, Christophe; Delord, Karine; Barbraud, Christophe</t>
  </si>
  <si>
    <t>Increased sea ice concentration worsens fledging condition and juvenile survival in a pagophilic seabird, the snow petrel</t>
  </si>
  <si>
    <t>BIOLOGY LETTERS</t>
  </si>
  <si>
    <t>Antarctic; body condition; capture-mark-recapture; juvenile survival; seabird; sea ice concentration</t>
  </si>
  <si>
    <t>ANTARCTIC FULMARINE PETRELS; TOP PREDATOR; CLIMATE; STRATEGIES; TRENDS; EXTENT; SOUTH</t>
  </si>
  <si>
    <t>Polar sea ice is changing rapidly, threatening many taxa in the Arctic and the Antarctic. Little is known about the effects of sea ice on early life-history traits of sea ice specialist species, although juvenile stages are a critical component of population dynamics and recruitment. We examined how annual variation in sea ice concentration (SIC) affects juvenile survival and body condition at fledging in the snow petrel Pagodroma nivea using long-term datasets encompassing 22 years for body condition and 37 years for juvenile survival. We show that SIC and southern annular mode (SAM), the principal mode of variability of the atmospheric circulation in the Southern Hemisphere, have strong nonlinear effects on juvenile survival and body condition. Below ca 20-30% SIC, body condition remained stable, but decreased almost linearly for higher SIC. Juvenile survival was negatively related to SIC and to SAM during the chick rearing period. We suggest that the base of the sea ice food web would be directly affected by sea ice conditions, thus acting locally on the abundance and structure of prey communities.</t>
  </si>
  <si>
    <t>[Sauser, Christophe; Delord, Karine; Barbraud, Christophe] CNRS, UMR 7372, Ctr Etudes Biol Chize, F-79360 Villiers En Bois, France</t>
  </si>
  <si>
    <t>Centre National de la Recherche Scientifique (CNRS); CNRS - Institute of Ecology &amp; Environment (INEE)</t>
  </si>
  <si>
    <t>Sauser, C (corresponding author), CNRS, UMR 7372, Ctr Etudes Biol Chize, F-79360 Villiers En Bois, France.</t>
  </si>
  <si>
    <t>christophe.sauser@cebc.cnrs.fr</t>
  </si>
  <si>
    <t>Barbraud, Christophe/A-5870-2012</t>
  </si>
  <si>
    <t>Barbraud, Christophe/0000-0003-0146-212X; Sauser, Christophe/0000-0001-8809-781X</t>
  </si>
  <si>
    <t>CNRS, IPEV programme [109]; programme Earlylife - European Community 7th Framework programme FP7/2007-2013 [ERC-2012-ADG_20120314]; BNP Paribas Foundation</t>
  </si>
  <si>
    <t>CNRS, IPEV programme; programme Earlylife - European Community 7th Framework programme FP7/2007-2013; BNP Paribas Foundation</t>
  </si>
  <si>
    <t>Funding was provided by CNRS, IPEV programme 109 (Henri Weimerskirch), and programme Earlylife funded by the European Community 7th Framework programme FP7/2007-2013 (Grant Agreement ERC-2012-ADG_20120314 to Henri Weimerskirch). This study is a contribution to programme SENSEI funded by the BNP Paribas Foundation.</t>
  </si>
  <si>
    <t>1744-9561</t>
  </si>
  <si>
    <t>1744-957X</t>
  </si>
  <si>
    <t>BIOL LETTERS</t>
  </si>
  <si>
    <t>Biol. Lett.</t>
  </si>
  <si>
    <t>10.1098/rsbl.2018.0140</t>
  </si>
  <si>
    <t>GO6GV</t>
  </si>
  <si>
    <t>WOS:000440138500005</t>
  </si>
  <si>
    <t>Abd Jalil, FNFA; Abd Rahman, RNZR; Salleh, AB; Ali, MSM</t>
  </si>
  <si>
    <t>Abd Jalil, Fatin Nur Fauzi Ana; Abd Rahman, Raja Noor Zaliha Raja; Salleh, Abu Bakar; Ali, Mohd Shukuri Mohamad</t>
  </si>
  <si>
    <t>Optimization and in Silico Analysis of a Cold-Adapted Lipase from an Antarctic Pseudomonas sp Strain AMS8 Reaction in Triton X-100 Reverse Micelles</t>
  </si>
  <si>
    <t>CATALYSTS</t>
  </si>
  <si>
    <t>reverse micellar extraction; cold-adapted lipase; Triton X-100; molecular dynamics simulations</t>
  </si>
  <si>
    <t>LIQUID-LIQUID-EXTRACTION; SOLVENT-TOLERANT LIPASE; NONIONIC MICROEMULSIONS; ASPERGILLUS-NIGER; MICROBIAL LIPASES; PURIFICATION; PROTEINS; SURFACTANTS; STABILITY; DYNAMICS</t>
  </si>
  <si>
    <t>A moderate yield of a purified enzyme can be achieved by using the simple technique of reverse micellar extraction (RME). RME is a liquid-liquid extraction method that uses a surfactant and an organic solvent to extract biomolecules. Instead of traditional chromatographic purification methods, which are tedious and expensive, RME using the nonionic surfactant Triton X-100 and toluene is used as an alternative purification technique to purify a recombinant cold-adapted lipase, AMS8. Various process parameters were optimized to maximize the activity recovery of the AMS8 lipase. The optimal conditions were found to be 50 mM sodium phosphate buffer, pH 7, 0.125 M NaCl, and 0.07 M Triton X-100 in toluene at 10 degrees C. Approximately 56% of the lipase activity was successfully recovered. Structural analysis of the lipase in a reverse micelle (RM) was performed using an in silico approach. The predicted model of AMS8 lipase was simulated in the Triton X-100/toluene reverse micelles from 5 to 40 degrees C. The lid 2 was slightly opened at 10 degrees C. However, the secondary structure of AMS8 was most affected in the non-catalytic domain compared to the catalytic domain, with an increased coil conformation. These results suggest that an AMS8 lipase can be extracted using Triton X-100/water/toluene micelles at low temperature. This RME approach will be an important tool for the downstream processing of recombinant cold-adapted lipases.</t>
  </si>
  <si>
    <t>[Abd Jalil, Fatin Nur Fauzi Ana; Abd Rahman, Raja Noor Zaliha Raja; Salleh, Abu Bakar; Ali, Mohd Shukuri Mohamad] Univ Putra Malaysia, Enzyme &amp; Microbial Technol Res Ctr, Serdang 43400, Selangor, Malaysia; [Abd Jalil, Fatin Nur Fauzi Ana; Salleh, Abu Bakar; Ali, Mohd Shukuri Mohamad] Univ Putra Malaysia, Dept Biochem, Fac Biotechnol &amp; Biomol Sci, Serdang 43400, Selangor, Malaysia; [Abd Rahman, Raja Noor Zaliha Raja] Univ Putra Malaysia, Dept Microbiol, Fac Biotechnol &amp; Biomol Sci, Serdang 43400, Selangor, Malaysia</t>
  </si>
  <si>
    <t>Universiti Putra Malaysia; Universiti Putra Malaysia; Universiti Putra Malaysia</t>
  </si>
  <si>
    <t>Ali, MSM (corresponding author), Univ Putra Malaysia, Enzyme &amp; Microbial Technol Res Ctr, Serdang 43400, Selangor, Malaysia.;Ali, MSM (corresponding author), Univ Putra Malaysia, Dept Biochem, Fac Biotechnol &amp; Biomol Sci, Serdang 43400, Selangor, Malaysia.</t>
  </si>
  <si>
    <t>fatinnurfauziana@gmail.com; rnzaliha@upm.edu.my; abubakar@upm.edu.my; mshukuri@upm.edu.my</t>
  </si>
  <si>
    <t>Ali, Mohd Shukuri Mohamad/AAG-5453-2021; Rahman, Raja Noor Zaliha Raja Abd/I-5556-2019; ALI, MOHD/IUM-6916-2023</t>
  </si>
  <si>
    <t>Ali, Mohd Shukuri Mohamad/0000-0003-2751-9649; Rahman, Raja Noor Zaliha Raja Abd/0000-0002-6316-6177;</t>
  </si>
  <si>
    <t>Graduate Research Fellowship (GRF) fund from Universiti Putra Malaysia</t>
  </si>
  <si>
    <t>This research and F.N.F.A.A.J schorlarship were supported by Graduate Research Fellowship (GRF) fund from Universiti Putra Malaysia.</t>
  </si>
  <si>
    <t>2073-4344</t>
  </si>
  <si>
    <t>Catalysts</t>
  </si>
  <si>
    <t>10.3390/catal8070289</t>
  </si>
  <si>
    <t>GO4VY</t>
  </si>
  <si>
    <t>WOS:000440016400036</t>
  </si>
  <si>
    <t>Smith, HJ; Dieser, M; McKnight, DM; SanClements, MD; Foreman, CM</t>
  </si>
  <si>
    <t>Smith, H. J.; Dieser, M.; McKnight, D. M.; SanClements, M. D.; Foreman, C. M.</t>
  </si>
  <si>
    <t>Relationship between dissolved organic matter quality and microbial community composition across polar glacial environments</t>
  </si>
  <si>
    <t>Biodiversity; Antarctica; Greenland; microbial; dissolved organic matter</t>
  </si>
  <si>
    <t>FLUORESCENCE SPECTROSCOPY; BACTERIAL COMMUNITIES; CRYOCONITE HOLES; ICE; CARBON; GREENLAND; DOM; DIVERSITY; MARINE; SNOW</t>
  </si>
  <si>
    <t>Vast expanses of Earth's surface are covered by ice, with microorganisms in these systems affecting local and global biogeochemical cycles. We examined microbial assemblages from habitats fed by glacial meltwater within the McMurdo Dry Valleys, Antarctica and on the west Greenland Ice Sheet (GrIS), evaluating potential physicochemical factors explaining trends in community structure. Microbial assemblages present in the different Antarctic dry valley habitats were dominated by Sphingobacteria and Flavobacteria, while Gammaproteobacteria and Sphingobacteria prevailed in west GrIS supraglacial environments. Microbial assemblages clustered by location (Canada Glacier, Cotton Glacier and west GrIS) and were separated by habitat type (i.e. ice, cryoconite holes, supraglacial lakes, sediment and stream water). Community dissimilarities were strongly correlated with dissolved organic matter (DOM) quality. Microbial meltwater assemblages were most closely associated with different protein-like components of the DOM pool. Microbes in environments with mineral particles (i.e. stream sediments and cryoconite holes) were linked to DOM containing more humic-like fluorescence. Our results demonstrate the establishment of distinct microbial communities within ephemeral glacial meltwater habitats, with DOM-microbe interactions playing an integral role in shaping communities on local and polar spatial scales.</t>
  </si>
  <si>
    <t>[Smith, H. J.; Dieser, M.; Foreman, C. M.] Montana State Univ, Ctr Biofilm Engn, 311 Barnard Hall, Bozeman, MT 59717 USA; [Dieser, M.; Foreman, C. M.] Montana State Univ, Dept Chem &amp; Biol Engn, Bozeman, MT 59717 USA; [McKnight, D. M.; SanClements, M. D.] Univ Colorado, INSTAAR, Boulder, CO 80303 USA; [SanClements, M. D.] Natl Ecol Observ Network, Boulder, CO 80301 USA</t>
  </si>
  <si>
    <t>Montana State University System; Montana State University Bozeman; Montana State University System; Montana State University Bozeman; University of Colorado System; University of Colorado Boulder</t>
  </si>
  <si>
    <t>Foreman, CM (corresponding author), Montana State Univ, Ctr Biofilm Engn, 311 Barnard Hall, Bozeman, MT 59717 USA.</t>
  </si>
  <si>
    <t>cforeman@montana.edu</t>
  </si>
  <si>
    <t>Dieser, Markus/0000-0001-8539-6646; Foreman, Christine/0000-0003-0230-4692</t>
  </si>
  <si>
    <t>National Science Foundation [NSF ANT-0838970, ANT-1141978, DGE-0654336]; NASA Earth and Science Space Fellowship</t>
  </si>
  <si>
    <t>National Science Foundation(National Science Foundation (NSF)); NASA Earth and Science Space Fellowship</t>
  </si>
  <si>
    <t>This work was supported by the National Science Foundation [NSF ANT-0838970, ANT-1141978, and DGE-0654336], and through a NASA Earth and Science Space Fellowship.</t>
  </si>
  <si>
    <t>fiy090</t>
  </si>
  <si>
    <t>10.1093/femsec/fiy090</t>
  </si>
  <si>
    <t>GO2II</t>
  </si>
  <si>
    <t>WOS:000439792600010</t>
  </si>
  <si>
    <t>Kitaura, MJ; Scur, MC; Spielmann, AA; Lorenz-Lemke, AP</t>
  </si>
  <si>
    <t>Kitaura, Marcos J.; Scur, Mayara C.; Spielmann, Adriano A.; Lorenz-Lemke, Aline P.</t>
  </si>
  <si>
    <t>A revision of Leptogium (Collemataceae, lichenized Ascomycota) from Antarctica with a key to species</t>
  </si>
  <si>
    <t>LICHENOLOGIST</t>
  </si>
  <si>
    <t>columnar hyphae; isidia; ITS; lichen anatomy; mrSSU; phylogenetic analysis</t>
  </si>
  <si>
    <t>JELLY LICHENS; FUNGI; DNA; IDENTIFICATION; PHYLOGENIES; ALIGNMENTS; MALLOTIUM; PRIMERS; BLOCKS</t>
  </si>
  <si>
    <t>With more than 180 known species, Leptogium has its greatest richness in tropical regions. Only three species have so far been reported from Antarctica but extensive surveys in the Antarctic Maritime Islands have shown that this is an underestimate. Leptogium antarcticum (non-isidiate, with medulla composed of columnar hyphae), L. marcellii (non-isidiate, with medulla composed of a sponge-like arrangement of hyphae) and L. tectum (isidiate, with medulla composed of columnar hyphae) are described here as new to science. The new species are compared with those already reported for the genus in Antarctica, namely L. crispatellum, L. menziesii and L. puberulum, and an identification key is provided. Sequences of ITS and mrSSU regions were obtained from recently collected L. antarcticum, L. marcellii, L. puberulum and L. tectum specimens. Morphological and anatomical data were compared along with available genetic data in order to delimit these species more accurately, using an integrative approach.</t>
  </si>
  <si>
    <t>[Kitaura, Marcos J.; Scur, Mayara C.; Lorenz-Lemke, Aline P.] Univ Fed Mato Grosso do Sul, Inst Biociencias, Lab Ecol &amp; Biol Evolut, Caixa Postal 549, BR-79070900 Campo Grande, MS, Brazil; [Spielmann, Adriano A.] Univ Fed Mato Grosso do Sul, Inst Biociencias, Lab Bot Liquenol, Ctr Ciencias Biol &amp; Saude, Cidade Univ,Caixa Postal 549, BR-79070900 Campo Grande, MS, Brazil</t>
  </si>
  <si>
    <t>Universidade Federal de Mato Grosso do Sul; Universidade Federal de Mato Grosso do Sul</t>
  </si>
  <si>
    <t>Kitaura, MJ (corresponding author), Univ Fed Mato Grosso do Sul, Inst Biociencias, Lab Ecol &amp; Biol Evolut, Caixa Postal 549, BR-79070900 Campo Grande, MS, Brazil.</t>
  </si>
  <si>
    <t>junjimjk@gmail.com</t>
  </si>
  <si>
    <t>Lorenz, Aline Pedroso/I-1743-2012</t>
  </si>
  <si>
    <t>Lorenz, Aline Pedroso/0000-0002-2810-2282</t>
  </si>
  <si>
    <t>CNPq; CAPES</t>
  </si>
  <si>
    <t>CNPq(Conselho Nacional de Desenvolvimento Cientifico e Tecnologico (CNPQ)); CAPES(Coordenacao de Aperfeicoamento de Pessoal de Nivel Superior (CAPES))</t>
  </si>
  <si>
    <t>We thank the Evolution and Dispersal of Antarctic Bipolar Species of Mosses and Lichens Project, Natalia Mossmann Koch and Caique Medeiros Bernardo for collecting specimens of Leptogium antarcticum and L. marcellii; the curators of H and E for the loan of specimens; the editor and reviewers for critical revision of the manuscript; PROANTAR (Programa Antartico Brasileiro), IAA (Instituto Antartico Argentino), KOPRI (Korean Polar Research Institute) and researchers of King Sejong Station for field support. MJK and MCS are grateful to CNPq and CAPES for providing scholarships.</t>
  </si>
  <si>
    <t>0024-2829</t>
  </si>
  <si>
    <t>1096-1135</t>
  </si>
  <si>
    <t>Lichenologist</t>
  </si>
  <si>
    <t>10.1017/S0024282918000269</t>
  </si>
  <si>
    <t>Plant Sciences; Mycology</t>
  </si>
  <si>
    <t>GN9WG</t>
  </si>
  <si>
    <t>WOS:000439562000005</t>
  </si>
  <si>
    <t>Lenton, A</t>
  </si>
  <si>
    <t>Lenton, Andrew</t>
  </si>
  <si>
    <t>Constraining ocean transport</t>
  </si>
  <si>
    <t>FLUXES; BUDGET</t>
  </si>
  <si>
    <t>[Lenton, Andrew] CSIRO Oceans &amp; Atmosphere, Hobart, Tas, Australia; [Lenton, Andrew] Ctr Southern Hemisphere Oceans Res, Hobart, Tas, Australia; [Lenton, Andrew] Antarctic Climate &amp; Ecosyst Cooperat Res Ctr, Hobart, Tas, Australia</t>
  </si>
  <si>
    <t>Commonwealth Scientific &amp; Industrial Research Organisation (CSIRO); Antarctic Climate &amp; Ecosystems Cooperative Research Centre (ACE CRC)</t>
  </si>
  <si>
    <t>Lenton, A (corresponding author), CSIRO Oceans &amp; Atmosphere, Hobart, Tas, Australia.;Lenton, A (corresponding author), Ctr Southern Hemisphere Oceans Res, Hobart, Tas, Australia.;Lenton, A (corresponding author), Antarctic Climate &amp; Ecosyst Cooperat Res Ctr, Hobart, Tas, Australia.</t>
  </si>
  <si>
    <t>Andrew.Lenton@csiro.au</t>
  </si>
  <si>
    <t>Lenton, Andrew/D-2077-2012</t>
  </si>
  <si>
    <t>Lenton, Andrew/0000-0001-9437-8896</t>
  </si>
  <si>
    <t>10.1038/s41561-018-0165-x</t>
  </si>
  <si>
    <t>WOS:000438794800003</t>
  </si>
  <si>
    <t>Ridley, CJA; Parker, BM; Norman, L; Schlarb-Ridley, B; Dennis, R; Jamieson, AE; Clark, D; Skill, SC; Smith, AG; Davey, MP</t>
  </si>
  <si>
    <t>Ridley, Christian J. A.; Parker, Brenda M.; Norman, Louisa; Schlarb-Ridley, Beatrix; Dennis, Ross; Jamieson, Alexandra E.; Clark, Daniel; Skill, Stephen C.; Smith, Alison G.; Davey, Matthew P.</t>
  </si>
  <si>
    <t>Growth of microalgae using nitrate-rich brine wash from the water industry</t>
  </si>
  <si>
    <t>ALGAL RESEARCH-BIOMASS BIOFUELS AND BIOPRODUCTS</t>
  </si>
  <si>
    <t>Bioreactor; Bioremediation; Algae; Nitrate; Drinking water</t>
  </si>
  <si>
    <t>PHAEODACTYLUM-TRICORNUTUM; DRINKING-WATER; LUXURY UPTAKE; REMOVAL; ACCUMULATION; CULTIVATION; GROUNDWATER; PHOSPHORUS</t>
  </si>
  <si>
    <t>Safe and accepted limits for nitrates in drinking water are exceeded in around one-third of the groundwater bodies in Europe. Whilst anion exchange (AEX) is an effective technology to strip nitrates, the regeneration of AEX resins using saturated sodium chloride (brine) results in a significant quantity of nitrate-rich saline waste, which is currently disposed of at a substantial cost to the water industry. The aim of this research was to evaluate the viability of using AEX brine wash as a nutrient source to support microalgal growth. Experiments were carried out at laboratory and pilot scales to test which algal species were able to grow on brine wash, to determine the optimal nitrate concentration within modified growth media, and to identify whether the origin of the brine wash affected the nitrate uptake potential. In small scale laboratory experiments, five marine algal species were able to grow in modified f/2 growth media containing nitrate sourced from the brine wash. Further experiments showed that three species could grow on the modified media at nitrate concentrations from 5 to 274 mg L-1. P. tricornutum could remediate up to 6.5 mg nitrate in 50 mL cultures in laboratory scale experiments, up to 570 mg at 10 L scale and 1700 mg at 100 L scale. We found that the origin of the brine wash did not significantly affect the growth of the cultures or the amount of nitrate removal from the modified media. The algal biomass could be used effectively in biogas production in small-scale trials, although with &lt; 10% the yield from P. tricornutum biomass from standard f/2 medium. Our results suggest that it may be possible to derive value from brine wash as a sustainable source of nitrate for the growth of microalgae in bulk after optimisation.</t>
  </si>
  <si>
    <t>[Ridley, Christian J. A.; Parker, Brenda M.; Norman, Louisa; Schlarb-Ridley, Beatrix; Dennis, Ross; Jamieson, Alexandra E.; Smith, Alison G.; Davey, Matthew P.] Univ Cambridge, Dept Plant Sci, Downing St, Cambridge CB2 3EA, England; [Schlarb-Ridley, Beatrix] British Antarctic Survey, Madingley Rd, Cambridge CB3 0ET, England; [Clark, Daniel] Cambridge Water Co, 90 Fulbourn Rd, Cambridge CB1 9JN, England; [Skill, Stephen C.] Greenskill Ltd, Sherwood Forest, Archers Water Farm, Nottingham NG21 0NZ, England; [Parker, Brenda M.] UCL, Dept Biochem Engn, Bernard Katz Bldg, London WC1H 0AH, England; [Norman, Louisa] Univ Liverpool, Dept Earth Ocean &amp; Ecol Sci, 4 Brownlow St, Liverpool L69 3GP, Merseyside, England</t>
  </si>
  <si>
    <t>University of Cambridge; UK Research &amp; Innovation (UKRI); Natural Environment Research Council (NERC); NERC British Antarctic Survey; University of London; University College London; University of Liverpool</t>
  </si>
  <si>
    <t>Davey, MP (corresponding author), Univ Cambridge, Dept Plant Sci, Downing St, Cambridge CB2 3EA, England.</t>
  </si>
  <si>
    <t>mpd39@cam.ac.uk</t>
  </si>
  <si>
    <t>; Parker, Brenda/B-1302-2016</t>
  </si>
  <si>
    <t>Davey, Matthew/0000-0002-5220-4174; Jamieson, Alexandra/0000-0003-0979-5762; Parker, Brenda/0000-0002-4869-9637</t>
  </si>
  <si>
    <t>European Union INTERREG IVB 'Energetic Algae' (EnAlgae) program [215G]; NERC Algal Bioenergy Special Interest Group (AB-SIG); BBSRC [BB/I013164/1] Funding Source: UKRI; EPSRC [EP/J004847/1] Funding Source: UKRI; NERC [bas010011] Funding Source: UKRI</t>
  </si>
  <si>
    <t>European Union INTERREG IVB 'Energetic Algae' (EnAlgae) program; NERC Algal Bioenergy Special Interest Group (AB-SIG); BBSRC(UK Research &amp; Innovation (UKRI)Biotechnology and Biological Sciences Research Council (BBSRC)); EPSRC(UK Research &amp; Innovation (UKRI)Engineering &amp; Physical Sciences Research Council (EPSRC)); NERC(UK Research &amp; Innovation (UKRI)Natural Environment Research Council (NERC))</t>
  </si>
  <si>
    <t>This work was supported by the European Union (project no. 215G) INTERREG IVB 'Energetic Algae' (EnAlgae) program and the NERC Algal Bioenergy Special Interest Group (AB-SIG). We thank Mr. Edgar Blanco and Ms. Rashmi Patil (Anaero Technologies, Cambridge, UK) for the 10 L bioreactor design and construction and anaerobic digestion biogas measurements.</t>
  </si>
  <si>
    <t>2211-9264</t>
  </si>
  <si>
    <t>ALGAL RES</t>
  </si>
  <si>
    <t>Algal Res.</t>
  </si>
  <si>
    <t>10.1016/j.algal.2018.04.018</t>
  </si>
  <si>
    <t>GN3MU</t>
  </si>
  <si>
    <t>WOS:000438910600011</t>
  </si>
  <si>
    <t>Epshtein, OG</t>
  </si>
  <si>
    <t>Epshtein, O. G.</t>
  </si>
  <si>
    <t>Basal Moraines: Communication 1. Essential Lithological Features</t>
  </si>
  <si>
    <t>LITHOLOGY AND MINERAL RESOURCES</t>
  </si>
  <si>
    <t>EASTERN BARENTS SEA; NORTHERN NORWAY; QUATERNARY SEDIMENTS; ANTARCTIC PENINSULA; CENTRAL DEEP; TILL; GLACIER; STRATIGRAPHY; ENVIRONMENT; GLACIATION</t>
  </si>
  <si>
    <t>The facies complex of basal moraines with glaciodynamic structures (common basal moraines) dominates among deposits of the given genetic type. These moraines represent glacial diamictons of diverse structure and lithology. Some of their features are also typical of sediments of other genetic types. Therefore, a comprehensive study of glacial diamictons and their occurrence mode on the glacial bed (unconsolidated or consolidated) within large outcrops is methodically correct. Only such studies can unravel the wide range of specific features typical of common basal moraines.</t>
  </si>
  <si>
    <t>[Epshtein, O. G.] Russian Acad Sci, Geol Inst, Pyzhevskii Per 7, Moscow 119117, Russia</t>
  </si>
  <si>
    <t>Geological Institute, Russian Academy of Sciences; Russian Academy of Sciences</t>
  </si>
  <si>
    <t>Epshtein, OG (corresponding author), Russian Acad Sci, Geol Inst, Pyzhevskii Per 7, Moscow 119117, Russia.</t>
  </si>
  <si>
    <t>ogepshtein@mail.ru</t>
  </si>
  <si>
    <t>Epshtein, Oleg/ABC-8675-2021</t>
  </si>
  <si>
    <t>Epshtein, Oleg/0000-0001-9988-2442</t>
  </si>
  <si>
    <t>0024-4902</t>
  </si>
  <si>
    <t>1608-3229</t>
  </si>
  <si>
    <t>LITHOL MINER RESOUR+</t>
  </si>
  <si>
    <t>Lithol. Miner. Resour.</t>
  </si>
  <si>
    <t>10.1134/S0024490218040028</t>
  </si>
  <si>
    <t>Geochemistry &amp; Geophysics; Geology; Mineralogy</t>
  </si>
  <si>
    <t>GN2JX</t>
  </si>
  <si>
    <t>WOS:000438825300002</t>
  </si>
  <si>
    <t>Ivchenko, VO; Zalesny, VB; Sinha, B</t>
  </si>
  <si>
    <t>Ivchenko, V. O.; Zalesny, V. B.; Sinha, B.</t>
  </si>
  <si>
    <t>Is the Coefficient of Eddy Potential Vorticity Diffusion Positive? Part I: Barotropic Zonal Channel</t>
  </si>
  <si>
    <t>Barotropic flows; Channel flows; Currents; Eddies; Ocean dynamics; Potential vorticity</t>
  </si>
  <si>
    <t>ANTARCTIC CIRCUMPOLAR CURRENT; BETA-PLANE CHANNEL; OCEAN CIRCULATION MODELS; WIND-DRIVEN; GEOSTROPHIC TURBULENCE; INTEGRAL CONSTRAINTS; GENERAL-CIRCULATION; BOTTOM TOPOGRAPHY; FLUXES; PARAMETERIZATION</t>
  </si>
  <si>
    <t>The question of whether the coefficient of diffusivity of potential vorticity by mesoscale eddies is positive is studied for a zonally reentrant barotropic channel using the quasigeostrophic approach. The topography is limited to the first mode in the meridional direction but is unlimited in the zonal direction. We derive an analytic solution for the stationary (time independent) solution. New terms associated with parameterized eddy fluxes of potential vorticity appear both in the equations for the mean zonal momentum balance and in the kinetic energy balance. These terms are linked with the topographic form stress exerted by parameterized eddies. It is demonstrated that in regimes with zonal flow (analogous to the Antarctic Circumpolar Current), the coefficient of eddy potential vorticity diffusivity must be positive.</t>
  </si>
  <si>
    <t>[Ivchenko, V. O.] Univ Southampton, Southampton, Hants, England; [Ivchenko, V. O.; Sinha, B.] Natl Oceanog Ctr, Southampton, Hants, England; [Zalesny, V. B.] Inst Numer Math, Moscow, Russia</t>
  </si>
  <si>
    <t>University of Southampton; NERC National Oceanography Centre</t>
  </si>
  <si>
    <t>Ivchenko, VO (corresponding author), Univ Southampton, Southampton, Hants, England.;Ivchenko, VO (corresponding author), Natl Oceanog Ctr, Southampton, Hants, England.</t>
  </si>
  <si>
    <t>voi@noc.soton.ac.uk</t>
  </si>
  <si>
    <t>University of Southampton; National Oceanography Centre; Russian Science Foundation [17-77-30001]; U.K. Natural Environment Research Council; Natural Environment Research Council [noc010010] Funding Source: researchfish; NERC [noc010010] Funding Source: UKRI</t>
  </si>
  <si>
    <t>University of Southampton; National Oceanography Centre; Russian Science Foundation(Russian Science Foundation (RSF)); 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</si>
  <si>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thank two anonymous reviewers for their substantial efforts in reviewing our paper. Their comments were extremely helpful and led to a much improved manuscript. VOI acknowledges the support of the University of Southampton and the National Oceanography Centre. VBZ was supported by the Russian Science Foundation, Grant 17-77-30001. BS was supported by National Capability funding from the U.K. Natural Environment Research Council.</t>
  </si>
  <si>
    <t>10.1175/JPO-D-17-0229.1</t>
  </si>
  <si>
    <t>GN3CF</t>
  </si>
  <si>
    <t>WOS:000438879800001</t>
  </si>
  <si>
    <t>Wang, XW; Holland, DM</t>
  </si>
  <si>
    <t>Wang, Xianwei; Holland, David M.</t>
  </si>
  <si>
    <t>A Method to Calculate Elevation-Change Rate of Jakobshavn Isbrae Using Operation IceBridge Airborne Topographic Mapper Data</t>
  </si>
  <si>
    <t>Airborne Topographic Mapper (ATM); elevation-change rate; Greenland; Jakobshavn Isbrae (JI); Operation IceBridge (OI); thinning</t>
  </si>
  <si>
    <t>GREENLAND ICE-SHEET; GLACIER</t>
  </si>
  <si>
    <t>To bridge the data gap between Ice, Cloud, and land Elevation Satellite (ICESat) and the delayed forthcoming ICESat-2, the National Aeronautics and Space Administration has launched the Operation IceBridge (OI) campaign in 2009, which has provided variable data set to reveal snow and ice changes in the Arctic and Antarctic. In this letter, we employ the Airborne Topographic Mapper (ATM) data from OI to detect a five-year (between 2010 and 2015) elevation-change rate of Jakobshavn Isbrae (JI), the largest and fastest flowing outlet glacier in Greenland. Grid elevation of OI ATM is calculated and a method to calculate elevation-change rate using these grid data is implemented. The comparison of repeat grid elevation indicates that our method can generate unbiased elevation data. The uncertainty of grid elevation data using our method is approximately 1.0 m (standard deviation). The five-year average elevation rate of JI over regions with ice velocity &gt;= 300 m/a between 2010 and 2015 was about -5.0 m/a (root mean square uncertainty: 0.7 m/a), with a maximum thinning rate of -18.2 m/a near the terminus of the main trunk. Compared with the previously reported elevation change rates from earlier periods, JI has now reached a new high thinning record.</t>
  </si>
  <si>
    <t>[Wang, Xianwei; Holland, David M.] New York Univ Abu Dhabi, Ctr Global Sea Level Change, Abu Dhabi 129188, U Arab Emirates; [Holland, David M.] NYU, Courant Inst Math Sci, New York, NY 10003 USA</t>
  </si>
  <si>
    <t>New York University Abu Dhabi; New York University</t>
  </si>
  <si>
    <t>Wang, XW (corresponding author), New York Univ Abu Dhabi, Ctr Global Sea Level Change, Abu Dhabi 129188, U Arab Emirates.</t>
  </si>
  <si>
    <t>wangxianwei0304@163.com; david.holland@nyu.edu</t>
  </si>
  <si>
    <t>wang, xianwei/0000-0002-2119-0267</t>
  </si>
  <si>
    <t>Center for Global Sea Level Change, NYU Abu Dhabi Research Institute, United Arab Emirates [G1204]; National Science Foundation, USA [ARC-1304137]; NASA Oceans Melting Greenland through NYU [NNX15AD55G]; NASA [NNX15AD55G, 808718] Funding Source: Federal RePORTER</t>
  </si>
  <si>
    <t>Center for Global Sea Level Change, NYU Abu Dhabi Research Institute, United Arab Emirates; National Science Foundation, USA(National Science Foundation (NSF)); NASA Oceans Melting Greenland through NYU; NASA(National Aeronautics &amp; Space Administration (NASA))</t>
  </si>
  <si>
    <t>This work was supported in part by the Center for Global Sea Level Change, NYU Abu Dhabi Research Institute, United Arab Emirates, under Grant G1204, in part by the National Science Foundation, USA, under Grant ARC-1304137, and in part by the NASA Oceans Melting Greenland through NYU under Grant NNX15AD55G.</t>
  </si>
  <si>
    <t>10.1109/LGRS.2018.2828417</t>
  </si>
  <si>
    <t>GK8IJ</t>
  </si>
  <si>
    <t>WOS:000436464300003</t>
  </si>
  <si>
    <t>Sümegi, P; Gulyás, S; Molnár, D; Sümegi, BP; Almond, PC; Vandenberghe, J; Zhou, L; Pál-Molnár, E; Törocsik, T; Hao, Q; Smalley, I; Molnár, M; Marsi, I</t>
  </si>
  <si>
    <t>Sumegi, P.; Gulyas, S.; Molnar, D.; Sumegi, B. P.; Almond, P. C.; Vandenberghe, J.; Zhou, L.; Pal-Molnar, E.; Torocsik, T.; Hao, Q.; Smalley, I; Molnar, M.; Marsi, I</t>
  </si>
  <si>
    <t>New chronology of the best developed loess/paleosol sequence of Hungary capturing the past 1.1 ma: Implications for correlation and proposed pan-Eurasian stratigraphic schemes</t>
  </si>
  <si>
    <t>Loess/paleosol sequences; Danubian basin; Revised chronology; New pan-Eurasian regional correlation scheme; Middle and upper pleistocene</t>
  </si>
  <si>
    <t>LOESS-PALEOSOL SEQUENCE; CHINESE LOESS; PLEISTOCENE LOESS; PALEOCLIMATIC RECORD; CONTINENTAL CLIMATE; MAGNETIC-PROPERTIES; REVISED CHRONOSTRATIGRAPHY; LOESS/PALAEOSOL SEQUENCE; GEOMAGNETIC EVENTS; ANTARCTIC CLIMATE</t>
  </si>
  <si>
    <t>In this paper, we are presenting a revised chronology of the best developed, longest (100 m) LAS in Hungary dating back 1.1 Ma: borehole Udvari-2A. It is based on a non-tuned age-depth model, built on the position of the Matuyama-Brunhes Boundary, Jaramillo and Olduvai Subchrons. Furthermore, on the assignment of formerly recorded uninterpreted geomagnetic reversals in both chrons. Other chronometric tools (AMS C-14 dating, biostratigraphy, tephrostratigraphy) yielding absolute ages and/or ensuring validation of these were also used. Records of a Middle Pleistocene gastropod index fossil Neostyriaca corynodes (400 -140 ka) facilitated verification of ages between MIS 10 and MIS 6. Multiple age control points at 15, 25, 27, 45,120, 191, 362, 430, 670, 780, 900, 990, 1070 ka were established for the last ca. 1.1 Ma. The resulting chronology is the best resolved independent one so far among Danubian Basin LPSs. In light of our data, the S3-S4 units were fused as S3 in all Serbian, and some Romanian sites and recorrelated with MIS 9. The results also point to a misassignment of the S5 units at these sites to MIS 13-15 leading to erroneous conclusions regarding paleoclimatic conditions and cyclicity. In our new stratigraphic scheme, these S5 paleosols were taken to represent the S4 paleosol and recorrelated with MIS 11. Finally, an ideal stratigraphic column dating back 1.1 Ma for SW Hungary was constructed and correlated with the Chinese loess/paleosol sequence of Xifeng and the benthic oxygen isotope record down to MIS 31. (C) 2018 Elsevier Ltd. All rights reserved.</t>
  </si>
  <si>
    <t>[Sumegi, P.; Gulyas, S.; Molnar, D.; Sumegi, B. P.; Torocsik, T.] Univ Szeged, Dept Geol &amp; Paleontol, Szeged, Hungary; [Sumegi, P.] Hungarian Acad Sci, Inst Archeol, Budapest, Hungary; [Almond, P. C.] Lincoln Univ, Lincoln, Northern Canter, New Zealand; [Vandenberghe, J.] Vrije Univ Amsterdam, Inst Earth Sci, Amsterdam, Netherlands; [Zhou, L.] Univ Beijing, Dept Geomorphol &amp; Quaternary Geol, Beijing, Peoples R China; [Pal-Molnar, E.] Univ Szeged, Dept Minerol Petrol &amp; Geochem, Szeged, Hungary; [Hao, Q.] Chinese Acad Sci, Inst Geol &amp; Geophys, Beijing, Peoples R China; [Smalley, I] Univ Leicester, Dept Geog, Leicester, Leics, England; [Molnar, M.] Inst Nucl Res, Hertelendi Lab Environm Sci, Debrecen, Hungary; [Sumegi, B. P.; Torocsik, T.; Molnar, M.] Hungarian Acad Sci, ICER Ctr, Inst Nucl Res, Debrecen, Hungary; [Marsi, I] Hungarian Geol &amp; Geophys Inst, Budapest, Hungary</t>
  </si>
  <si>
    <t>Szeged University; Hungarian Research Network; Hungarian Academy of Sciences; HUN-REN Research Centre for the Humanities; Lincoln University - New Zealand; Vrije Universiteit Amsterdam; Szeged University; Chinese Academy of Sciences; Institute of Geology &amp; Geophysics, CAS; University of Leicester; Hungarian Academy of Sciences; Hungarian Research Network; HUN-REN Institute for Nuclear Research; Hungarian Academy of Sciences; Hungarian Research Network; HUN-REN Institute for Nuclear Research</t>
  </si>
  <si>
    <t>Gulyás, S (corresponding author), Univ Szeged, Dept Geol &amp; Paleontol, Szeged, Hungary.</t>
  </si>
  <si>
    <t>gulyas.sandor@geo.u-szeged.hu</t>
  </si>
  <si>
    <t>Vandenberghe, Jef/H-5846-2019; Hao, Qingzhen/KCK-8974-2024; Molnár, Dávid/A-9572-2013</t>
  </si>
  <si>
    <t>Vandenberghe, Jef/0000-0001-9910-1319; Hao, Qingzhen/0000-0002-6281-5817; Torocsik, Tunde/0000-0002-2014-5990; Molnar, David/0000-0001-5304-0741</t>
  </si>
  <si>
    <t>European Union; State of Hungary; gs1:European Regional Development Fund [GINOP-2.3.2-15-2016-00009]</t>
  </si>
  <si>
    <t>European Union(European Union (EU)); State of Hungary; gs1:European Regional Development Fund</t>
  </si>
  <si>
    <t>The research was supported by the European Union and the State of Hungary, co-financed by the gs1:European Regional Development Fund in the project of GINOP-2.3.2-15-2016-00009 'ICER'. We are grateful for the two anonymous reviewers whose comments helped improving the content of the manuscript to its present form.</t>
  </si>
  <si>
    <t>10.1016/j.quascirev.2018.04.012</t>
  </si>
  <si>
    <t>GL7FR</t>
  </si>
  <si>
    <t>WOS:000437363000011</t>
  </si>
  <si>
    <t>Moon, KL; Dann, P; Chown, SL; McGaughran, A; Fraser, CI</t>
  </si>
  <si>
    <t>Moon, Katherine L.; Dann, Peter; Chown, Steven L.; McGaughran, Angela; Fraser, Ceridwen, I</t>
  </si>
  <si>
    <t>Penguin ectoparasite panmixia suggests extensive host movement within a colony</t>
  </si>
  <si>
    <t>AUK</t>
  </si>
  <si>
    <t>genomic; genotyping by sequencing (GBS); host movement; single nucleotide polymorphisms (SNPs); tick</t>
  </si>
  <si>
    <t>RISSA-TRIDACTYLA COLONIES; EUDYPTULA-MINOR; IXODES-URIAE; GENETIC-STRUCTURE; SEABIRD TICK; POPULATION-STRUCTURE; ANTARCTIC PENINSULA; IXODIDAE; ACARI; DISPERSAL</t>
  </si>
  <si>
    <t>Parasite population structure can be used to infer fine-scale movement in host species. Many penguin species form large social colonies, and are highly philopatric, returning to the same nest or burrow, along the same route, after each trip to sea. Within a colony, however, the local abundance, physical similarity, and nocturnal habits of penguins hinder the observation of fine-scale movements. To determine the extent of movement and interaction of penguins within colonies, a genotyping by sequencing (GBS) approach was used to study the fine-scale structure of ticks-which depend on host movements for dispersal-exploiting the largest Little Penguin (Eudyptula novaehollandiae) colony in Australia (Phillip Island, Victoria). No barriers to tick gene flow were identified, and we infer that extensive penguin movement occurs throughout the colony. Our findings support the hypothesis that some penguin species are highly gregarious, socializing widely within colonies despite strong nest-site philopatry.</t>
  </si>
  <si>
    <t>[Moon, Katherine L.; Fraser, Ceridwen, I] Australian Natl Univ, Fenner Sch Environm &amp; Soc, Canberra, ACT, Australia; [Moon, Katherine L.; Chown, Steven L.] Monash Univ, Sch Biol Sci, Clayton, Vic, Australia; [Dann, Peter] Phillip Isl Nat Pk, Res Dept, Cowes, Vic, Australia; [McGaughran, Angela] Australian Natl Univ, Res Sch Biol, Div Ecol &amp; Evolut, Canberra, ACT, Australia</t>
  </si>
  <si>
    <t>Australian National University; Monash University; Australian National University</t>
  </si>
  <si>
    <t>Moon, KL (corresponding author), Australian Natl Univ, Fenner Sch Environm &amp; Soc, Canberra, ACT, Australia.;Moon, KL (corresponding author), Monash Univ, Sch Biol Sci, Clayton, Vic, Australia.</t>
  </si>
  <si>
    <t>katielouisemoon@gmail.com</t>
  </si>
  <si>
    <t>McGaughran, Angela/C-5916-2014; Chown, Steven/ABD-7646-2021; Chown, Steven/H-3347-2011</t>
  </si>
  <si>
    <t>McGaughran, Angela/0000-0002-3429-8699; Fraser, Ceridwen/0000-0002-6918-8959; Chown, Steven/0000-0001-6069-5105</t>
  </si>
  <si>
    <t>Royal Zoological Society of New South Wales (Ethel Mary Read Research Grant); Centre for Biodiversity Analysis (Ignition Grant); SeaWorld Research and Rescue Foundation Inc. [SWR/4/2014]</t>
  </si>
  <si>
    <t>Royal Zoological Society of New South Wales (Ethel Mary Read Research Grant); Centre for Biodiversity Analysis (Ignition Grant); SeaWorld Research and Rescue Foundation Inc.</t>
  </si>
  <si>
    <t>Funding was provided by the Royal Zoological Society of New South Wales (Ethel Mary Read Research Grant), the Centre for Biodiversity Analysis (Ignition Grant), and a SeaWorld Research and Rescue Foundation Inc. grant (SWR/4/2014).</t>
  </si>
  <si>
    <t>1938-4254</t>
  </si>
  <si>
    <t>10.1642/AUK-17-226.1</t>
  </si>
  <si>
    <t>GK8TK</t>
  </si>
  <si>
    <t>WOS:000436501100022</t>
  </si>
  <si>
    <t>Sensarma, S; Banerjee, R; Satyanarayanan, M; Mukhopadhyay, S</t>
  </si>
  <si>
    <t>Sensarma, Simontini; Banerjee, Ranadip; Satyanarayanan, Manavalan; Mukhopadhyay, Subir</t>
  </si>
  <si>
    <t>Depositional environment of the surface sediments in Central Indian Basin (CIB), Indian Ocean, between 8°-18°S latitude and 72°-79°E longitude, based on their geochemical characteristics</t>
  </si>
  <si>
    <t>Central Indian Basin; deep sea; geochemistry; Indian Ocean; major elements; sediments</t>
  </si>
  <si>
    <t>DEEP-SEA SEDIMENTS; ANTARCTIC BOTTOM WATER; CLAY-MINERALS; TERRIGENOUS INFLUENCE; MANGANESE NODULES; GRAIN-SIZE; IRON; PRODUCTIVITY; ELEMENTS; BARIUM</t>
  </si>
  <si>
    <t>To establish the depositional environment of the surface sediments in the Central Indian Basin, Indian Ocean, major and trace element compositions of different sediment types were studied. The study area composed of terrigenous-siliceous transition, calcareous, siliceous, and red clay sediments. The sediment type changed due to various physico-chemical conditions with varying proportions of biogenic, hydrogenetic, early diagenetic, and detrital inputs. An oxidative environment is present throughout the basin with variable intensity. The terrigenous input was variable in all sediment types, while its signature was traceable up to 15.30 degrees S latitude. The variable distribution pattern of Mn-excess and Fe-excess indicate that apart from continental source, there were additional sources of supply for both these elements, with which most of the trace metals like nickel, copper, chromium, vanadium, yttrium, rubidium, and thorium were associated. The Al/Ti ratios of the sediments indicate a terrestrial influence of fluvial nature up to as far as 14 degrees S latitude while, in the calcareous zone, the influence of volcanic precursors was observed. The present study envisages that Al-excess in the sediments adjacent to the ridges and fracture zones might indicate that Al in these areas is not entirely derived from the continental source.</t>
  </si>
  <si>
    <t>[Sensarma, Simontini; Banerjee, Ranadip] CSIR Natl Inst Oceanog, Panaji 403004, Goa, India; [Satyanarayanan, Manavalan] CSIR Natl Geophys Res Inst, Hyderabad, Telangana, India; [Mukhopadhyay, Subir] Jadavpur Univ, Kolkata, W Bengal, India</t>
  </si>
  <si>
    <t>Council of Scientific &amp; Industrial Research (CSIR) - India; CSIR - National Institute of Oceanography (NIO); Council of Scientific &amp; Industrial Research (CSIR) - India; CSIR - National Geophysical Research Institute (NGRI); Jadavpur University</t>
  </si>
  <si>
    <t>Sensarma, S (corresponding author), CSIR Natl Inst Oceanog, Panaji 403004, Goa, India.</t>
  </si>
  <si>
    <t>simontinisensarma@gmail.com</t>
  </si>
  <si>
    <t>Satyanarayanan, Manavalan/0000-0002-7569-4997</t>
  </si>
  <si>
    <t>DST-PURSE [GAP-2175]</t>
  </si>
  <si>
    <t>DST-PURSE</t>
  </si>
  <si>
    <t>DST-PURSE; GAP-2175</t>
  </si>
  <si>
    <t>10.1002/gj.2978</t>
  </si>
  <si>
    <t>GL9RV</t>
  </si>
  <si>
    <t>WOS:000437675500023</t>
  </si>
  <si>
    <t>Sati, A; Bhatt, P</t>
  </si>
  <si>
    <t>Sati, Aarti; Bhatt, Priyanka</t>
  </si>
  <si>
    <t>KRILL OIL: THE MOST POWERFUL OMEGA 3 KNOWN ON EARTH</t>
  </si>
  <si>
    <t>INTERNATIONAL JOURNAL OF PHARMACEUTICAL SCIENCES AND RESEARCH</t>
  </si>
  <si>
    <t>Astaxanthin; PUFA; Seafood; DHA; EPA</t>
  </si>
  <si>
    <t>POLYUNSATURATED FATTY-ACIDS; CORONARY-HEART-DISEASE; FISH-OIL; SUPPLEMENTATION; OMEGA-3-FATTY-ACIDS; ASTAXANTHIN; MEN; LIPOPROTEINS; HEALTH; LIPIDS</t>
  </si>
  <si>
    <t>A diet rich in marine fishes and general seafood has long been recommended by several medical authorities as a long-term nutritional intervention to preserve overall health and wellbeing. An association between consumption of fish and seafood and beneficial effects on a variety of health outcomes has been reported in epidemiologic studies and clinical trials. These effects are mainly attributed to the omega-3 long-chain polyunsaturated fatty acids (n-3 PUFAs) abundant in fish and seafood, and in particular to eicosapentaenoic acid (EPA) and docosahexaenoic acid (DHA). Reports on health benefits have led to increased demand for products containing marine n-3 PUFAs. Since fish is a restricted resource, there is growing interest in exploiting alternative sources of marine n-3 PUFAs. Antarctic krill (Euphausia superba) is a rich source of n-3 PUFAs. Most of the health benefits provided by frequent seafood consumption come from adequate uptake of omega-3 and omega-6 polyunsaturated fatty acids, n-3/n-6 PUFAs, and antioxidants. Optimal n-3/n-6 PUFAs ratios allow efficient inflammatory responses that prevent the initiation and progression of many inflammatory disorders. Moreover, interesting in-vivo and clinical studies with the marine antioxidant carotenoid astaxanthin (present in krill oil) have shown promising results against free radical activity in different diseases. This review presents the state-of-the-art applications of krill oil as a rich source of n-3/n-6 PUFAs and astaxanthin against diseases associated with exacerbated oxidative stress in human body.</t>
  </si>
  <si>
    <t>[Sati, Aarti] Shri Guru Ram Rai Inst Technol &amp; Sci, Div Pharmaceut Sci, Dehra Dun 248001, Uttarakhand, India; [Bhatt, Priyanka] Coll Engn &amp; Technol Pharm, Shri Ram Murti Smarak, Bareilly 243202, Uttar Pradesh, India</t>
  </si>
  <si>
    <t>Sati, A (corresponding author), Shri Guru Ram Rai Inst Technol &amp; Sci, Div Pharmaceut Sci, Dehra Dun 248001, Uttarakhand, India.</t>
  </si>
  <si>
    <t>bhattpriyanka38@gmail.com</t>
  </si>
  <si>
    <t>INT JOURNAL PHARMACEUTICAL SCIENCES &amp; RESEARCH</t>
  </si>
  <si>
    <t>HARYANA</t>
  </si>
  <si>
    <t>1117, SECTOR 12 A, PANCHKULA, HARYANA, 00000, INDIA</t>
  </si>
  <si>
    <t>0975-8232</t>
  </si>
  <si>
    <t>INT J PHARM SCI RES</t>
  </si>
  <si>
    <t>Int. J. Pharm.l Sci. Res.</t>
  </si>
  <si>
    <t>10.13040/IJPSR.0975-8232.9(7).2693-99</t>
  </si>
  <si>
    <t>GL9BP</t>
  </si>
  <si>
    <t>WOS:000437524800011</t>
  </si>
  <si>
    <t>Crego, RD; Jiménez, JE; Rozzi, R</t>
  </si>
  <si>
    <t>Crego, Ramiro D.; Jimenez, Jaime E.; Rozzi, Ricardo</t>
  </si>
  <si>
    <t>Macro- and micro-habitat selection of small rodents and their predation risk perception under a novel invasive predator at the southern end of the Americas</t>
  </si>
  <si>
    <t>MAMMAL RESEARCH</t>
  </si>
  <si>
    <t>American mink; Cape Horn; Giving-up densities; Habitat use; Invasive species</t>
  </si>
  <si>
    <t>HORN BIOSPHERE RESERVE; MINK MUSTELA-VISON; TIERRA-DEL-FUEGO; FORAGING BEHAVIOR; NAVARINO ISLAND; PATCH USE; PREY; MAMMALS; BIODIVERSITY; RESPONSES</t>
  </si>
  <si>
    <t>Invasive predators are responsible for the extinction of numerous island species worldwide. The naive prey hypothesis suggests that the lack of co-evolutionary history between native prey and introduced predators results in the absence of behavioral responses to avoid predation. The lack of terrestrial mammal predators is a core feature of islands at the southern end of the Americas. Recently, however, the American mink (Neovison vison) established as a novel terrestrial predator, where rodents became a main portion of its diet. Here, we investigated on Navarino Island, Chile, macro- and micro-habitat selection of small rodents using Sherman traps. Additionally, we experimentally tested behavioral responses of small rodents to indirect cues of native raptorial predation risk (vegetation cover) and direct cues of novel mink predation risk (gland odor) using Sherman traps and foraging trays (giving-up density (GUD)). At the macro-habitat level, we detected native rodents of the species Abrothrix xanthorhinus and Oligoryzomys longicaudatus and the exotic Mus musculus. In general, rodents preferred scrubland habitats. At the micro-habitat level, we only captured individuals of A. xanthorhinus. They preferred covered habitats with tall vegetation. GUD increased in opened areas (riskier for raptorial predation) regardless of the presence or not of mink odor. These results suggest that A. xanthorhinus can perceive predation risk by raptors, but not by mink, results that accord with the hypothesis that co-evolutionary history is important for rodents to develop antipredator behavior. Given that these rodents represent an important proportion of mink diet, the low abundances together with the apparent lack of antipredator response raise conservation concerns for the small rodent populations inhabiting the southernmost island ecosystems of the Americas.</t>
  </si>
  <si>
    <t>[Crego, Ramiro D.; Jimenez, Jaime E.] Univ North Texas, Dept Biol Sci, 1155 Union Circle, Denton, TX 76203 USA; [Crego, Ramiro D.; Jimenez, Jaime E.; Rozzi, Ricardo] Inst Ecol &amp; Biodiversidad, Fac Ciencias, Dept Ciencias Ecol, Casilla 653, Santiago, Chile; [Crego, Ramiro D.; Jimenez, Jaime E.; Rozzi, Ricardo] Univ North Texas, Subantarctic Biocultural Conservat Program, 1155 Union Circle, Denton, TX 76203 USA; [Jimenez, Jaime E.; Rozzi, Ricardo] Univ North Texas, Dept Philosophy &amp; Relig, 1155 Union Circle 305036, Denton, TX 76203 USA; [Jimenez, Jaime E.; Rozzi, Ricardo] Univ Magallanes, Manuel Bulnes 1855, Punta Arenas, Chile</t>
  </si>
  <si>
    <t>University of North Texas System; University of North Texas Denton; University of North Texas System; University of North Texas Denton; University of North Texas System; University of North Texas Denton; Universidad de Magallanes</t>
  </si>
  <si>
    <t>Crego, RD (corresponding author), Univ North Texas, Dept Biol Sci, 1155 Union Circle, Denton, TX 76203 USA.;Crego, RD (corresponding author), Inst Ecol &amp; Biodiversidad, Fac Ciencias, Dept Ciencias Ecol, Casilla 653, Santiago, Chile.;Crego, RD (corresponding author), Univ North Texas, Subantarctic Biocultural Conservat Program, 1155 Union Circle, Denton, TX 76203 USA.</t>
  </si>
  <si>
    <t>ramirocrego84@gmail.com</t>
  </si>
  <si>
    <t>Jimenez, Jaime E./AAO-7531-2020; Crego, Ramiro Daniel/I-3964-2019; Rozzi, Ricardo/G-1047-2012</t>
  </si>
  <si>
    <t>Crego, Ramiro Daniel/0000-0001-8583-5936; Rozzi, Ricardo/0000-0001-5265-8726</t>
  </si>
  <si>
    <t>Toulouse Graduate School Program at the University of North Texas (UNT); Idea Wild; Rufford Foundation; Conservation Research and Education Opportunities International (CREOi); Institute of Ecology and Biodiversity of Chile (IEB) [ICM P05-002, Basal-CONICYT PFB-23]</t>
  </si>
  <si>
    <t>Toulouse Graduate School Program at the University of North Texas (UNT); Idea Wild; Rufford Foundation; Conservation Research and Education Opportunities International (CREOi); Institute of Ecology and Biodiversity of Chile (IEB)</t>
  </si>
  <si>
    <t>This study was funded by the Toulouse Graduate School Program at the University of North Texas (UNT), Idea Wild, the Rufford Foundation, the Conservation Research and Education Opportunities International (CREOi), and the Institute of Ecology and Biodiversity of Chile (IEB; grants ICM P05-002 and Basal-CONICYT PFB-23). This study is a contribution of the Sub-Antarctic Biocultural Conservation Program, jointly coordinated by the UNT in the USA, and by the IEB and the Universidad de Magallanes in Chile.</t>
  </si>
  <si>
    <t>2199-2401</t>
  </si>
  <si>
    <t>2199-241X</t>
  </si>
  <si>
    <t>MAMMAL RES</t>
  </si>
  <si>
    <t>Mammal Res.</t>
  </si>
  <si>
    <t>10.1007/s13364-018-0361-5</t>
  </si>
  <si>
    <t>GI8EU</t>
  </si>
  <si>
    <t>WOS:000434755600003</t>
  </si>
  <si>
    <t>Coufalík, P; Meszarosová, N; Coufalíková, K; Zverina, O; Komárek, J</t>
  </si>
  <si>
    <t>Coufalik, Pavel; Meszarosova, Natalia; Coufalikova, Katerina; Zverina, Ondrej; Komarek, Josef</t>
  </si>
  <si>
    <t>Determination of methylmercury in cryptogams by means of GC-AFS using enzymatic hydrolysis</t>
  </si>
  <si>
    <t>MICROCHEMICAL JOURNAL</t>
  </si>
  <si>
    <t>Methylmercury; Cyanobacterium; Alga; Lichen; GC-AFS</t>
  </si>
  <si>
    <t>ATOMIC FLUORESCENCE SPECTROMETRY; TOTAL MERCURY; ENVIRONMENTAL-SAMPLES; SPECIATION; ANTARCTICA; EXTRACTION; BIOGEOCHEMISTRY; ACCUMULATION; PRETREATMENT; VALIDATION</t>
  </si>
  <si>
    <t>Since methylmercury is a highly toxic compound, there is undoubtedly a need for the monitoring of methylmercury in the ecosystem. However, its isolation from the organic matrix using an appropriate analytical procedure and sensitive detection technique are necessary due to trace levels of methylmercury in biomonitors. This study focuses on the determination of methylmercury in plant matrices by means of GC-AFS. The developed extraction procedure is based on the enzymatic hydrolysis of the matrix by cellulase, followed by the extraction of methylmercury in hydrochloric acid and the extraction of derivatized methylmercury into the organic phase. The limit of detection of methylmercury in environmental samples was 4 mu g kg(-1). The method demonstrated sufficient precision, accuracy, and repeatability with respect to the determination of methylmercury in cryptogams. High contents of methylmercury (up to 60.9 +/- 4.4 mu g kg(-1)) were determined in cyanobacterial mats from James Ross Island (Antarctic Peninsula). Thus, freshwater lakes and wetlands in Antarctica can be sources of methylmercury for the local ecosystem. (C) 2018 Elsevier B.V. All rights reserved.</t>
  </si>
  <si>
    <t>[Coufalik, Pavel; Meszarosova, Natalia; Coufalikova, Katerina; Zverina, Ondrej; Komarek, Josef] Masaryk Univ, Fac Sci, Dept Chem, Kotlarska 2, CS-61137 Brno, Czech Republic; [Coufalik, Pavel] Czech Acad Sci, Inst Analyt Chem, Vvi, Veveri 97, Brno 60200, Czech Republic; [Zverina, Ondrej] Masaryk Univ, Fac Med, Dept Publ Hlth, Kamenice 5, Brno 62500, Czech Republic</t>
  </si>
  <si>
    <t>Masaryk University Brno; Czech Academy of Sciences; Institute of Analytical Chemistry of the Czech Academy of Sciences; Masaryk University Brno</t>
  </si>
  <si>
    <t>Coufalík, P (corresponding author), Czech Acad Sci, Inst Analyt Chem, Vvi, Veveri 97, Brno 60200, Czech Republic.</t>
  </si>
  <si>
    <t>coufalik@iach.cz</t>
  </si>
  <si>
    <t>Zvěřina, Ondřej/AAA-2400-2022; Coufalíková, Kateřina/ABC-2731-2021; Zvěřina, Ondřej/AAE-5507-2019; Coufalik, Pavel/G-9819-2014</t>
  </si>
  <si>
    <t>Zvěřina, Ondřej/0000-0003-0035-6851; Coufalíková, Kateřina/0000-0002-1252-2266; Zvěřina, Ondřej/0000-0003-0035-6851; Coufalik, Pavel/0000-0001-6332-9020</t>
  </si>
  <si>
    <t>Masaryk University [MUNI/A/0886/2016]; Institute of Analytical Chemistry of the CAS [RVO: 68081715]</t>
  </si>
  <si>
    <t>Masaryk University; Institute of Analytical Chemistry of the CAS</t>
  </si>
  <si>
    <t>The authors are grateful for use of the facilities of the J.G. Mendel Czech Antarctic Station. The research was supported by Masaryk University under the MUNI/A/0886/2016 project, and by the Institute of Analytical Chemistry of the CAS under the Institutional Research Plan RVO: 68081715.</t>
  </si>
  <si>
    <t>0026-265X</t>
  </si>
  <si>
    <t>1095-9149</t>
  </si>
  <si>
    <t>MICROCHEM J</t>
  </si>
  <si>
    <t>Microchem J.</t>
  </si>
  <si>
    <t>10.1016/j.microc.2018.03.040</t>
  </si>
  <si>
    <t>Chemistry, Analytical</t>
  </si>
  <si>
    <t>GL7OK</t>
  </si>
  <si>
    <t>WOS:000437391000002</t>
  </si>
  <si>
    <t>La Longa, F; Crescimbene, M; Alfonsi, L; Cesaroni, C; Romano, V</t>
  </si>
  <si>
    <t>La Longa, Federica; Crescimbene, Massimo; Alfonsi, Lucilla; Cesaroni, Claudio; Romano, Vincenzo</t>
  </si>
  <si>
    <t>Expedition to the South Pole: experience of the laboratory game on polar sciences with primary schools</t>
  </si>
  <si>
    <t>RENDICONTI ONLINE SOCIETA GEOLOGICA ITALIANA</t>
  </si>
  <si>
    <t>Polar Sciences dissemination; Antarctic Laboratory Game; Role playing</t>
  </si>
  <si>
    <t>Polar sciences represent a unique opportunity for scientific dissemination, not only for importance, multidisciplinary values and relapse of the polar researches, but, mainly, because it addresses and transmits ethical and social values as example of strong integration between human beings and extreme environments. In this frame, the idea to communicate and to share the experience of the scientific research in Antarctica with general public and with pupils is a challenge that a team of INGV researchers, engaged for many years in scientific missions in Antarctica, carries on with great enthusiasm. The initiative contributes to several outreach activities of the Italian National Program for Antarctic Research (PNRA). The present work reports the experience of the laboratory Expedition to the South Pole, realized by INGV and addressed to the pupils of the primary school. The laboratory game Expedition to the South Pole is based on the role playing method and experiential activities.</t>
  </si>
  <si>
    <t>[La Longa, Federica; Crescimbene, Massimo; Alfonsi, Lucilla; Cesaroni, Claudio; Romano, Vincenzo] Ist Nazl Geofis &amp; Vulcanol, Via Vigna Murata 605, I-00143 Rome, Italy</t>
  </si>
  <si>
    <t>Istituto Nazionale Geofisica e Vulcanologia (INGV)</t>
  </si>
  <si>
    <t>La Longa, F (corresponding author), Ist Nazl Geofis &amp; Vulcanol, Via Vigna Murata 605, I-00143 Rome, Italy.</t>
  </si>
  <si>
    <t>federica.lalonga@ingv.it</t>
  </si>
  <si>
    <t>Alfonsi, Lucilla/V-2969-2018; Romano, Vincenzo/HKV-6552-2023; Cesaroni, Claudio/AAF-1075-2020; Crescimbene, Massimo/ABJ-7200-2022</t>
  </si>
  <si>
    <t>Romano, Vincenzo/0000-0002-7532-4507; Crescimbene, Massimo/0000-0002-3935-0070; Alfonsi, Lucilla/0000-0002-1806-9327</t>
  </si>
  <si>
    <t>Italian National Program for AntarcticResearch (PNRA)</t>
  </si>
  <si>
    <t>The authors thank the Italian National Program for AntarcticResearch (PNRA) for support and the two anonymous reviewers for the detailed comments that improved the original manuscript.</t>
  </si>
  <si>
    <t>SOC GEOLOGICA ITALIANA</t>
  </si>
  <si>
    <t>ROME</t>
  </si>
  <si>
    <t>UNIV DEGLI STUDI LA SAPIENZA, DIPART SCI DELLA TERRA, PIAZZALE ALDO MORO 5, ROME, I-00185, ITALY</t>
  </si>
  <si>
    <t>2035-8008</t>
  </si>
  <si>
    <t>REND ONLINE SOC GEOL</t>
  </si>
  <si>
    <t>Rend. Online Soc. Geol. Ital.</t>
  </si>
  <si>
    <t>10.3301/ROL.2018.25</t>
  </si>
  <si>
    <t>GM1ZS</t>
  </si>
  <si>
    <t>WOS:000437877400006</t>
  </si>
  <si>
    <t>Fan, MJ; Ayyash, SA; Tripati, A; Passey, BH; Griffith, EM</t>
  </si>
  <si>
    <t>Fan, Majie; Ayyash, Sara A.; Tripati, Aradhna; Passey, Benjamin H.; Griffith, Elizabeth M.</t>
  </si>
  <si>
    <t>Terrestrial cooling and changes in hydroclimate in the continental interior of the United States across the Eocene-Oligocene boundary</t>
  </si>
  <si>
    <t>GEOLOGICAL SOCIETY OF AMERICA BULLETIN</t>
  </si>
  <si>
    <t>GROUNDWATER TEMPERATURE RESPONSE; CLUMPED-ISOTOPE GEOCHEMISTRY; NORTH-AMERICAN MIDCONTINENT; CENTRAL ROCKY-MOUNTAINS; CLIMATE TRANSITION; NORTHWESTERN NEBRASKA; ANTARCTIC GLACIATION; ATMOSPHERIC CO2; GREAT-PLAINS; SPATIAL-DISTRIBUTION</t>
  </si>
  <si>
    <t>One of the most pronounced climate transitions in Earth's history occurred at the Eocene-Oligocene transition, similar to 34.0-33.6 m.y. ago. Marine sedimentary records indicate a dramatic decline in pCO(2) coeval with global cooling during the transition. However, terrestrial records are relatively sparse, with conflicting interpretations of hydroclimate in continental interiors. Here, we provide quantitative constraints on the response of the continental hydroclimate in the western United States across the Eocene-Oligocene boundary by studying clumped isotope temperatures [T(Delta(47))], delta C-13 and delta O-18 values of vadose carbonates, and delta C-13 values of bulk organic matter (delta C-13(org)) in eastern Wyoming. Our results show that T(Delta(47)) dropped from similar to 28 degrees C to similar to 21 degrees C, indicating similar to 7 degrees C cooling in air temperature, which occurred parallel to the decrease in atmospheric pCO(2) during the latest Eocene-early Oligocene. We find that aridity and the biome were stable, and ice-volume-corrected precipitation PO decreased similar to 1.6 parts per thousand across the Eocene-Oligocene boundary, attributable to reduced vapor condensation temperatures. These new quantitative data add to the growing body of evidence suggesting a marked terrestrial response in temperature and hydroclimate across the Eocene-Oligocene transition. Our findings indicate a pattern of greenhouse-gas- induced global temperature change in the continental interior of the United States that was roughly 1.5-2x the magnitude of cooling in the global ocean.</t>
  </si>
  <si>
    <t>[Fan, Majie; Ayyash, Sara A.] Univ Texas Arlington, Dept Earth &amp; Environm Sci, 500 Yates St, Arlington, TX 76019 USA; [Tripati, Aradhna] Univ Calif Los Angeles, Dept Earth Planetary &amp; Space Sci, 595 Charles E Young Dr E, Los Angeles, CA 90095 USA; [Tripati, Aradhna] Inst Environm &amp; Sustainabil, Dept Atmospher &amp; Ocean Sci, 595 Charles E Young Dr E, Los Angeles, CA 90095 USA; [Tripati, Aradhna] Univ Bretagne Occidentale, European Inst Marine Sci IUEM, UMR 6538 6539, Rue Dumont DUrville, F-29280 Plouzane, France; [Tripati, Aradhna] Inst Francais Rech Exploitat Mer IFREMER, F-29280 Plouzane, France; [Passey, Benjamin H.] Johns Hopkins Univ, Morton K Blaustein Dept Earth &amp; Planetary Sci, 3400 N Charles St, Baltimore, MD 21218 USA; [Griffith, Elizabeth M.] Ohio State Univ, Sch Earth Sci, 275 Mendenhall Lab,125 South Oval Mall, Columbus, OH 43210 USA; [Passey, Benjamin H.] Univ Michigan, Dept Earth &amp; Environm Sci, Ann Arbor, MI 48109 USA</t>
  </si>
  <si>
    <t>University of Texas System; University of Texas Arlington; University of California System; University of California Los Angeles; Universite de Bretagne Occidentale; Centre National de la Recherche Scientifique (CNRS); Ifremer; Institut de Recherche pour le Developpement (IRD); CNRS - National Institute for Earth Sciences &amp; Astronomy (INSU); Ifremer; Johns Hopkins University; University System of Ohio; Ohio State University; University of Michigan System; University of Michigan</t>
  </si>
  <si>
    <t>Fan, MJ (corresponding author), Univ Texas Arlington, Dept Earth &amp; Environm Sci, 500 Yates St, Arlington, TX 76019 USA.</t>
  </si>
  <si>
    <t>mfan@uta.edu</t>
  </si>
  <si>
    <t>Tripati, Aradhna Eagle/C-9419-2011; Griffith, Elizabeth/KBB-3072-2024; Passey, Benjamin H/F-9644-2010</t>
  </si>
  <si>
    <t>Fan, Majie/0000-0001-8026-6869; Griffith, Elizabeth/0000-0002-7919-4551</t>
  </si>
  <si>
    <t>National Science Foundation [EAR-1119005, 1454802, 0949191]; Laboratoire d'Excellence LabexMER [ANR-10-LABX-19]; French government under the program Investissements d'Avenir; U.S. Department of Energy (DOE) [DE-FG02-13ER16402]; Directorate For Geosciences [0949191] Funding Source: National Science Foundation; Directorate For Geosciences; Division Of Earth Sciences [1454802] Funding Source: National Science Foundation; Division Of Earth Sciences [0949191] Funding Source: National Science Foundation</t>
  </si>
  <si>
    <t>National Science Foundation(National Science Foundation (NSF)); Laboratoire d'Excellence LabexMER; French government under the program Investissements d'Avenir(Agence Nationale de la Recherche (ANR)); U.S. Department of Energy (DOE)(United States Department of Energy (DOE)); Directorate For Geosciences(National Science Foundation (NSF)NSF - Directorate for Geosciences (GEO)); Directorate For Geosciences; Division Of Earth Sciences(National Science Foundation (NSF)NSF - Directorate for Geosciences (GEO)); Division Of Earth Sciences(National Science Foundation (NSF)NSF - Directorate for Geosciences (GEO))</t>
  </si>
  <si>
    <t>This research was funded by National Science Foundation grants EAR-1119005, 1454802, and 0949191, and by the Laboratoire d'Excellence LabexMER (ANR-10-LABX-19), cofunded by a grant from the French government under the program Investissements d'Avenir. Clumped isotope analyses at UCLA were supported by U.S. Department of Energy (DOE) grant DE-FG02-13ER16402. We thank Arne M.E. Winguth for discussion, and the Tripati Laboratory Group for their assistance with analyses, and David Fox for constructive comments on an early version of the manuscript. We thank Ethan Hyland, an anonymous reviewer, and Associate Editor Ganqing Jiang for constructive feedbacks that helped to improve the work.</t>
  </si>
  <si>
    <t>0016-7606</t>
  </si>
  <si>
    <t>1943-2674</t>
  </si>
  <si>
    <t>GEOL SOC AM BULL</t>
  </si>
  <si>
    <t>Geol. Soc. Am. Bull.</t>
  </si>
  <si>
    <t>10.1130/B31732.1</t>
  </si>
  <si>
    <t>GL3DS</t>
  </si>
  <si>
    <t>WOS:000437009200002</t>
  </si>
  <si>
    <t>Ceballos, JG</t>
  </si>
  <si>
    <t>Guijarro Ceballos, Javier</t>
  </si>
  <si>
    <t>THE RESISTANCE TO SHACKLETON'S ENDURANCE</t>
  </si>
  <si>
    <t>Antarctic exploration; Shackleton; Endurance; Hegemonic discourses; Pardo Villalon</t>
  </si>
  <si>
    <t>Since the late 20th century, the figure of Ernst Shackleton and his legendary Imperial Trans-Antarctic Expedition (1914-1916) have reached a position of pre-eminence in the popular imagination that has elevated them to a point of Antarctic exploration par excellence in the so-called heroic era. Exhibitions, documentaries, biopics, monographs, graphic narratives and even pop songs celebrate the essential milestones of the expedition of the Endurance by commemorating them. This study analyses the common denominators with which these cultural discourses, in different languages, epitomize the basic historical episodes of Shackleton's expedition to formalize a canonical and homogeneous account, in which the events and dates repeatedly articulated in the legend are as relevant as those others, also historical, which are eluded or abbreviated in the hegemonic narrative, such as the final rescue of the crew members of the Endurance led by Captain Luis Pardo Villalon aboard the Yelcho Cutter.</t>
  </si>
  <si>
    <t>[Guijarro Ceballos, Javier] Univ Extremadura, Badajoz, Spain</t>
  </si>
  <si>
    <t>Universidad de Extremadura</t>
  </si>
  <si>
    <t>Ceballos, JG (corresponding author), Univ Extremadura, Fac Educ, Dept Didact Ciencias Soci Lengua &amp; Literatura, Av Elvas S-N, Badajoz, Spain.</t>
  </si>
  <si>
    <t>jguijarro@unex.es</t>
  </si>
  <si>
    <t>JUL-SEP</t>
  </si>
  <si>
    <t>GL8XR</t>
  </si>
  <si>
    <t>WOS:000437512500002</t>
  </si>
  <si>
    <t>Chatterjee, S; Mukhopadhyay, SK; Gauri, SS; Dey, S</t>
  </si>
  <si>
    <t>Chatterjee, Soumya; Mukhopadhyay, Sourav K.; Gauri, Samiran S.; Dey, Satyahari</t>
  </si>
  <si>
    <t>Sphingobactan, a new α-mannan exopolysaccharide from Arctic Sphingobacterium sp IITKGP-BTPF3 capable of biological response modification</t>
  </si>
  <si>
    <t>INTERNATIONAL IMMUNOPHARMACOLOGY</t>
  </si>
  <si>
    <t>Arctic; Exopolysaccharide; Immunomodulatory; Mannan; Sphingobactan; Sphingobacterium</t>
  </si>
  <si>
    <t>MACROPHAGE IMMUNOMODULATORY ACTIVITY; STRUCTURAL-CHARACTERIZATION; EDIBLE MUSHROOM; SEA-ICE; SP-NOV.; BACTERIAL EXOPOLYSACCHARIDES; NMR-SPECTROSCOPY; FRUITING BODIES; NITRIC-OXIDE; IN-VITRO</t>
  </si>
  <si>
    <t>An exopolysaccharide, from a new Arctic permafrost isolate, Sphingobacterium sp. IITKGP-BTPF3 was purified and characterized. Upon optimization of various parameters (pH, temperature, carbon and nitrogen source), the yield of EPS obtained was 1.42 g/L. Structural investigation through FT-IR, GC-MS/MS, HPLC and NMR (1D and 2D) revealed the molecule to be a mannan with alpha-(1 -&gt; 2) and alpha-(1 -&gt; 6) linkages. Anti-oxidant and macrophage immunomodulatory assays were employed for the assessment of bioactivity. Sphingobactan was found to be capable of scavenging superoxide anions, and reducing the nitric oxide production in LPS elicited murine macrophage (RAW 264.7) cell line. The in vitro findings indicate the potential of Sphingobactan as a biological response modification (BRM) agent, for containment and possible resolution of inflammatory response in vivo.</t>
  </si>
  <si>
    <t>[Chatterjee, Soumya; Mukhopadhyay, Sourav K.; Gauri, Samiran S.; Dey, Satyahari] Indian Inst Technol Kharagpur, Dept Biotechnol, Plant Biotechnol Lab, Kharagpur 721302, W Bengal, India; [Chatterjee, Soumya] Darjeeling Govt Coll, Post Grad Dept Bot, Microbiol Lab, Darjeeling, W Bengal, India</t>
  </si>
  <si>
    <t>Indian Institute of Technology System (IIT System); Indian Institute of Technology (IIT) - Kharagpur</t>
  </si>
  <si>
    <t>Chatterjee, S (corresponding author), Indian Inst Technol Kharagpur, Dept Biotechnol, Plant Biotechnol Lab, Kharagpur 721302, W Bengal, India.;Chatterjee, S (corresponding author), Darjeeling Govt Coll, Post Grad Dept Bot, Microbiol Lab, Darjeeling, W Bengal, India.</t>
  </si>
  <si>
    <t>soumya.biology@gmail.com</t>
  </si>
  <si>
    <t>Ministry of Earth Sciences, Govt. of India [MOES/16/48/09/RDEAS]; CSIR; DBT</t>
  </si>
  <si>
    <t>Ministry of Earth Sciences, Govt. of India; CSIR(Council of Scientific &amp; Industrial Research (CSIR) - India); DBT(Department of Biotechnology (DBT) India)</t>
  </si>
  <si>
    <t>The authors would like to acknowledge the Central Research Facility, IIT Kharagpur for providing instrumental support and Ministry of Earth Sciences, Govt. of India for financial support (GRANT No. MOES/16/48/09/RDEAS). The unidentified Arctic isolate was provided by Dr. S.M. Singh, National Centre for Antarctic and Ocean Research, Goa, India. S.C. would like to acknowledge CSIR for providing research fellowship. S.S.G. would like to acknowledge DBT for providing Post Doctoral Fellowship.</t>
  </si>
  <si>
    <t>1567-5769</t>
  </si>
  <si>
    <t>1878-1705</t>
  </si>
  <si>
    <t>INT IMMUNOPHARMACOL</t>
  </si>
  <si>
    <t>Int. Immunopharmacol.</t>
  </si>
  <si>
    <t>10.1016/j.intimp.2018.04.039</t>
  </si>
  <si>
    <t>Immunology; Pharmacology &amp; Pharmacy</t>
  </si>
  <si>
    <t>GL7NZ</t>
  </si>
  <si>
    <t>WOS:000437389900011</t>
  </si>
  <si>
    <t>Cotronei, S; Pozo, K; Audy, O; Pribylová, P; Corsolini, S</t>
  </si>
  <si>
    <t>Cotronei, Salvatore; Pozo, Karla; Audy, Ondrej; Pribylova, Petra; Corsolini, Simonetta</t>
  </si>
  <si>
    <t>Contamination Profile of DDTs in the Shark Somniosus microcephalus from Greenland Seawaters</t>
  </si>
  <si>
    <t>BULLETIN OF ENVIRONMENTAL CONTAMINATION AND TOXICOLOGY</t>
  </si>
  <si>
    <t>Greenland shark; DDT isomers; Gender differences; Size differences; Lipid content</t>
  </si>
  <si>
    <t>ORGANOCHLORINE PESTICIDES OCPS; PERSISTENT ORGANIC POLLUTANTS; FEEDING ECOLOGY; STABLE-ISOTOPES; PCBS; BIOACCUMULATION; PBDES; LAKE</t>
  </si>
  <si>
    <t>DDT isomers were detected in all the liver and muscle samples of Greenland sharks Somniosus microcephalus (n = 15) caught in Greenland seawaters. The mean concentrations of I DDTs pound (sum of o,p' and p,p' DDT, DDD, and DDE isomers) were 1094 +/- 818 ng/g lipid weight (lw) in the muscle and 761 +/- 416 ng/g lw in the liver. The p,p'-DDE accounted for 48% +/- 41% and 53% +/- 54% of the total DDT residue in the white muscle and liver, respectively. The lipid content was 48% +/- 10% in the muscle and 43% +/- 17% in the liver. Female sharks showed the highest concentrations of I DDTs pound. The youngest shark showed higher concentrations of I DDTs pound in the liver than the older sharks. To our knowledge, this is one of the few investigations on DDT levels in S. microcephalus where concentrations were correlated to lipid content and sex/size.</t>
  </si>
  <si>
    <t>[Cotronei, Salvatore; Corsolini, Simonetta] Univ Siena, Dept Phys Earth &amp; Environm Sci, Via PA Mattioli 4, I-53100 Siena, Italy; [Pozo, Karla; Audy, Ondrej; Pribylova, Petra] Masaryk Univ, Fac Sci, Res Ctr Tox Cpds Environm RECETOX, Brno, Czech Republic; [Pozo, Karla] Univ San Sebastian, Fac Ingn &amp; Tecnol, Lientur 1457, Concepcion 4080871, Chile</t>
  </si>
  <si>
    <t>University of Siena; Masaryk University Brno; Universidad San Sebastian</t>
  </si>
  <si>
    <t>Cotronei, S (corresponding author), Univ Siena, Dept Phys Earth &amp; Environm Sci, Via PA Mattioli 4, I-53100 Siena, Italy.</t>
  </si>
  <si>
    <t>salvatorekr82@hotmail.it</t>
  </si>
  <si>
    <t>Corsolini, Simonetta/B-9460-2012; Pozo, Karla/D-3822-2012; Aurigi, Silvia/N-2791-2015</t>
  </si>
  <si>
    <t>Corsolini, Simonetta/0000-0002-9772-2362; Aurigi, Silvia/0000-0002-6930-784X; Pozo, Karla/0000-0001-7747-7518</t>
  </si>
  <si>
    <t>Italian National Antarctic Research Programme (PNRA) [PdR2013 C1_04]; RECETOX Research Infrastructure [LM2015051, CZ.02.1.01/0.0/0.0/16_013/0001761]</t>
  </si>
  <si>
    <t>Italian National Antarctic Research Programme (PNRA); RECETOX Research Infrastructure</t>
  </si>
  <si>
    <t>The Italian National Antarctic Research Programme (PNRA) funded this research (PdR2013 C1_04). The samples were collected during expeditions led by the Greenland Institute of Natural Resources. We are very grateful to Julius Nielsen (University of Copenhagen) who contributed the collection of all samples and to Dr Rasmus Hedeholm for his kind support during the expedition on board the R/V Sanna in August 2014. We thank the crew of the R/Vs Sanna and Pamiut. The sharks were sampled thanks to projects led by Prof. John Fleng Steffensen. S. Cotronei would like to thank the Erasmus Program: this study was part of a five-months stage at the Masaryk University (Brno, Czech Republic). The gas chromatographic analyses of samples were performed at the RECETOX laboratory and were supported by the RECETOX Research Infrastructure (LM2015051 and CZ.02.1.01/0.0/0.0/16_013/0001761).</t>
  </si>
  <si>
    <t>0007-4861</t>
  </si>
  <si>
    <t>1432-0800</t>
  </si>
  <si>
    <t>B ENVIRON CONTAM TOX</t>
  </si>
  <si>
    <t>Bull. Environ. Contam. Toxicol.</t>
  </si>
  <si>
    <t>10.1007/s00128-018-2371-z</t>
  </si>
  <si>
    <t>Environmental Sciences; Toxicology</t>
  </si>
  <si>
    <t>Environmental Sciences &amp; Ecology; Toxicology</t>
  </si>
  <si>
    <t>GL4CP</t>
  </si>
  <si>
    <t>WOS:000437095200002</t>
  </si>
  <si>
    <t>Wang, J; Leiva, S; Huang, J; Huang, Y</t>
  </si>
  <si>
    <t>Wang, Jian; Leiva, Sergio; Huang, Jiao; Huang, Ying</t>
  </si>
  <si>
    <t>Amycolatopsis antarctica sp nov., isolated from the surface of an Antarctic brown macroalga</t>
  </si>
  <si>
    <t>Amycolatopsis; Amycolatopsis antarctica sp nov.; Antarctic; marine macroalga; polyphasic taxonomy</t>
  </si>
  <si>
    <t>RIBOSOMAL-RNA GENE; FAMILY PSEUDONOCARDIACEAE; NUMERICAL CLASSIFICATION; FATTY-ACID; ACTINOMYCETE; SEQUENCE; PHYLOGENIES; IDENTIFICATION; MENAQUINONES; STREPTOMYCES</t>
  </si>
  <si>
    <t>Two moderately psychrophilic actinobacterial strains, designated AU-G6(T) and AU-A3.2, isolated from the surface of an Antarctic macroalga, Adenocystis utricularis (Bory) Skottsberg, was taxonomically characterized based on a polyphasic investigation. The two strains had nearly identical 16S rRNA gene sequences and formed a distinct phyletic line within the genus Amycolatopsis of the family Pseudonocardiaceae. They were phylogenetically close to Amycolatopsis nigrescens JCM 14717(T), Amycolatopsis minnesotensis JCM 14545(T) and Amycolatopsis magusensis DSM 45510(T), with 16S rRNA gene sequence similarities of 97.77, 97.20 and 97.19 %, respectively. Phylogenomic analysis based on the whole genome data supported that strain AU-G6(T) was distantly related to the Amycolatopsis species. The isolates shared a range of phenotypic markers typical of members of the genus Amycolatopsis, but also had a range of cultural, physiological and biochemical characteristics that separated them from related Amycolatopsis species. The isolates showed growth only in media supplemented with salt, indicating their marine origin. The cell wall of the isolates contained meso-diaminopimelic acid, and arabinose and galactose were detected as diagnostic sugars (type IV). The main menaquinone was MK-9(H-4). The main polar lipids were phosphatidylethanolamine, hydroxy-phosphotidylethanolamine, diphosphatidylglycerol, phosphatidylglycerol and phosphatidylinositol (type II). The fatty acid type was 3c. The combined genotypic and phenotypic data indicated that the two isolates represent a novel species of the genus Amycolatopsis. The name proposed for this species is Amycolatopsis antarctica sp. nov., with type strain AU-G6(T) (=CGMCC 4.7351(T)=NBRC 112404(T)).</t>
  </si>
  <si>
    <t>[Wang, Jian; Huang, Jiao; Huang, Ying] Chinese Acad Sci, Inst Microbiol, State Key Lab Microbial Resources, Beijing 100101, Peoples R China; [Leiva, Sergio] Univ Austral Chile, Fac Ciencias, Inst Bioquim &amp; Microbiol, Casilla 567, Valdivia, Chile; [Huang, Jiao] Univ Chinese Acad Sci, Coll Life Sci, Beijing 100049, Peoples R China</t>
  </si>
  <si>
    <t>Chinese Academy of Sciences; Institute of Microbiology, CAS; Universidad Austral de Chile; Chinese Academy of Sciences; University of Chinese Academy of Sciences, CAS</t>
  </si>
  <si>
    <t>Huang, Y (corresponding author), Chinese Acad Sci, Inst Microbiol, State Key Lab Microbial Resources, Beijing 100101, Peoples R China.</t>
  </si>
  <si>
    <t>huangy@im.ac.cn</t>
  </si>
  <si>
    <t>Instituto Antartico Chileno (INACH) [RT_06-13]; National Natural Science Foundation of China (NSFC) [31470142, 31000004]</t>
  </si>
  <si>
    <t>Instituto Antartico Chileno (INACH); National Natural Science Foundation of China (NSFC)(National Natural Science Foundation of China (NSFC))</t>
  </si>
  <si>
    <t>This work was supported by Grant RT_06-13 from the Instituto Antartico Chileno (INACH) and Grants 31470142 and 31000004 from the National Natural Science Foundation of China (NSFC).</t>
  </si>
  <si>
    <t>10.1099/ijsem.0.002844</t>
  </si>
  <si>
    <t>GL5TD</t>
  </si>
  <si>
    <t>WOS:000437232500034</t>
  </si>
  <si>
    <t>Golden, SJ; Chang, CH; Kozlowski, SWJ</t>
  </si>
  <si>
    <t>Golden, Simon J.; Chang, Chu-Hsiang (Daisy); Kozlowski, Steve W. J.</t>
  </si>
  <si>
    <t>Teams in isolated, confined, and extreme (ICE) environments: Review and integration</t>
  </si>
  <si>
    <t>JOURNAL OF ORGANIZATIONAL BEHAVIOR</t>
  </si>
  <si>
    <t>dynamics; isolated; confined; and extreme environments; team effectiveness</t>
  </si>
  <si>
    <t>SOCIAL SUPPORT; MARS SIMULATION; SPACE MISSION; PERFORMANCE; ANTARCTICA; STRESS; EXPEDITION; COHESION; BEHAVIOR; MOOD</t>
  </si>
  <si>
    <t>Soon there will be a small but growing workforce beyond near-Earth orbit, conducting explorations to asteroids, the Moon, Mars, and beyond. Space teams will be subject to difficult working conditions, persistent dangers, and a wide range of challenging stressors. National Aeronautics and Space Administration and other entities have sponsored research on teams in isolated, confined, and extreme (ICE) environments such as the Antarctic, the Arctic, and dedicated space simulations because they represent a reasonable analog to the kind of working and living conditions in space. The aim of this integrative review is to compile and organize the ICE literature on the basis of concepts from the team effectiveness literature to identify what we know and, most importantly, what we need to knowhow ICE team research needs to advanceto support the future workforce in space and in other extreme environments (e.g., polar, deep sea, and high-altitude exploration). This effort helped us identify important findings and themes surrounding how team members cope with the extreme conditions. We conclude by discussing explanations for the persistence of gaps, providing recommendations, and offering directions for future research.</t>
  </si>
  <si>
    <t>[Golden, Simon J.; Chang, Chu-Hsiang (Daisy); Kozlowski, Steve W. J.] Michigan State Univ, Dept Psychol, E Lansing, MI 48824 USA</t>
  </si>
  <si>
    <t>Michigan State University</t>
  </si>
  <si>
    <t>Golden, SJ (corresponding author), Michigan State Univ, Dept Psychol, E Lansing, MI 48824 USA.</t>
  </si>
  <si>
    <t>goldensi@msu.edu</t>
  </si>
  <si>
    <t>Kozlowski, Steve W. J./AAC-4193-2019; Chang, Chu-Hsiang/F-6792-2011</t>
  </si>
  <si>
    <t>Kozlowski, Steve W. J./0000-0002-5123-3424; Chang, Chu-Hsiang/0000-0002-9492-3070; Golden, Simon/0000-0002-2144-1505</t>
  </si>
  <si>
    <t>National Aeronautics and Space Administration (NASA) [NNX13AM77G, NNX16AR52G]</t>
  </si>
  <si>
    <t>National Aeronautics and Space Administration (NASA)(National Aeronautics &amp; Space Administration (NASA))</t>
  </si>
  <si>
    <t>We gratefully acknowledge the National Aeronautics and Space Administration (NASA; NNX13AM77G and NNX16AR52G, S.W.J. Kozlowski, Principal Investigator, C.-H. Chang, Co-Investigator) for support that contributed to the composition of this article. Any opinions, findings, conclusions and recommendations expressed are those of the authors and do not necessarily reflect the views of NASA.</t>
  </si>
  <si>
    <t>0894-3796</t>
  </si>
  <si>
    <t>1099-1379</t>
  </si>
  <si>
    <t>J ORGAN BEHAV</t>
  </si>
  <si>
    <t>J. Organ. Behav.</t>
  </si>
  <si>
    <t>10.1002/job.2288</t>
  </si>
  <si>
    <t>Business; Psychology, Applied; Management</t>
  </si>
  <si>
    <t>Business &amp; Economics; Psychology</t>
  </si>
  <si>
    <t>GL4OF</t>
  </si>
  <si>
    <t>WOS:000437131800002</t>
  </si>
  <si>
    <t>Baumann, TM; Polyakov, IV; Pnyushkov, AV; Rember, R; Ivanov, VV; Alkire, MB; Goszczko, I; Carmack, EC</t>
  </si>
  <si>
    <t>Baumann, Till M.; Polyakov, Igor V.; Pnyushkov, Andrey V.; Rember, Robert; Ivanov, Vladimir V.; Alkire, Matthew B.; Goszczko, Ilona; Carmack, Eddy C.</t>
  </si>
  <si>
    <t>On the Seasonal Cycles Observed at the Continental Slope of the Eastern Eurasian Basin of the Arctic Ocean</t>
  </si>
  <si>
    <t>Ocean; Arctic; Water masses; Seasonal cycle</t>
  </si>
  <si>
    <t>LOWER HALOCLINE WATER; ATLANTIC WATER; BOUNDARY CURRENT; COASTAL CURRENT; LAPTEV SEA; VARIABILITY; LAYER; EVOLUTION; HEAT; PERSPECTIVE</t>
  </si>
  <si>
    <t>The Eurasian Basin (EB) of the Arctic Ocean is subject to substantial seasonality. We here use data collected between 2013 and 2015 from six moorings across the continental slope in the eastern EB and identify three domains, each with its own unique seasonal cycle: 1) The upper ocean (&lt;100 m), with seasonal temperature and salinity differences of = 0.16 degrees C and S = 0.17, is chiefly driven by the seasonal sea ice cycle. 2) The upper-slope domain is characterized by the influence of a hydrographic front that spans the water column around the similar to 750-m isobath. The domain features a strong temperature and moderate salinity seasonality ( = 1.4 degrees C; S = 0.06), which is traceable down to similar to 600-m depth. Probable cause of this signal is a combination of along-slope advection of signals by the Arctic Circumpolar Boundary Current, local wind-driven upwelling, and a cross-slope shift of the front. 3) The lower-slope domain, located offshore of the front, with seasonality in temperature and salinity mainly confined to the halocline ( = 0.83 degrees C; S = 0.11; similar to 100-200 m). This seasonal cycle can be explained by a vertical isopycnal displacement (Z similar to 36 m), arguably as a baroclinic response to sea level changes. Available long-term oceanographic records indicate a recent amplification of the seasonal cycle within the halocline layer, possibly associated with the erosion of the halocline. This reduces the halocline's ability to isolate the ocean surface layer and sea ice from the underlying Atlantic Water heat with direct implications for the evolution of Arctic sea ice cover and climate.</t>
  </si>
  <si>
    <t>[Baumann, Till M.; Polyakov, Igor V.; Pnyushkov, Andrey V.; Rember, Robert] Univ Alaska Fairbanks, Int Arctic Res Ctr, Fairbanks, AK 99775 USA; [Baumann, Till M.; Polyakov, Igor V.] Univ Alaska Fairbanks, Coll Nat Sci &amp; Math, Fairbanks, AK 99775 USA; [Ivanov, Vladimir V.] Moscow MV Lomonosov State Univ, Moscow, Russia; [Ivanov, Vladimir V.] Hydrometeorol Ctr Russia, Moscow, Russia; [Ivanov, Vladimir V.] Arctic &amp; Antarctic Res Inst, St Petersburg, Russia; [Alkire, Matthew B.] Univ Washington, Appl Phys Lab, Polar Sci Ctr, Seattle, WA 98105 USA; [Goszczko, Ilona] Polish Acad Sci, Inst Oceanol, Sopot, Poland; [Carmack, Eddy C.] Inst Ocean Sci Fisheries &amp; Oceans Canada, Sidney, BC, Canada</t>
  </si>
  <si>
    <t>University of Alaska System; University of Alaska Fairbanks; University of Alaska System; University of Alaska Fairbanks; Lomonosov Moscow State University; Arctic &amp; Antarctic Research Institute; University of Washington; University of Washington Seattle; Polish Academy of Sciences; Institute of Oceanology of the Polish Academy of Sciences; Fisheries &amp; Oceans Canada</t>
  </si>
  <si>
    <t>Baumann, TM (corresponding author), Univ Alaska Fairbanks, Int Arctic Res Ctr, Fairbanks, AK 99775 USA.;Baumann, TM (corresponding author), Univ Alaska Fairbanks, Coll Nat Sci &amp; Math, Fairbanks, AK 99775 USA.</t>
  </si>
  <si>
    <t>tmbaumann@alaska.edu</t>
  </si>
  <si>
    <t>Baumann, Till/AAX-3198-2020; Ivanov, Vladimir/J-5979-2014; Pnyushkov, Andrey/M-3156-2019</t>
  </si>
  <si>
    <t>Baumann, Till/0000-0002-2887-205X; Ivanov, Vladimir/0000-0003-2569-6027; Pnyushkov, Andrey/0000-0001-9112-6458; Goszczko, Ilona/0000-0002-5719-5860</t>
  </si>
  <si>
    <t>NSF [1203473, 1249133, 1203146]; National Oceanic and Atmospheric Administration [NA150AR4310155, NA150AR4310156]; Ministry of Education and Science of the Russian Federation [RFMEFI61617X0076]; Directorate For Geosciences; Office of Polar Programs (OPP) [1249133, 1203473] Funding Source: National Science Foundation; Directorate For Geosciences; Office of Polar Programs (OPP) [1203146] Funding Source: National Science Foundation</t>
  </si>
  <si>
    <t>NSF(National Science Foundation (NSF)); National Oceanic and Atmospheric Administration(National Oceanic Atmospheric Admin (NOAA) - USA); Ministry of Education and Science of the Russian Federation(Ministry of Education and Science, Russian Federation); Directorate For Geosciences; Office of Polar Programs (OPP)(National Science Foundation (NSF)NSF - Directorate for Geosciences (GEO)); Directorate For Geosciences; Office of Polar Programs (OPP)(National Science Foundation (NSF)NSF - Directorate for Geosciences (GEO))</t>
  </si>
  <si>
    <t>The mooring- and ship-based oceanographic observations in the eastern EB were conducted within the framework of the NABOS project, with support from NSF (Grants 1203473, 1249133, and 1203146) and the National Oceanic and Atmospheric Administration (Grants NA150AR4310155 and NA150AR4310156). Vladimir Ivanov acknowledges funding from the Ministry of Education and Science of the Russian Federation (Project RFMEFI61617X0076). We thank two anonymous reviewers for providing very insightful comments and suggestions that helped to improve the manuscript.</t>
  </si>
  <si>
    <t>10.1175/JPO-D-17-0163.1</t>
  </si>
  <si>
    <t>GL6FT</t>
  </si>
  <si>
    <t>WOS:000437278800002</t>
  </si>
  <si>
    <t>Oppedal, LT; van der Bilt, WGM; Balascio, NL; Bakke, J</t>
  </si>
  <si>
    <t>Oppedal, Lea Toska; van der Bilt, Willem G. M.; Balascio, Nicholas L.; Bakke, Jostein</t>
  </si>
  <si>
    <t>Patagonian ash on sub-Antarctic South Georgia: expanding the tephrostratigraphy of southern South America into the Atlantic sector of the Southern Ocean</t>
  </si>
  <si>
    <t>late Holocene; South Georgia; Southern Ocean; sub-Antarctic; tephra</t>
  </si>
  <si>
    <t>EXPLOSIVE ERUPTIONS; VOLCAN SOLLIPULLI; TEPHRA; CRYPTOTEPHRA; GREENLAND; CLIMATE; RECORD; SYNCHRONIZATION; IDENTIFICATION; EVOLUTION</t>
  </si>
  <si>
    <t>Fingerprinting non-visible volcanic ash (cryptotephra) enables precise dating and time synchronization of palaeoclimate archives. Recent analytical advances allow us to strengthen and expand existing tephrostratigraphical frameworks and harness the full potential of this powerful geochronological tool. Here, we present geochemical (electron microprobe) and chronological (C-14) evidence to show that ash found in a peat section on the sub-Antarctic island of South Georgia correlates to the approximate to 2950 cal a BP Alpehue eruption of the Chilean Sollipulli volcano. This discovery marks the first tephra fingerprint on South Georgia and expands the recently refined tephrostratigraphy of Patagonia approximate to 3000km into the Southern Ocean. As deposition of this tephra horizon coincides with a major shift in regional atmospheric conditions, future finds may yield information on the spatiotemporal pattern of Southern Ocean climate dynamics.</t>
  </si>
  <si>
    <t>[Oppedal, Lea Toska; van der Bilt, Willem G. M.; Bakke, Jostein] Univ Bergen, Dept Earth Sci, Bergen, Norway; [Oppedal, Lea Toska; van der Bilt, Willem G. M.; Bakke, Jostein] Univ Bergen, Bjerknes Ctr Climate Res, Bergen, Norway; [Balascio, Nicholas L.] Coll William &amp; Mary, Dept Geol, Williamsburg, VA USA</t>
  </si>
  <si>
    <t>University of Bergen; Bjerknes Centre for Climate Research; University of Bergen; William &amp; Mary</t>
  </si>
  <si>
    <t>Oppedal, LT (corresponding author), Univ Bergen, Dept Earth Sci, Bergen, Norway.;Oppedal, LT (corresponding author), Univ Bergen, Bjerknes Ctr Climate Res, Bergen, Norway.</t>
  </si>
  <si>
    <t>lea.oppedal@gmail.com</t>
  </si>
  <si>
    <t>AL, Ramanathan -/E-7217-2012; Bakke, Jostein/AAI-1145-2020</t>
  </si>
  <si>
    <t>AL, Ramanathan -/0000-0002-3491-2273; van der Bilt, Willem/0000-0003-3157-451X; Balascio, Nicholas/0000-0001-7106-3541</t>
  </si>
  <si>
    <t>Norwegian Research Council (NRC) [210004]; Lamont-Doherty Earth Observatory (LDEO) Postdoctoral Fellowship; NRC; Norwegian Research School in Climate Dynamics (ResClim)</t>
  </si>
  <si>
    <t>Norwegian Research Council (NRC)(Research Council of Norway); Lamont-Doherty Earth Observatory (LDEO) Postdoctoral Fellowship; NRC(National Research Centre (NRC)); Norwegian Research School in Climate Dynamics (ResClim)</t>
  </si>
  <si>
    <t>This study is a contribution from the project 'Shifting Climate States of the Polar Regions', funded by the Norwegian Research Council (NRC) (grant 210004). N.L.B. carried out work for this study as part of a Lamont-Doherty Earth Observatory (LDEO) Postdoctoral Fellowship, and L.T.O. carried out laboratory work at LDEO, funded by the NRC and the Norwegian Research School in Climate Dynamics (ResClim). We thank Anne Bjune, Sunniva Solheim Vatle, Thom Whitfield, Oyvind Paasche and Bjorn Kvisvik for their help during fieldwork, and the British Antarctic Survey for their logistical field support. Finally, we thank three anonymous reviewers whose comments helped to improve the manuscript.</t>
  </si>
  <si>
    <t>10.1002/jqs.3035</t>
  </si>
  <si>
    <t>GL4OV</t>
  </si>
  <si>
    <t>WOS:000437134000002</t>
  </si>
  <si>
    <t>Tsuji, M</t>
  </si>
  <si>
    <t>Tsuji, Masaharu</t>
  </si>
  <si>
    <t>A catalog of fungi recorded from the vicinity of Syowa Station</t>
  </si>
  <si>
    <t>MYCOSCIENCE</t>
  </si>
  <si>
    <t>10th International Symposium on Arctic and Alpine Mycology (ISAM)</t>
  </si>
  <si>
    <t>AUG 29-SEP 03, 2016</t>
  </si>
  <si>
    <t>Kanazawa, JAPAN</t>
  </si>
  <si>
    <t>Antarctic fungi; Cold-adapted fungi; Lutzow Holm Bay area</t>
  </si>
  <si>
    <t>ANTARCTIC BASIDIOMYCETOUS YEAST; DIRECT ETHANOL FERMENTATION; LOW-TEMPERATURE CONDITION; ICE-FREE AREA; MRAKIA-BLOLLOPIS; SOIL</t>
  </si>
  <si>
    <t>The Japanese Antarctic Research Expedition (JARE) was started in 1957. The expedition marked its 60th anniversary in January 2017. In total 76 fungal species (61 ascomycetous fungi, including 9 unidentified species, and 16 basidiomycetous fungi) have thus far been recorded from the area around Syowa Station. In this review, I present a catalog of the fungal species isolated from the vicinity of Syowa Station to mark the 60th anniversary of JARE. (C) 2017 The Mycological Society of Japan. Published by Elsevier B.V. All rights reserved.</t>
  </si>
  <si>
    <t>[Tsuji, Masaharu] Natl Inst Polar Res, 10-3 Midori Cho, Tachikawa, Tokyo 1908518, Japan</t>
  </si>
  <si>
    <t>Tsuji, M (corresponding author), Natl Inst Polar Res, 10-3 Midori Cho, Tachikawa, Tokyo 1908518, Japan.</t>
  </si>
  <si>
    <t>spindletuber@gmail.com</t>
  </si>
  <si>
    <t>Tsuji, Masaharu/M-6609-2019</t>
  </si>
  <si>
    <t>Tsuji, Masaharu/0000-0002-9375-7998</t>
  </si>
  <si>
    <t>JSPS [JP16K12643, JP16H06211]; NIPR; Grants-in-Aid for Scientific Research [16H06211, 16K12643] Funding Source: KAKEN</t>
  </si>
  <si>
    <t>JSPS(Ministry of Education, Culture, Sports, Science and Technology, Japan (MEXT)Japan Society for the Promotion of Science); NIPR(National Institute of Polar Research (NIPR) - Japan); Grants-in-Aid for Scientific Research(Ministry of Education, Culture, Sports, Science and Technology, Japan (MEXT)Japan Society for the Promotion of ScienceGrants-in-Aid for Scientific Research (KAKENHI))</t>
  </si>
  <si>
    <t>This research was partially supported by a JSPS Grant-in-Aid for Challenging Exploratory Research (No. JP16K12643), Young Scientists (A) (No. JP16H06211). The preparation of this paper was supported by an NIPR publication subsidy.</t>
  </si>
  <si>
    <t>1340-3540</t>
  </si>
  <si>
    <t>1618-2545</t>
  </si>
  <si>
    <t>Mycoscience</t>
  </si>
  <si>
    <t>10.1016/j.myc.2017.08.007</t>
  </si>
  <si>
    <t>GL7HB</t>
  </si>
  <si>
    <t>WOS:000437367100009</t>
  </si>
  <si>
    <t>Romaniuk, K; Ciok, A; Decewicz, P; Uhrynowski, W; Budzik, K; Nieckarz, M; Pawlowska, J; Zdanowski, MK; Bartosik, D; Dziewit, L</t>
  </si>
  <si>
    <t>Romaniuk, Krzysztof; Ciok, Anna; Decewicz, Przemyslaw; Uhrynowski, Witold; Budzik, Karol; Nieckarz, Marta; Pawlowska, Julia; Zdanowski, Marek K.; Bartosik, Dariusz; Dziewit, Lukasz</t>
  </si>
  <si>
    <t>Insight into heavy metal resistome of soil psychrotolerant bacteria originating from King George Island (Antarctica)</t>
  </si>
  <si>
    <t>Antarctica; Psychrotolerant bacteria; Heavy metal; Heavy metal resistance; Resistome</t>
  </si>
  <si>
    <t>PSYCHROTROPHIC BACTERIA; ANTIBIOTIC-RESISTANCE; MICROBIAL COMMUNITY; MERCURY RESISTANCE; ADELIE PENGUIN; TRACE-METALS; DIVERSITY; GENES; ECOLOGY; SNOW</t>
  </si>
  <si>
    <t>The presence of heavy metals in Antarctica is an emerging issue, especially as (bio)weathering of metal-containing minerals occurs and human influence is more and more visible in this region. Chemical analysis of three soil samples collected from the remote regions of King George Island (Antarctica) revealed the presence of heavy metals (mainly copper, mercury, and zinc) at relatively high concentrations. Physiological characterization of over 200 heavy metal-resistant, psychrotolerant bacterial strains isolated from the Antarctic soil samples was performed. This enabled an insight into the heavy metal resistome of these cultivable bacteria and revealed the prevalence of co-resistance phenotypes. All bacteria identified in this study were screened for the presence of selected heavy metal-resistance genes, which resulted in identification of arsB (25), copA (3), czcA (33), and merA (26) genes in 62 strains. Comparative analysis of their nucleotide sequences provided an insight into the diversity of heavy metal-resistance genes in Antarctic bacteria.</t>
  </si>
  <si>
    <t>[Romaniuk, Krzysztof; Ciok, Anna; Decewicz, Przemyslaw; Uhrynowski, Witold; Budzik, Karol; Nieckarz, Marta; Bartosik, Dariusz; Dziewit, Lukasz] Univ Warsaw, Inst Microbiol, Dept Bacterial Genet, Fac Biol, Miecznikowa 1, PL-02096 Warsaw, Poland; [Pawlowska, Julia] Univ Warsaw, Dept Mol Phylogenet &amp; Evolut, Fac Biol, Inst Bot,Biol &amp; Chem Res Ctr, Zwirki &amp; Wigury 101, PL-02089 Warsaw, Poland; [Zdanowski, Marek K.] Polish Acad Sci, Dept Antarctic Biol, Inst Biochem &amp; Biophys, Pawinskiego 5a, PL-02106 Warsaw, Poland</t>
  </si>
  <si>
    <t>University of Warsaw; University of Warsaw; Polish Academy of Sciences; Institute of Biochemistry &amp; Biophysics - Polish Academy of Sciences</t>
  </si>
  <si>
    <t>Dziewit, L (corresponding author), Univ Warsaw, Inst Microbiol, Dept Bacterial Genet, Fac Biol, Miecznikowa 1, PL-02096 Warsaw, Poland.</t>
  </si>
  <si>
    <t>ldziewit@biol.uw.edu.pl</t>
  </si>
  <si>
    <t>Dziewit, Lukasz/L-1131-2016; Decewicz, Przemyslaw/ABE-4554-2020; Pawłowska, Julia/AGH-2220-2022</t>
  </si>
  <si>
    <t>Dziewit, Lukasz/0000-0002-5057-2811; Decewicz, Przemyslaw/0000-0002-5621-7124; Pawłowska, Julia/0000-0003-4914-5182; Bartosik, Dariusz/0000-0002-3589-8864; Nieckarz, Marta/0000-0002-3813-4923; Budzik, Karol/0000-0002-4112-9914; Szych, Anna/0000-0001-5522-5395</t>
  </si>
  <si>
    <t>National Science Centre (Poland) [2013/09/D/NZ8/03046]; [N N304 106940]</t>
  </si>
  <si>
    <t>National Science Centre (Poland)(National Science Centre, Poland);</t>
  </si>
  <si>
    <t>We thank Jan Gawor from the DNA Sequencing and Oligonucleotide Synthesis Laboratory IBB PAS for his help in DNA sequencing. This work was supported by the National Science Centre (Poland) Grant No. 2013/09/D/NZ8/03046, and partially from the Grant No. N N304 106940.</t>
  </si>
  <si>
    <t>10.1007/s00300-018-2287-4</t>
  </si>
  <si>
    <t>WOS:000437102400002</t>
  </si>
  <si>
    <t>Parikka, KJ; Jacquet, S; Colombet, J; Guillaume, D; Le Romancer, M</t>
  </si>
  <si>
    <t>Parikka, Kaarle J.; Jacquet, Stephan; Colombet, Jonathan; Guillaume, Damien; Le Romancer, Marc</t>
  </si>
  <si>
    <t>Abundance and observations of thermophilic microbial and viral communities in submarine and terrestrial hot fluid systems of the French Southern and Antarctic Lands</t>
  </si>
  <si>
    <t>Abundance; Thermophilic; Virus-like particle; Flow cytometry; Epifluorescence microscopy; Hot spring</t>
  </si>
  <si>
    <t>VIRUS-LIKE PARTICLES; TRANSMISSION ELECTRON-MICROSCOPY; SYBR GREEN-I; DEEP-SEA; MARINE VIRUSES; FLOW-CYTOMETRY; THERMUS-THERMOPHILUS; HYDROTHERMAL VENTS; SECRETION SYSTEMS; AQUATIC SYSTEMS</t>
  </si>
  <si>
    <t>Studies investigating viral ecology have mainly been conducted in temperate marine and freshwater habitats. Fewer reports are available on the often less accessible extreme environments such as hot springs. This study investigated prokaryotic- and virus-like particles (VLP) associated to hot springs, themselves situated in cold environments of the Southern Hemisphere (i.e. in the French Southern and Antarctic Lands). This was performed by examining their abundance in hot springs and surrounding temperate seawater using both epifluorescence microscopy (EFM) and flow cytometry (FCM), which was applied for the first time to such ecosystems. On one hand, prokaryotic abundances of 4.0 x 10(5)-2.2 x 10(6) cell mL(-1) and 7.0 x 10(4)-2.8 x 10(6) cell mL(-1) were measured using EFM and FCM, respectively. The abundances of virus-like particles (VLP), on the other hand, ranged between 9.8 x 10(5) and 7.5 x 10(6) particles mL(-1) when using EFM, and between 1.3 x 10(5) and 6.2 x 10(6) particles mL(-1) when FCM was applied. A positive correlation was found between VLP and prokaryotic abundances, while the virus-to-prokaryote ratio was generally low and ranged between 0.1 and 6. In parallel, samples and culture supernatants were also visualised using transmission electron microscopy. For this, enrichment cultures were prepared using environmental samples. Both raw sample and enrichment culture-supernatants were analysed for the presence of VLPs. Observations revealed the presence of Caudovirales, membrane vesicles and possibly a new type of virion morphology, associated to members of the order Thermotogales, a thermophilic and anaerobic bacterium.</t>
  </si>
  <si>
    <t>[Parikka, Kaarle J.; Le Romancer, Marc] Univ Bretagne Occidentale, Inst Univ Europeen Mer, Lab Microbiol Environm Extremes, UMR 6197, Plouzane, France; [Parikka, Kaarle J.] Queen Astrid Mil Hosp, Lab Microbiol Res, Brussels, Belgium; [Jacquet, Stephan] INRA CARRTEL, Stn Hydrobiol Lacustre, Thonon Les Bains, France; [Colombet, Jonathan] Clermont Univ Blaise Pascal, Lab Microorganismes Genome &amp; Environm, UMR CNRS 6023, Aubiere, France; [Guillaume, Damien] Univ Lyon, UJM St Etienne, UCA, CNRS,IRD,LMV UMR 6524, F-42023 St Etienne, France</t>
  </si>
  <si>
    <t>Centre National de la Recherche Scientifique (CNRS); CNRS - Institute of Ecology &amp; Environment (INEE); Universite de Bretagne Occidentale; Institut Universitaire Europeen de la Mer (IUEM); Ifremer; Queen Astrid Military Hospital; INRAE; Centre National de la Recherche Scientifique (CNRS); Universite Clermont Auvergne (UCA); Institut de Recherche pour le Developpement (IRD); Centre National de la Recherche Scientifique (CNRS); CNRS - National Institute for Earth Sciences &amp; Astronomy (INSU)</t>
  </si>
  <si>
    <t>Parikka, KJ; Le Romancer, M (corresponding author), Univ Bretagne Occidentale, Inst Univ Europeen Mer, Lab Microbiol Environm Extremes, UMR 6197, Plouzane, France.;Parikka, KJ (corresponding author), Queen Astrid Mil Hosp, Lab Microbiol Res, Brussels, Belgium.</t>
  </si>
  <si>
    <t>kjparikka@gmail.com; marc.leromancer@univ-brest.fr</t>
  </si>
  <si>
    <t>Le Romancer, Marc/D-5607-2009; Jacquet, Stéphan/AAJ-7846-2021; Guillaume, Damien/D-9803-2012</t>
  </si>
  <si>
    <t>Le Romancer, Marc/0000-0001-5881-1461; Jacquet, Stéphan/0000-0001-6017-3892; Guillaume, Damien/0000-0001-5232-8380</t>
  </si>
  <si>
    <t>Ministere de l'Enseignement Superieur et de la Recherche doctoral-grant; IPEV (the French Polar Institute Paul-Emile Victor) [408]; CAREX</t>
  </si>
  <si>
    <t>Ministere de l'Enseignement Superieur et de la Recherche doctoral-grant; IPEV (the French Polar Institute Paul-Emile Victor); CAREX</t>
  </si>
  <si>
    <t>This study benefited of the Ministere de l'Enseignement Superieur et de la Recherche doctoral-grant, (a CAREX-grant allowing a visit to the University of Bergen, Norway, and an IPEV (the French Polar Institute Paul-Emile Victor) fundings in the HOTVIR programme no 408. The sampling expedition was organised by the Institut Paul Emile Victor. The authors would like to thank the Territoire des Terres Australes et Antarctiques Francaises (TAAF), IPEV and its logistical staff for assistance in the field. The scientific diving protocol was initiated by Stephan Jacquet. At field, diving was designed and coordinated by Patrick Le Chevalier and carried out by himself, Gilles Sarragoni and Christine David-Beaussire. Authors would also like to thank Dr. Mikal Heldal for his help in making electron microscopic observations of raw samples, Gerard Sinquin and Philippe Elies of the Plateforme d'Imagerie et de Mesure en Microscopie (UBO) for their help in making electron microscopic observations of enrichment and pure culture supernatants, Valerie Chavagnac, Philippe Besson, Stephanie Mounic and Carole Causserand (GET) for the chemical analyses of hydrothermal fluids, and Dr. Julien Farasin for his help in sample preliminary analyses. Authors are also grateful for Malcolm O'Toole for his valuable comments on the manuscript.</t>
  </si>
  <si>
    <t>10.1007/s00300-018-2288-3</t>
  </si>
  <si>
    <t>WOS:000437102400003</t>
  </si>
  <si>
    <t>Fusaro, B; Libertelli, M; Ansaldo, M; Coria, NR; Diaz, JI</t>
  </si>
  <si>
    <t>Fusaro, Bruno; Libertelli, Marcela; Ansaldo, Martin; Ruben Coria, Nestor; Ines Diaz, Julia</t>
  </si>
  <si>
    <t>Gastrointestinal helminths of Emperor Penguin (Aptenodytes forsteri) from Antarctica</t>
  </si>
  <si>
    <t>Emperor penguin; Parorchites zederi; Tetrabothrius sp.; Stegophorus macronectes; Contracaecum osculatum; Tetrameres sp.; Antarctica</t>
  </si>
  <si>
    <t>PATAGONIAN COAST; ISLAND; FOOD; ECOLOGY; DECLINE; SEA</t>
  </si>
  <si>
    <t>Although research on parasitic diseases in Antarctic birds is scarce and the information largely fragmented, an increasing number of studies are currently in progress in this area. The host/parasite relationship is very important for understanding the impact of parasitism on the seabirds' feeding ecology, especially in those isolated regions where the host is extremely sensitive to new diseases. Penguins are a big favorite for these studies because of their importance as indicators of change in the Antarctic ecosystem. This study aims at adding information on gastrointestinal parasites of the Emperor Penguin Aptenodytes forsteri from Snow Hill colony. Based on a sample of 43 individuals found freshly dead (3 adults and 40 chicks) from predation or starvation, the gastrointestinal helminth community in Emperor penguins was composed of two species of cestodes (Parorchites zederi and Tetrabothrius sp.) and three species of nematodes (Stegophorus macronectes, Tetrameres sp. and Contracaecum osculatum). This is the first record of S. macronectes in the Emperor Penguin. The low parasite richness observed might be related to the stenophagic and pelagic diet of this host.</t>
  </si>
  <si>
    <t>[Fusaro, Bruno; Libertelli, Marcela; Ansaldo, Martin; Ruben Coria, Nestor] Inst Antartico Argentino DNA, 25 Mayo 1143, San Martin, Buenos Aires, Argentina; [Fusaro, Bruno; Ines Diaz, Julia] UNLP, CONICET, CCT La Plata, Ctr Estudios Parasitol &amp; Vectores, 120 S-N E-61 &amp; 62, RA-1900 La Plata, Buenos Aires, Argentina</t>
  </si>
  <si>
    <t>Instituto Antartico Argentino; Consejo Nacional de Investigaciones Cientificas y Tecnicas (CONICET); National University of La Plata</t>
  </si>
  <si>
    <t>Diaz, JI (corresponding author), UNLP, CONICET, CCT La Plata, Ctr Estudios Parasitol &amp; Vectores, 120 S-N E-61 &amp; 62, RA-1900 La Plata, Buenos Aires, Argentina.</t>
  </si>
  <si>
    <t>jidiaz@cepave.edu.ar</t>
  </si>
  <si>
    <t>Direccion Nacional del Antartico (DNA) [PICTO0091, PICTO2010 0111]; CONICET [PIP 0698]; UNLP [N758]</t>
  </si>
  <si>
    <t>Direccion Nacional del Antartico (DNA); CONICET(Consejo Nacional de Investigaciones Cientificas y Tecnicas (CONICET)); UNLP(National University of La Plata)</t>
  </si>
  <si>
    <t>The authors gratefully acknowledge to the hospitality and logistic support of the Argentine Antarctic Base Marambio, and the Argentinean transports. We also appreciate the logistic support provided by the Instituto Antartico Argentino for their help in collecting the birds. We especially thank Dr. Lucas Garbin for his help in determined Anisakid nematodes and Pilar Martinez (Public Translator in English Language) for the English revision of the manuscript. Financial support for sampling was given by the Direccion Nacional del Antartico (DNA) PICTO0091 (FONCyT - DNA), PICTO2010 0111 (FONCyT - DNA). Fieldwork was conducted currying the permissions given by Direccion Nacional del Antartico. JD was partially supported by CONICET (PIP 0698) and UNLP (N758). JD is member of Working Group of Health Monitoring of Birds and Marine Mammals of the SCAR.</t>
  </si>
  <si>
    <t>10.1007/s00300-018-2289-2</t>
  </si>
  <si>
    <t>WOS:000437102400004</t>
  </si>
  <si>
    <t>Havermans, C; Seefeldt, MA; Held, C</t>
  </si>
  <si>
    <t>Havermans, Charlotte; Seefeldt, Meike Anna; Held, Christoph</t>
  </si>
  <si>
    <t>A biodiversity survey of scavenging amphipods in a proposed marine protected area: the Filchner area in the Weddell Sea, Antarctica</t>
  </si>
  <si>
    <t>Amphipoda; Lysianassoidea; Barcoding; COI gene; Taxonomy; Carrion-feeder; Food falls</t>
  </si>
  <si>
    <t>AUSTRALIAN WATERS CRUSTACEA; CLIMATE-CHANGE; ICE SHELF; LYSIANASSIDAE; DIVERSITY; EASTERN; CIRCULATION; IMPACTS; HYDROGRAPHY; SENSITIVITY</t>
  </si>
  <si>
    <t>An integrative inventory of the amphipod scavenging fauna (Lysianassoidea), combining morphological identifications with DNA barcoding, is provided here for the Filchner area situated in the south-eastern Weddell Sea. Over 4400 lysianassoids were investigated for species richness and relative abundances, covering 20 different stations and using different sampling devices, including the southernmost baited traps deployed so far (76A degrees S). High species richness was observed: 29 morphospecies of which 5 were new to science. Molecular species delimitation methods were carried out with 109 cytochrome c oxidase I gene (COI) sequences obtained during this study as well as sequences from specimens sampled in other Antarctic regions. These distance-based analyses (trees and the Automatic Barcode Gap Discovery method) indicated the presence of 42 lineages; for 4 species, several (cryptic) lineages were found. More than 96% of the lysianassoids collected with baited traps belonged to the species Orchomenella pinguides s. l. The diversity of the amphipod scavenger guild in this ice-bound ecosystem of the Weddell Sea is discussed in the light of bottom-up selective forces. In this southernmost part of the Weddell Sea, harbouring spawning and nursery grounds for silverfish and icefishes, abundant fish and mammalian food falls are likely to represent the major food for scavengers. Finally, the importance of biodiversity surveys in the context of the establishment of a marine protected area in this region (Weddell Sea MPA) is highlighted and how future studies can contribute to a better understanding the ecological role of scavengers in this system is discussed.</t>
  </si>
  <si>
    <t>[Havermans, Charlotte] Univ Bremen, Marine Zool, BreMarE Bremen Marine Ecol, POB 330 440, D-28334 Bremen, Germany; [Havermans, Charlotte; Seefeldt, Meike Anna; Held, Christoph] Alfred Wegener Inst, Helmholtz Zentrum Polar &amp; Meeresforsch, Handelshafen 12, D-27568 Bremerhaven, Germany; [Seefeldt, Meike Anna] Ruhr Univ Bochum, Dept Anim Ecol Evolut &amp; Biodivers, Univ Str 150, D-44801 Bochum, Germany</t>
  </si>
  <si>
    <t>University of Bremen; Helmholtz Association; Alfred Wegener Institute, Helmholtz Centre for Polar &amp; Marine Research; Ruhr University Bochum</t>
  </si>
  <si>
    <t>Havermans, C (corresponding author), Univ Bremen, Marine Zool, BreMarE Bremen Marine Ecol, POB 330 440, D-28334 Bremen, Germany.;Havermans, C; Seefeldt, MA (corresponding author), Alfred Wegener Inst, Helmholtz Zentrum Polar &amp; Meeresforsch, Handelshafen 12, D-27568 Bremerhaven, Germany.;Seefeldt, MA (corresponding author), Ruhr Univ Bochum, Dept Anim Ecol Evolut &amp; Biodivers, Univ Str 150, D-44801 Bochum, Germany.</t>
  </si>
  <si>
    <t>Charlotte.Havermans@awi.de; meike.seefeldt@rub.de</t>
  </si>
  <si>
    <t>Havermans, Charlotte/0000-0002-1126-4074</t>
  </si>
  <si>
    <t>Deutsche Forschungsgemeinschaft (DFG, German Science Foundation) [HA 7627/1-1, TO 171/9-1, HE 3391/7-1]</t>
  </si>
  <si>
    <t>Deutsche Forschungsgemeinschaft (DFG, German Science Foundation)(German Research Foundation (DFG))</t>
  </si>
  <si>
    <t>This work was supported by the Deutsche Forschungsgemeinschaft (DFG, German Science Foundation) in the framework of the priority program Antarctic Research with Comparative Investigations in Glaciated Areas of the Arctic with the grant HA 7627/1-1 (C. Havermans), TO 171/9-1 and HE 3391/7-1 (C. Held and M.A. Seefeldt).</t>
  </si>
  <si>
    <t>10.1007/s00300-018-2292-7</t>
  </si>
  <si>
    <t>WOS:000437102400006</t>
  </si>
  <si>
    <t>Danilovich, ME; Sánchez, LA; Acosta, F; Delgado, OD</t>
  </si>
  <si>
    <t>Elizabeth Danilovich, Mariana; Arturo Sanchez, Leandro; Acosta, Federico; Daniel Delgado, Osvaldo</t>
  </si>
  <si>
    <t>Antarctic bioprospecting: in pursuit of microorganisms producing new antimicrobials and enzymes</t>
  </si>
  <si>
    <t>Bioprospection; Antarctica; Psychrophile; Antimicrobial; Enzyme</t>
  </si>
  <si>
    <t>SP-NOV.; BIOTECHNOLOGICAL APPLICATIONS; PHYLOGENETIC ANALYSIS; BACTERIA; HALOMONAS; ANTIBIOTICS; RESISTANCE; PURIFICATION; STRAINS; FAMILY</t>
  </si>
  <si>
    <t>Intensive efforts are being made to find new compounds with antimicrobial activity. The search for these novel bio-products in sparsely explored environments may be the key to providing solutions for many emerging problems. Antarctic environments are valuable locations for bioprospecting. In this study, 63 cold-adapted bacterial strains of 6100 different colony morphotypes were isolated from Antarctic seawater samples around South Shetland and Deception islands. Strains were selected based on cold-active antimicrobial production and were grouped into 11 operational taxonomic units by internal spacer region-PCR and amplified ribosomal DNA restriction analysis. Isolates arbitrarily named 2D, 5D, and 6D were closely related to Halomonas titanicae, with 99.8, 98.9, and 96.7% identity according to 16S rDNA sequencing, and 99.7, 99.3, and 98.3% according to gyrB region sequence analysis, respectively. The isolate 18SH was closely related to Candida sake (99.2%) based on sequence analysis of the ITS1-5.8S rDNA-ITS2 and D1/D2 domain of 26S rDNA. Antimicrobials produced by isolates 2D, 5D, and 6D exhibited a low-molecular weight (&lt; 6000 Da) and stability in wide pH and temperature ranges. When tested against foodborne and phytopathogenic bacteria, selected isolates exhibited a wide spectrum of activity. This work reports the isolation and identification of cold-adapted microorganisms with the ability to produce antimicrobial compounds with potential application in the pharmaceutical or in cold-chain management in the food industry. The current results highlight the potential of the Antarctic environment as a valuable and underexploited source of new antimicrobial molecules with exceptional properties for different biotechnological applications.</t>
  </si>
  <si>
    <t>[Elizabeth Danilovich, Mariana; Arturo Sanchez, Leandro] PROIMI CONICET, Av Belgrano &amp; Pje Caseros, RA-4000 San Miguel De Tucuman, Argentina; [Acosta, Federico; Daniel Delgado, Osvaldo] CITCA CONICET, Prado 366, RA-4700 San Fernando Valle Catam, Catamarca, Argentina; [Acosta, Federico; Daniel Delgado, Osvaldo] Univ Nacl Catamarca UNCa, Fac Cs Exactas &amp; Nat, Av Belgrano 300, RA-4700 San Fernando Valle Catam, Catamarca, Argentina</t>
  </si>
  <si>
    <t>Delgado, OD (corresponding author), CITCA CONICET, Prado 366, RA-4700 San Fernando Valle Catam, Catamarca, Argentina.;Delgado, OD (corresponding author), Univ Nacl Catamarca UNCa, Fac Cs Exactas &amp; Nat, Av Belgrano 300, RA-4700 San Fernando Valle Catam, Catamarca, Argentina.</t>
  </si>
  <si>
    <t>odelgado@proimi.org.ar</t>
  </si>
  <si>
    <t>Sanchez, Leandro A/E-4893-2012</t>
  </si>
  <si>
    <t>Sanchez, Leandro A/0000-0002-8888-0668; Danilovich, Dr. Mariana/0000-0003-2703-0851</t>
  </si>
  <si>
    <t>10.1007/s00300-018-2295-4</t>
  </si>
  <si>
    <t>WOS:000437102400009</t>
  </si>
  <si>
    <t>Taboada, S; Leiva, C; Junoy, J; Alexander, F; Riesgo, A</t>
  </si>
  <si>
    <t>Taboada, Sergi; Leiva, Carlos; Junoy, Juan; Alexander, Frances; Riesgo, Ana</t>
  </si>
  <si>
    <t>A new member of the genus Antarctonemertes (Hoplonemertea, Nemertea) from Antarctic waters</t>
  </si>
  <si>
    <t>Barcode gap; Casey Station; Deception Island; Haplotype network; Phylogeny; Taxonomy</t>
  </si>
  <si>
    <t>MAXIMUM-LIKELIHOOD; PHYLUM NEMERTEA; GENERA; REDESCRIPTION; PHYLOGENY; CHECKLIST; SOFTWARE; TAXONOMY; OCEAN</t>
  </si>
  <si>
    <t>The phylum Nemertea is an important component of the benthic ecosystems of the Southern Ocean, but its biodiversity is still relatively poorly known in Antarctic waters. There are few common and well-known nemertean species occurring in the shallow Antarctic waters, and these include the congeneric Antarctonemertes valida (Burger, 1893) and Antarctonemertes riesgoae Taboada et al., 2013, two relatively small brooding hoplonemerteans whose females lay eggs inside cocoons. A third Antarctic member of the genus, Antarctonemertes belgica (Burger, 1904), was reported only in the original description. Here we document the existence of a fourth Antarctic member of the genus Antarctonemertes originally described as Tetrastemma unilineatum Joubin, 1910. Our phylogenetic analysis resulted into the placement of the new Antarctonemertes in a robustly supported clade -Antarctic Antarctonemertes- containing the other two congeneric Antarctic species (A. valida and A. riesgoae), and pairwise COI molecular distances between the three species ranged from 5.2 to 6.2% (p distance). The analysis of 104 COI sequences of the three species showed star-like haplotype networks, as in other studies on Antarctic invertebrates. Antarctonemertes unilineata comb. nov. is similar in shape to its Antarctic congeneric relatives and its most prominent morphological character is a dorsal mid-longitudinal band present along the body. We also document the presence of a cocoon built by females of A. unilineata comb. nov., a character shared with its Antarctic congeners analysed here. Although the four Antarctic Antarctonemertes species appear to overlap their distribution, A. riesgoae, A. valida and A. belgica appear in sympatry in the West Antarctic shores while A. unilineata comb. nov. has been mainly found in the East Antarctic shores and sub-Antarctic Islands.</t>
  </si>
  <si>
    <t>[Taboada, Sergi; Riesgo, Ana] Nat Hist Museum, Life Sci Dept, Cromwell Rd, London SW7 5BD, England; [Leiva, Carlos] Univ Barcelona, Fac Biol, Ecol Ciencies Ambientals, Dept Biol Evolutiva, Avda Diagonal 645, Barcelona 08028, Spain; [Junoy, Juan] Univ Alcala, Dept Ciencias Vida, AP 20 Campus Univ, Alcala De Henares 28805, Spain; [Alexander, Frances] Southern Cross Univ, Marine Ecol Res Ctr, Lismore, NSW 2480, Australia; [Alexander, Frances] Australian Antarctic Div, Kingston, Tas 7050, Australia</t>
  </si>
  <si>
    <t>Natural History Museum London; University of Barcelona; Universidad de Alcala; Southern Cross University; Australian Antarctic Division</t>
  </si>
  <si>
    <t>Taboada, S (corresponding author), Nat Hist Museum, Life Sci Dept, Cromwell Rd, London SW7 5BD, England.</t>
  </si>
  <si>
    <t>sergiotab@gmail.com</t>
  </si>
  <si>
    <t>Taboada, Sergi/AAB-9390-2021; Leiva, Carlos/ACB-7534-2022; Riesgo, Ana/E-3341-2014; /AAH-3396-2021</t>
  </si>
  <si>
    <t>Taboada, Sergi/0000-0003-1669-1152; Riesgo, Ana/0000-0002-7993-1523; Junoy, Juan/0000-0002-6125-558X</t>
  </si>
  <si>
    <t>DISTANTCOM research project [CTM2013-42667/ANT]; NHM Departmental Internal Funds; Australian Antarctic Division through an Australian Antarctic Science [4142]; Spanish Government</t>
  </si>
  <si>
    <t>DISTANTCOM research project; NHM Departmental Internal Funds; Australian Antarctic Division through an Australian Antarctic Science; Spanish Government(Spanish Government)</t>
  </si>
  <si>
    <t>This work was developed within the DISTANTCOM research project (CTM2013-42667/ANT) and the NHM Departmental Internal Funds for A. Riesgo. Collections from Casey station were funded and supported by the Australian Antarctic Division through an Australian Antarctic Science Grant awarded to P. L. Harrison, C.K. King, S.C. George, and A. Lane (Project 4142). C. Leiva was funded by the Departmental Collaboration Grants Program by the Spanish Government.</t>
  </si>
  <si>
    <t>10.1007/s00300-018-2298-1</t>
  </si>
  <si>
    <t>WOS:000437102400012</t>
  </si>
  <si>
    <t>Beeston, MA; Cragg, SM; Linse, K</t>
  </si>
  <si>
    <t>Beeston, Mark A.; Cragg, Simon M.; Linse, Katrin</t>
  </si>
  <si>
    <t>Hydrological features above a Southern Ocean seamount inhibit larval dispersal and promote speciation: evidence from the bathyal mytilid Dacrydium alleni sp nov (Mytilidae: Bivalvia)</t>
  </si>
  <si>
    <t>Antarctic; Deep sea; Bivalve; Maud Rise; Taylor column; Larval dispersal; Endemic species</t>
  </si>
  <si>
    <t>DEEP; SEA; BIODIVERSITY; DIVERSITY; MOLLUSKS; FAUNA; ANTARCTICA; ABUNDANCE; ATLANTIC; BENTHOS</t>
  </si>
  <si>
    <t>The Maud Rise seamount (65A degrees 07.80'S 2A degrees 39.60'E), a distinct habitat in the Southern Ocean, was studied during the ANDEEP-SYSTCO expedition in 2007-2008 to describe its unique benthic assemblage, characterised by higher biomass and lower diversity than other SO locations. Epibenthic sledge deployments during the expedition revealed exceptionally high abundances of the small bivalve genus Dacrydium with a total of 516 specimens collected from this seamount, resembling up to 1860 bivalve individuals per 1000 m(-2). The Dacrydium specimens were examined for taxonomic identification, population and reproductive biology. Shell and soft part morphology as well as life history characteristics were compared with all known congeners for which data are available. Hinge dentition, prodissoconch size and adult gill structure are notably different, supporting classification as a separate species, herein formally described as Dacrydium alleni sp. nov. Dacrydium alleni sp. nov. produces lecithotrophic larvae, capable of long-distance dispersal, yet is apparently restricted to the Maud Rise area, supporting the hypothesis that larval dispersal at isolated seamounts may be constrained by hydrographic rather than biological features. In addition to providing insight into the benthic assemblage at Maud Rise, this work also summarises the current taxonomic status of the genus Dacrydium in the Southern Ocean.</t>
  </si>
  <si>
    <t>[Beeston, Mark A.; Cragg, Simon M.] Univ Portsmouth, Inst Marine Sci, Ferry Rd, Portsmouth PO4 9LY, Hants, England; [Linse, Katrin] British Antarctic Survey, High Cross, Madingley Rd, Cambridge CB23 0ET, England</t>
  </si>
  <si>
    <t>University of Portsmouth; UK Research &amp; Innovation (UKRI); Natural Environment Research Council (NERC); NERC British Antarctic Survey</t>
  </si>
  <si>
    <t>Beeston, MA; Cragg, SM (corresponding author), Univ Portsmouth, Inst Marine Sci, Ferry Rd, Portsmouth PO4 9LY, Hants, England.;Linse, K (corresponding author), British Antarctic Survey, High Cross, Madingley Rd, Cambridge CB23 0ET, England.</t>
  </si>
  <si>
    <t>up677627@myport.ac.uk; simon.cragg@port.ac.uk; kl@bas.ac.uk</t>
  </si>
  <si>
    <t>Cragg, Simon/C-8463-2011</t>
  </si>
  <si>
    <t>Cragg, Simon/0000-0003-1082-7653</t>
  </si>
  <si>
    <t>NERC [bas0100036] Funding Source: UKRI</t>
  </si>
  <si>
    <t>10.1007/s00300-018-2303-8</t>
  </si>
  <si>
    <t>WOS:000437102400014</t>
  </si>
  <si>
    <t>Bacteria from Antarctic environments: diversity and detection of antimicrobial, antiproliferative, and antiparasitic activities (vol 41, pg 1505, 2018)</t>
  </si>
  <si>
    <t>During initial stage of copyediting, extra columns were spanned in Table 2; i.e., 6 and 7 and 10 and 11 resulting from automation. This produced an extra space between columns, which went unnoticed following the proofing stage. There was no request for a correction until publication. The publisher sincerely apologizes to the authors for the inconvenience caused. The original article has been corrected.</t>
  </si>
  <si>
    <t>Rodrigues, Rodney A. F./C-7734-2012; Passarimi, Michel/AAD-5806-2022; Duarte, Alysson Wagner Fernandes/S-8062-2019; Alexandre Ferreira Rodrigues, Rodney/KGL-8482-2024; Ruiz, Ana Lucia Tasca Gois/C-2249-2012; Oliveira, Valéria Maia/L-2422-2014</t>
  </si>
  <si>
    <t>Rodrigues, Rodney A. F./0000-0001-5631-0970; Duarte, Alysson Wagner Fernandes/0000-0001-9626-7524; Ruiz, Ana Lucia Tasca Gois/0000-0002-0844-8702; Oliveira, Valéria Maia/0000-0001-8817-4758</t>
  </si>
  <si>
    <t>10.1007/s00300-018-2322-5</t>
  </si>
  <si>
    <t>WOS:000437102400016</t>
  </si>
  <si>
    <t>Prerna, R; Pandey, DK; Mahender, K</t>
  </si>
  <si>
    <t>Prerna, R.; Pandey, Dhananjai K.; Mahender, Kotha</t>
  </si>
  <si>
    <t>Longitudinal profiling and elevation-relief analysis of the Indus</t>
  </si>
  <si>
    <t>Indus; Morphometry; Elevation-relief ratio; Longitudinal-profile; Basin</t>
  </si>
  <si>
    <t>KARAKORAM FAULT; NANGA-PARBAT; PAKISTAN; THRUST; CLASSIFICATION; HISTORY; BASIN; BELT</t>
  </si>
  <si>
    <t>The Indus basin-one of the largest fluvial-controlled landscapes of the world, provides a major agro-economic resource base while showcasing unique morphometry along its course. However, despite its large socio-economic relevance in South Asia, a distinct account of morphometric variations down its course still remains elusive. Here, for the first time a quantitative demarcation of the Indus basin into-upper, middle, and lower basin is proposed based on analyses of critical morphometric parameters (viz. gradient/river length ratio, elevation-relief ratio, channel width, sinuosity, and slope). Geostatistical and hydrological operations performed on digital elevation models, suggest that the highest and lowest relief sectors are tectonically more stable than the middle relief sector, inferred from a convex hypsometric curve. Elevation-relief ratio for the basin indicates tectonic stability with similar to 31% of remnant rock still in place. Cross-sectional transects also demonstrate anomalous patterns that deviate from predictive characteristics of youthful, mature, and senile stages of river development. All parameters are spatially coalesced to provide a first-ever holistic morphometric account of the Indus basin while describing fine-scale planform variations of the spectacular dynamics of this enormous river basin.</t>
  </si>
  <si>
    <t>[Prerna, R.; Pandey, Dhananjai K.] Natl Ctr Antarctic &amp; Ocean Res, Vasco Da Gama, Goa, India; [Mahender, Kotha] Goa Univ, Taleigao Plateau, Goa, India</t>
  </si>
  <si>
    <t>Ministry of Earth Sciences (MoES) - India; National Centre for Polar and Ocean Research (NCPOR); Goa University</t>
  </si>
  <si>
    <t>Prerna, R (corresponding author), Natl Ctr Antarctic &amp; Ocean Res, Vasco Da Gama, Goa, India.</t>
  </si>
  <si>
    <t>prerna@ncaor.gov.in</t>
  </si>
  <si>
    <t>Kotha, Mahender/T-3243-2019; Pandey, Dhananjai/S-3843-2019; ANIKUZHIYIL, ANISH/Y-8609-2018</t>
  </si>
  <si>
    <t>Pandey, Dhananjai/0000-0001-6899-8995; Ramesh, Prerna/0000-0001-6894-3951</t>
  </si>
  <si>
    <t>10.1007/s12517-018-3657-5</t>
  </si>
  <si>
    <t>GL0PA</t>
  </si>
  <si>
    <t>WOS:000436790900002</t>
  </si>
  <si>
    <t>Cvetkovska, M; Szyszka-Mroz, B; Possmayer, M; Pittock, P; Lajoie, G; Smith, DR; Hüner, NPA</t>
  </si>
  <si>
    <t>Cvetkovska, Marina; Szyszka-Mroz, Beth; Possmayer, Marc; Pittock, Paula; Lajoie, Gilles; Smith, David R.; Huner, Norman P. A.</t>
  </si>
  <si>
    <t>Characterization of photosynthetic ferredoxin from the Antarctic alga Chlamydomonas sp UWO241 reveals novel features of cold adaptation</t>
  </si>
  <si>
    <t>NEW PHYTOLOGIST</t>
  </si>
  <si>
    <t>Chlamydomonas reinhardtii; Chlamydomonas sp UWO241; cold adaptation; ferredoxin; gene duplication; photosynthesis; protein activity and stability; psychrophily</t>
  </si>
  <si>
    <t>PSYCHROPHILIC GREEN-ALGA; PLANT-TYPE FERREDOXINS; COPY-NUMBER VARIATION; CYCLIC ELECTRON FLOW; PHOTOSYSTEM-I; BIOCHEMICAL-CHARACTERIZATION; STRUCTURAL INSIGHT; GENE AMPLIFICATION; NITRITE REDUCTASE; NOTOTHENIOID FISH</t>
  </si>
  <si>
    <t>The objective of this work was to characterize photosynthetic ferredoxin from the Antarctic green alga Chlamydomonas sp. UWO241, a key enzyme involved in distributing photosynthetic reducing power. We hypothesize that ferredoxin possesses characteristics typical of cold-adapted enzymes, namely increased structural flexibility and high activity at low temperatures, accompanied by low stability at moderate temperatures. To address this objective, we purified ferredoxin from UWO241 and characterized the temperature dependence of its enzymatic activity and protein conformation. The UWO241 ferredoxin protein, RNA, and DNA sequences were compared with homologous sequences from related organisms. We provide evidence for the duplication of the main ferredoxin gene in the UWO241 nuclear genome and the presence of two highly similar proteins. Ferredoxin from UWO241 has both high activity at low temperatures and high stability at moderate temperatures, representing a novel class of cold-adapted enzymes. Our study reveals novel insights into how photosynthesis functions in the cold. The presence of two distinct ferredoxin proteins in UWO241 could provide an adaptive advantage for survival at cold temperatures. The primary amino acid sequence of ferredoxin is highly conserved among photosynthetic species, and we suggest that subtle differences in sequence can lead to significant changes in activity at low temperatures.</t>
  </si>
  <si>
    <t>[Cvetkovska, Marina; Szyszka-Mroz, Beth; Possmayer, Marc; Smith, David R.; Huner, Norman P. A.] Univ Western Ontario, Dept Biol, London, ON N6A 5B7, Canada; [Cvetkovska, Marina; Szyszka-Mroz, Beth; Possmayer, Marc; Smith, David R.; Huner, Norman P. A.] Univ Western Ontario, Biotron Ctr Expt Climate Change Res, London, ON N6A 5B7, Canada; [Pittock, Paula; Lajoie, Gilles] Univ Western Ontario, Dept Biochem, London, ON N6G 2V4, Canada; [Pittock, Paula; Lajoie, Gilles] Univ Western Ontario, Biol Mass Spectrometry Lab, London, ON N6G 2V4, Canada</t>
  </si>
  <si>
    <t>Western University (University of Western Ontario); Western University (University of Western Ontario); Western University (University of Western Ontario); Western University (University of Western Ontario)</t>
  </si>
  <si>
    <t>Hüner, NPA (corresponding author), Univ Western Ontario, Dept Biol, London, ON N6A 5B7, Canada.;Hüner, NPA (corresponding author), Univ Western Ontario, Biotron Ctr Expt Climate Change Res, London, ON N6A 5B7, Canada.</t>
  </si>
  <si>
    <t>nhuner@uwo.ca</t>
  </si>
  <si>
    <t>Smith, David Roy/AAR-1529-2020; Smith, David Roy/L-7910-2015</t>
  </si>
  <si>
    <t>Smith, David Roy/0000-0001-9560-5210; Smith, David Roy/0000-0001-9560-5210; Cvetkovska, Marina/0000-0002-7080-8203</t>
  </si>
  <si>
    <t>NSERC; Canadian Foundation for Innovation; Canada Research Chairs Program</t>
  </si>
  <si>
    <t>NSERC(Natural Sciences and Engineering Research Council of Canada (NSERC)); Canadian Foundation for Innovation(Canada Foundation for Innovation); Canada Research Chairs Program(Canada Research Chairs)</t>
  </si>
  <si>
    <t>N.P.A.H. and D.R.S. are funded by Discovery Grants from the NSERC. N.P.A.H. is grateful for support through the Canadian Foundation for Innovation and The Canada Research Chairs Program.</t>
  </si>
  <si>
    <t>0028-646X</t>
  </si>
  <si>
    <t>1469-8137</t>
  </si>
  <si>
    <t>NEW PHYTOL</t>
  </si>
  <si>
    <t>New Phytol.</t>
  </si>
  <si>
    <t>10.1111/nph.15194</t>
  </si>
  <si>
    <t>GK2HM</t>
  </si>
  <si>
    <t>WOS:000435948500015</t>
  </si>
  <si>
    <t>Pereira, PS; van de Flierdt, T; Hemming, SR; Hammond, SJ; Kuhn, G; Brachfeld, S; Doherty, C; Hillenbrand, CD</t>
  </si>
  <si>
    <t>Pereira, Patric Simoes; van de Flierdt, Tina; Hemming, Sidney R.; Hammond, Samantha J.; Kuhn, Gerhard; Brachfeld, Stefanie; Doherty, Cathleen; Hillenbrand, Claus-Dieter</t>
  </si>
  <si>
    <t>Geochemical fingerprints of glacially eroded bedrock from West Antarctica: Detrital thermochronology, radiogenic isotope systematics and trace element geochemistry in Late Holocene glacial-marine sediments</t>
  </si>
  <si>
    <t>Geochemical provenance; West Antarctic Ice Sheet; Subglacial geology; Sediment transport pathways</t>
  </si>
  <si>
    <t>AMUNDSEN SEA EMBAYMENT; PINE ISLAND GLACIER; CONTINENTAL-MARGIN SEDIMENTS; CLAY-MINERAL PROVENANCE; GROUNDING-LINE RETREAT; CIRCUMPOLAR DEEP-WATER; COAST INTRUSIVE SUITE; GRAIN-SIZE DEPENDENCE; EDWARD-VII-PENINSULA; ICE-RAFTED DETRITUS</t>
  </si>
  <si>
    <t>Geochemical provenance studies of glacial-marine sediments provide a powerful approach to describe subglacial geology, sediment transport pathways, and past ice sheet dynamics. The marine-based West Antarctic Ice Sheet (WAIS) is considered highly vulnerable to ocean warming and sea level rise that is likely to cause its rapid and irreversible retreat. Studies of its past response to climate change are hence essential for projecting its future behaviour. The application of radiogenic and trace element provenance studies for past ice sheet reconstructions requires surveying the geographic variability of geochemical compositions of glaciomarine sediments. In this study, we characterize the provenance of the detrital fraction of 67 Late Holocene marine sediment samples collected off the Pacific margin of West Antarctica (60 degrees W to 160 degrees W), including 40Ar/39Ar ages of individual hornblende and biotite grains (&gt; 150 mu m), as well as Sr and Nd isotope and trace element composition of the fine-grained (&lt; 63 mu m) sediment fraction. Overall, this approach allows differentiating West Antarctica into five source regions: the Antarctic Peninsula, Bellingshausen Sea, Amundsen Sea, Wrigley Gulf-Hobbs Coast and Sulzberger Bay. Minor geochemical variability is found within each individual sector due to local variability in onland geology. 40Ar/39Ar ages of iceberg-rafted hornblende and biotite grains record primarily Carboniferous to Lates Quaternary ages (similar to 0 to 380 Ma), with a notable age peak of similar to 100 Ma, associated with plutonic intrusions or deformation events during the mid-Cretaceous. Permian-Jurassic 40Ar/39Ar ages are widespread in the Amundsen Sea sector, marking episodes of large-volume magmatism along the long-lived continental margin. Metasedimentary rocks and Late Cenozoic alkali basalts in West Antarctica cannot be detected using detrital hornblende and biotite 40Ar/39Ar ages due to the absence or small grain-size (i.e. &lt; 150 pm) of these minerals in such rocks. These sources can however be readily recognized by their fine-grained geochemical composition. In addition, geographic trends in the provenance from proximal to distal sites provide insights into major sediment transport pathways. While the transport of fine-grained detritus follows bathymetric cross-shelf troughs, the distribution of iceberg-rafted grains shows influence by transport in the Antarctic Coastal Current. Our study provides the first systematic geochemical characterisation of sediment provenance off West Antarctica, and highlights the importance of combining multiple provenance approaches in different size fractions of glacial marine sediments, and paves the way to investigate past WAIS dynamics.</t>
  </si>
  <si>
    <t>[Pereira, Patric Simoes] Imperial Coll London, Grantham Inst Climate Change &amp; Environm, South Kensington Campus, London SW7 2AZ, England; [Pereira, Patric Simoes; van de Flierdt, Tina] Imperial Coll London, Dept Earth Sci &amp; Engn, South Kensington Campus, London SW7 2AZ, England; [Hemming, Sidney R.] Columbia Univ, Lamont Doherty Earth Observ, Dept Earth &amp; Environm Sci, Palisades, NY 10964 USA; [Hemming, Sidney R.] Columbia Univ, Dept Earth &amp; Environm Sci, New York, NY 10027 USA; [Hammond, Samantha J.] Open Univ, Dept Environm Earth &amp; Ecosyst, Walton Hall, Milton Keynes MK7 6AA, Bucks, England; [Kuhn, Gerhard] Helmholtz Zentrum Polar &amp; Meeresforsch Marine Geo, Alfred Wegener Inst, D-27568 Bremerhaven, Germany; [Brachfeld, Stefanie] Montclair State Univ, Dept Earth &amp; Environm Studies, Montclair, NJ 07043 USA; [Doherty, Cathleen] Rutgers State Univ, Environm &amp; Occupat Hlth Sci Inst, Piscataway, NJ 08854 USA; [Hillenbrand, Claus-Dieter] British Antarctic Survey, Madingley Rd, Cambridge CB3 0ET, England</t>
  </si>
  <si>
    <t>Imperial College London; Imperial College London; Columbia University; Columbia University; Open University - UK; Helmholtz Association; Alfred Wegener Institute, Helmholtz Centre for Polar &amp; Marine Research; Montclair State University; Rutgers University System; Rutgers University New Brunswick; UK Research &amp; Innovation (UKRI); Natural Environment Research Council (NERC); NERC British Antarctic Survey</t>
  </si>
  <si>
    <t>Pereira, PS (corresponding author), Imperial Coll London, Grantham Inst Climate Change &amp; Environm, South Kensington Campus, London SW7 2AZ, England.</t>
  </si>
  <si>
    <t>p.simoes-pereira14@imperial.ac.uk</t>
  </si>
  <si>
    <t>Kuhn, Gerhard/0000-0001-6069-7485; Hammond, Samantha/0000-0002-7097-0075; Brachfeld, Stefanie/0000-0003-4612-2866; Hemming, Sidney/0000-0001-8117-2303</t>
  </si>
  <si>
    <t>Kristian Gerhard Jebsen Foundation; National Science Foundation [0348274]; NERC [bosc01001, bas0100030, NE/L004607/1, NE/R018219/1, NE/S00954X/1] Funding Source: UKRI</t>
  </si>
  <si>
    <t>Kristian Gerhard Jebsen Foundation; National Science Foundation(National Science Foundation (NSF)); NERC(UK Research &amp; Innovation (UKRI)Natural Environment Research Council (NERC))</t>
  </si>
  <si>
    <t>P. Simoes Pereira acknowledges the Kristian Gerhard Jebsen Foundation for supporting his PhD scholarship. S. Brachfeld and C. Doherty acknowledge support from National Science Foundation grant 0348274. We thank B. Coles and K. Kreissig for their assistance in the lab, W. Ehrmann for analysing the clay mineral assemblages on several samples and T. Riley for constructive discussions. We also thank the shipboard scientific parties, captains, officers and crews of the various expeditions. The careful and constructive comments of the two anonymous reviewers are gratefully acknowledged. This research used samples provided by the Antarctic Marine Geology Research Facility (AMGRF) formerly at Florida State University.</t>
  </si>
  <si>
    <t>10.1016/j.earscirev.2018.04.011</t>
  </si>
  <si>
    <t>WOS:000436222700011</t>
  </si>
  <si>
    <t>Crosta, X; Crespin, J; Swingedouw, D; Marti, O; Masson-Delmotte, V; Etourneau, J; Goosse, H; Braconnot, P; Yam, R; Brailovski, I; Shemesh, A</t>
  </si>
  <si>
    <t>Crosta, Xavier; Crespin, Julien; Swingedouw, Didier; Marti, Olivier; Masson-Delmotte, Valerie; Etourneau, Johan; Goosse, Hugues; Braconnot, Pascale; Yam, Ruth; Brailovski, Irena; Shemesh, Aldo</t>
  </si>
  <si>
    <t>Ocean as the main driver of Antarctic ice sheet retreat during the Holocene</t>
  </si>
  <si>
    <t>LAST GLACIAL MAXIMUM; NINO-SOUTHERN OSCILLATION; CIRCUMPOLAR DEEP-WATER; SEA-ICE; PRYDZ BAY; EL-NINO; DIATOM DELTA-O-18; CLIMATE-CHANGE; OCEANOGRAPHIC VARIABILITY; EAST ANTARCTICA</t>
  </si>
  <si>
    <t>Ocean-driven basal melting has been shown to be the main ablation process responsible for the recession of many Antarctic ice shelves and marine-terminating glaciers over the last decades. However, much less is known about the drivers of ice shelf melt prior to the short instrumental era. Based on diatom oxygen isotope (delta O-18(diatom),; a proxy for glacial ice discharge in solid or liquid form) records from western Antarctic Peninsula (West Antarctica) and Adelie Land (East Antarctica), higher ocean temperatures were suggested to have been the main driver of enhanced ice melt during the Early-to-Mid Holocene while atmosphere temperatures were proposed to have been the main driver during the Late Holocene. Here, we present a new Holocene delta O-18(diatom) record from Prydz Bay, East Antarctica, also suggesting an increase in glacial ice discharge since similar to(4)500 years before present (similar to 4.5 kyr BP) as previously observed in Antarctic Peninsula and Adele Land. Similar results from three different regions around Antarctica thus suggest common driving mechanisms. Combining marine and ice core records along with new transient accelerated simulations from the IPSL-CM5A-LR climate model, we rule out changes in air temperatures during the last similar to 4.5 kyr as the main driver of enhanced glacial ice discharge. Conversely, our simulations evidence the potential for significant warmer subsurface waters in the Southern Ocean during the last 6 kyr in response to enhanced summer insolation south of 60 degrees S and enhanced upwelling of Circumpolar Deep Water towards the Antarctic shelf. We conclude that ice front and basal melting may have played a dominant role in glacial discharge during the Late Holocene.</t>
  </si>
  <si>
    <t>[Crosta, Xavier; Crespin, Julien; Swingedouw, Didier] Univ Bordeaux, UMR CNRS 5805, EPOC, F-33405 Talence, France; [Crespin, Julien; Yam, Ruth; Brailovski, Irena; Shemesh, Aldo] Weizmann Inst Sci, EPS, IL-76100 Rehovot, Israel; [Marti, Olivier; Masson-Delmotte, Valerie; Braconnot, Pascale] Univ Paris Saclay, UMR CEA CNRS UVSQ 8212, LSCE, Gif Sur Yvette, France; [Etourneau, Johan] Univ Granada, Inst Andaluz Ciencias Tierra, CSIC, Granada, Spain; [Goosse, Hugues] Catholic Univ Louvain, Georges Lemaitre Ctr Earth &amp; Climate Res, Louvain La Neuve, Belgium</t>
  </si>
  <si>
    <t>Universite de Bordeaux; Centre National de la Recherche Scientifique (CNRS); CNRS - National Institute for Earth Sciences &amp; Astronomy (INSU); Weizmann Institute of Science; Universite Paris Saclay; Centre National de la Recherche Scientifique (CNRS); CNRS - National Institute for Earth Sciences &amp; Astronomy (INSU); Universite Paris Cite; CEA; Consejo Superior de Investigaciones Cientificas (CSIC); CSIC - Instituto Andaluz de Ciencias de la Tierra (IACT); University of Granada; Universite Catholique Louvain</t>
  </si>
  <si>
    <t>Crosta, X (corresponding author), Univ Bordeaux, UMR CNRS 5805, EPOC, F-33405 Talence, France.</t>
  </si>
  <si>
    <t>xavier.crosta@u-bordeaux.fr</t>
  </si>
  <si>
    <t>Marti, Olivier/B-2378-2009; Masson-Delmotte, Valerie L/G-1995-2011; Swingedouw, Didier/D-1408-2010</t>
  </si>
  <si>
    <t>Marti, Olivier/0000-0002-8246-5578; Masson-Delmotte, Valerie L/0000-0001-8296-381X; Swingedouw, Didier/0000-0002-0583-0850</t>
  </si>
  <si>
    <t>NSF [NBP0101-JPC24]; De Botton Center for Marine Sciences at the Weizmann Institute; Feinberg Graduate School post-doctoral fellowship from the Weizmann Institute; French National Research Agency HAMOC project [ANR-13-BS06-0003]; ESF PolarClimate HOLOCLIP Project [Polar-FP-625]; CNRS-INSU; ANR ASUMA [ANR-14-CE01-0001]; Agence Nationale de la Recherche (ANR) [ANR-14-CE01-0001] Funding Source: Agence Nationale de la Recherche (ANR)</t>
  </si>
  <si>
    <t>NSF(National Science Foundation (NSF)); De Botton Center for Marine Sciences at the Weizmann Institute; Feinberg Graduate School post-doctoral fellowship from the Weizmann Institute; French National Research Agency HAMOC project; ESF PolarClimate HOLOCLIP Project; CNRS-INSU(Centre National de la Recherche Scientifique (CNRS)); ANR ASUMA(Agence Nationale de la Recherche (ANR)); Agence Nationale de la Recherche (ANR)(Agence Nationale de la Recherche (ANR))</t>
  </si>
  <si>
    <t>We thank Amy Leventer, Eugene Domack and Rob Dunbar for giving access to core NBP0101-JPC24 retrieved during the NSF funded CHAOS oceanographic cruise. The research leading to this study was partially supported by The De Botton Center for Marine Sciences at the Weizmann Institute and a Feinberg Graduate School post-doctoral fellowship from the Weizmann Institute to J.C. This research has also received funding from the French National Research Agency HAMOC project (Grant ANR-13-BS06-0003) and the ESF PolarClimate HOLOCLIP Project (Polar-FP-625). C.X. and D.S. are funded by CNRS-INSU. V.M.-D. acknowledges support from ANR ASUMA (grant ANR-14-CE01-0001). H.G. is Research Director with the F.R.S-FNRS, Belgium. This is a HOLOCLIP publication number 31.</t>
  </si>
  <si>
    <t>10.1016/j.gloplacha.2018.04.007</t>
  </si>
  <si>
    <t>WOS:000435624000006</t>
  </si>
  <si>
    <t>Watson, RA; Tidd, A</t>
  </si>
  <si>
    <t>Watson, Reg A.; Tidd, A.</t>
  </si>
  <si>
    <t>Mapping nearly a century and a half of global marine fishing: 1869-2015</t>
  </si>
  <si>
    <t>Global fishing; IUU; Historical fishing; Mapping; Discards; Database</t>
  </si>
  <si>
    <t>FISHERIES; CATCHES</t>
  </si>
  <si>
    <t>Understanding global fisheries patterns contributes significantly to their management. By combining harmonized unmapped data sources with maps from satellite tracking data, regional tuna management organisations, the ranges of fished taxa, the access of fleets and the logistics of associated fishing gears the expansion and intensification of marine fisheries for nearly a century and half (1869-2015) is illustrated. Estimates of industrial, non-industrial reported, illegal/unreported (IUU) and discards reveal changes in country dominance, catch composition and fishing gear use. Catch of industrial and non-industrial marine fishing by year, fishing country, taxa and gear by 30-min spatial cell broken to reported, IUU and discards is available. Results show a historical increase in bottom trawl with corresponding reduction in the landings from seines. Though diverse, global landings are now dominated by demersal and small pelagic species.</t>
  </si>
  <si>
    <t>[Watson, Reg A.] Univ Tasmania, Inst Marine &amp; Antarctic Studies, Private Bag 129, Hobart, Tas 7001, Australia; [Tidd, A.] GMIT, Old Dublin Rd, Galway, Ireland</t>
  </si>
  <si>
    <t>University of Tasmania; Atlantic Technological University (ATU)</t>
  </si>
  <si>
    <t>Watson, RA (corresponding author), Univ Tasmania, Inst Marine &amp; Antarctic Studies, Private Bag 129, Hobart, Tas 7001, Australia.</t>
  </si>
  <si>
    <t>rwatson@ecomarres.com; emperorfish@gmail.com</t>
  </si>
  <si>
    <t>Watson, Reg A/F-4850-2012</t>
  </si>
  <si>
    <t>Watson, Reg A/0000-0001-7201-8865</t>
  </si>
  <si>
    <t>Australian Research Council [DP140101377]</t>
  </si>
  <si>
    <t>The authors acknowledge the support of the Australian Research Council (Discovery project DP140101377). We are grateful to Global Fisheries Watch and particularly D. Kroodsma for access to processed satellite data.</t>
  </si>
  <si>
    <t>10.1016/j.marpol.2018.04.023</t>
  </si>
  <si>
    <t>GI8DV</t>
  </si>
  <si>
    <t>WOS:000434752900020</t>
  </si>
  <si>
    <t>Cvitanovic, C; van Putten, EI; Hobday, AJ; Mackay, M; Kelly, R; McDonald, J; Waples, K; Barnes, P</t>
  </si>
  <si>
    <t>Cvitanovic, C.; van Putten, E. I.; Hobday, A. J.; Mackay, M.; Kelly, R.; McDonald, J.; Waples, K.; Barnes, P.</t>
  </si>
  <si>
    <t>Building trust among marine protected area managers and community members through scientific research: Insights from the Ningaloo Marine Park, Australia</t>
  </si>
  <si>
    <t>Participatory governance; Trust; Collective action; Communication; Social cohesion; Citizen science</t>
  </si>
  <si>
    <t>RESOURCE-MANAGEMENT; CITIZEN SCIENCE; KNOWLEDGE EXCHANGE; CULTURAL MODELS; PERSPECTIVES; PERCEPTIONS; LEGITIMACY; POLICY; COAST</t>
  </si>
  <si>
    <t>The success of participatory marine governance arrangements is influenced by the levels of trust that exist between decision-makers and diverse stakeholder groups within the community. While the benefits of high levels of trust among these groups is well established, specific approaches to building trust remain largely unknown. The aim of this study is to understand the extent to which scientific research programs can enhance trust among marine protected area (MPA) managers and community members via an evaluation of the Ningaloo Research Program - a large-scale program of marine research in the Ningaloo Marine Park. Results from a survey of 125 local residents show that community members along the Ningaloo coast believe that scientific research is important for the management of the marine park, and strongly support government investment in scientific research in the region. Results also suggest that science undertaken through the Ningaloo Research Program has increased the extent to which community members trust local managers, which study participants believe has led to improved social and environmental outcomes in the region. Finally, additional opportunities are identified to maintain and further enhance trust between community members and MPA managers, via targeted communication and engagement programs that account for different personality 'types'. In particular, the establishment of citizen science programs might further build trust. These results suggest that scientific research could be used as a means to increase trust among decision-makers and community members when coupled with an effective communication and outreach program, thus enhancing the success of participatory marine governance arrangements.</t>
  </si>
  <si>
    <t>[Cvitanovic, C.; van Putten, E. I.; Hobday, A. J.; Mackay, M.; Kelly, R.; McDonald, J.] Univ Tasmania, Ctr Marine Socioecol, Battery Point, Tas 7004, Australia; [van Putten, E. I.; Hobday, A. J.] CSIRO, Oceans &amp; Atmosphere, Hobart, Tas 7001, Australia; [Mackay, M.] Univ Tasmania, Tasmanian Sch Business &amp; Econ, Sandy Bay, Tas 7004, Australia; [Kelly, R.] Univ Tasmania, Inst Marine &amp; Antarctic Studies, Battery Point, Tas 7004, Australia; [McDonald, J.] Univ Tasmania, Fac Law, Sandy Bay, Tas 7004, Australia; [Waples, K.] Dept Biodivers Conservat &amp; Attract, Marine Sci Program, Kensington, WA, Australia; [Waples, K.] Western Australian Marine Sci Inst, Crawley, WA, Australia; [Barnes, P.] Dept Biodivers Conservat &amp; Attract, Exmouth, WA, Australia</t>
  </si>
  <si>
    <t>University of Tasmania; Commonwealth Scientific &amp; Industrial Research Organisation (CSIRO); University of Tasmania; University of Tasmania; University of Tasmania; Western Australian Marine Science Institution (WAMSI)</t>
  </si>
  <si>
    <t>Cvitanovic, C (corresponding author), Univ Tasmania, Ctr Marine Socioecol, Battery Point, Tas 7004, Australia.</t>
  </si>
  <si>
    <t>christopher.cvitanovic@utas.edu.au</t>
  </si>
  <si>
    <t>Waples, Kelly/JXO-0148-2024; Kelly, Rachel/U-8836-2019; Hobday, Alistair/A-1460-2012; McDonald, Jan/J-7204-2014</t>
  </si>
  <si>
    <t>Kelly, Rachel/0000-0002-8364-1836; McDonald, Jan/0000-0002-7953-1458; Cvitanovic, Christopher/0000-0002-2565-3396; Mackay, Mary/0000-0003-0175-4237</t>
  </si>
  <si>
    <t>Western Australian Department of Biodiversity, Conservation and Attractions; Western Australian Marine Science Institution; Centre for Marine Socioecology at the University of Tasmania</t>
  </si>
  <si>
    <t>We thank A. Kendrick for his guidance and input into the design of this study and efforts in facilitating this research. We also thank N. Marshall and S.K. Wilson for insightful discussions that improved the manuscript, and the anonymous reviewer who provided comments that improved the manuscript. Finally, we thank all participants who took part in the survey. Financial support was provided by the Western Australian Department of Biodiversity, Conservation and Attractions, the Western Australian Marine Science Institution and the Centre for Marine Socioecology at the University of Tasmania.</t>
  </si>
  <si>
    <t>10.1016/j.marpol.2018.04.010</t>
  </si>
  <si>
    <t>WOS:000434752900023</t>
  </si>
  <si>
    <t>Vera, EI; Césari, SN</t>
  </si>
  <si>
    <t>Ignacio Vera, Ezequiel; Nelida Cesari, Silvia</t>
  </si>
  <si>
    <t>Cyathealean Antarctic ferns from the Aptian Cerro Negro Formation: Rafaherbstia nishidai gen. et sp nov and associated fertile organs</t>
  </si>
  <si>
    <t>REVIEW OF PALAEOBOTANY AND PALYNOLOGY</t>
  </si>
  <si>
    <t>Cyatheales; Tree ferns; Anatomy; Byers; Paleobotany</t>
  </si>
  <si>
    <t>SOUTH SHETLAND ISLANDS; TREE FERNS; LIVINGSTON ISLAND; BYERS PENINSULA; VOLCANIC ARC; CYATHEACEAE; CLASSIFICATION; PALEOECOLOGY; OSMUNDACEAE; VEGETATION</t>
  </si>
  <si>
    <t>New remains corresponding to Cyathealean tree ferns are described for the Aptian Cerro Negro Formation at Byers Peninsula, Livingston Island (South Shetland Islands, Antarctica). A new genus and species, Rafaherbstia nishidai, is proposed for several permineralized dictyostelic stems characterized by a heterogeneous pith with a central star-shaped sclerenchyma mass, U-shaped meristeles developing small hooks at the margins of the leaf gap, sclerenchyma sheaths surrounding the vascular strands, and leaf traces omega-shaped and multi parted. The new taxon shows a combination of features that preclude its placement in one of the eight recognized families of Cyatheales, supporting that previous diversity of tree ferns was higher than in modern times. Fragmentary isolated sori with preserved sporangia containing trilete spores, recovered from the sedimentary matrix surrounding the stems, are also described. These new tree ferns increase the diversity of Cyatheales in the Cerro Negro Formation, and support warm climatic conditions in this region during the Aptian. (C) 2018 Elsevier B.V. All rights reserved.</t>
  </si>
  <si>
    <t>[Ignacio Vera, Ezequiel; Nelida Cesari, Silvia] Consejo Nacl Invest Cient &amp; Tecn, Museo Argentino Ciencias Nat Bernardino Rivadavia, Av Angel Gallardo 470,C1405DJR, Buenos Aires, DF, Argentina; [Ignacio Vera, Ezequiel] Univ Buenos Aires, Dept Geol, Area Paleontol, Pabellon 2,Ciudad Univ,C1428EGA, Buenos Aires, DF, Argentina</t>
  </si>
  <si>
    <t>Consejo Nacional de Investigaciones Cientificas y Tecnicas (CONICET); Museo Argentino de Ciencias Naturales Bernardino Rivadavia (MACN); University of Buenos Aires</t>
  </si>
  <si>
    <t>Vera, EI (corresponding author), Consejo Nacl Invest Cient &amp; Tecn, Museo Argentino Ciencias Nat Bernardino Rivadavia, Av Angel Gallardo 470,C1405DJR, Buenos Aires, DF, Argentina.</t>
  </si>
  <si>
    <t>evera@macn.gov.ar; scesari@macn.gov.ar</t>
  </si>
  <si>
    <t>Vera, Ezequiel/0000-0002-0267-5277; Cesari, Silvia/0000-0001-7311-1156</t>
  </si>
  <si>
    <t>Consejo Nacional de Investigaciones Cientificas y Tecnicas - CONICET [PIP 286]; Agencia Nacional de Promotion Cientifica y Tecnologica - ANPCyT [PICT 2648]</t>
  </si>
  <si>
    <t>Consejo Nacional de Investigaciones Cientificas y Tecnicas - CONICET(Consejo Nacional de Investigaciones Cientificas y Tecnicas (CONICET)); Agencia Nacional de Promotion Cientifica y Tecnologica - ANPCyT(ANPCyT)</t>
  </si>
  <si>
    <t>Thanks are due to Drs. M. Remesal, F. Salani and C. Parica, who collected the specimens in a field trip of the Institute Antartico Argentino. This work was supported by the Consejo Nacional de Investigaciones Cientificas y Tecnicas - CONICET [PIP 286] and the Agencia Nacional de Promotion Cientifica y Tecnologica - ANPCyT [PICT 2648].</t>
  </si>
  <si>
    <t>0034-6667</t>
  </si>
  <si>
    <t>1879-0615</t>
  </si>
  <si>
    <t>REV PALAEOBOT PALYNO</t>
  </si>
  <si>
    <t>Rev. Palaeobot. Palynology</t>
  </si>
  <si>
    <t>10.1016/j.revpalbo.2018.04.011</t>
  </si>
  <si>
    <t>Plant Sciences; Paleontology</t>
  </si>
  <si>
    <t>GK3NB</t>
  </si>
  <si>
    <t>WOS:000436051300004</t>
  </si>
  <si>
    <t>Ramirez, RM; Levi, A</t>
  </si>
  <si>
    <t>Ramirez, Ramses M.; Levi, Amit</t>
  </si>
  <si>
    <t>The ice cap zone: a unique habitable zone for ocean worlds</t>
  </si>
  <si>
    <t>astrobiology; planets and satellites: atmospheres; stars: low-mass</t>
  </si>
  <si>
    <t>EARTH-MASS PLANETS; COLLISION-INDUCED ABSORPTION; ANTARCTIC SEA-ICE; EARLY MARS; RUNAWAY GREENHOUSE; ALBEDO FEEDBACK; M DWARFS; CO2; CLIMATE; STARS</t>
  </si>
  <si>
    <t>Traditional definitions of the habitable zone assume that habitable planets contain a carbonate-silicate cycle that regulates CO2 between the atmosphere, surface, and the interior. Such theories have been used to cast doubt on the habitability of ocean worlds. However, Levi et al. have recently proposed a mechanism by which CO2 is mobilized between the atmosphere and the interior of an ocean world. At high enough CO2 pressures, sea ice can become enriched in CO2 clathrates and sink after a threshold density is achieved. The presence of subpolar sea ice is of great importance for habitability in ocean worlds. It may moderate the climate and is fundamental in current theories of life formation in diluted environments. Here, we model the Levi et al. mechanism and use latitudinally dependent non-grey energy balance and single-column radiative-convective climate models and find that this mechanism may be sustained on ocean worlds that rotate at least 3 times faster than the Earth. We calculate the circumstellar region in which this cycle may operate for G-M stars (T-eff = 2600-5800 K), extending from similar to 1.23-1.65, 0.69-0.954, 0.38-0.528, 0.219-0.308, 0.146-0.206, and 0.0428-0.0617 au for G2, K2, M0, M3, M5, and M8 stars, respectively. However, unless planets are very young and not tidally locked, our mechanism would be unlikely to apply to stars cooler than a similar to M3. We predict C/O ratios for our atmospheres (similar to 0.5) that can be verified by the James Webb Space Telescope mission.</t>
  </si>
  <si>
    <t>[Ramirez, Ramses M.] Tokyo Inst Technol, Earth Life Sci Inst, Tokyo 1528550, Japan; [Levi, Amit] Harvard Smithsonian Ctr Astrophys, 60 Garden St, Cambridge, MA 02138 USA</t>
  </si>
  <si>
    <t>Tokyo Institute of Technology; Smithsonian Astrophysical Observatory; Harvard University; Smithsonian Institution</t>
  </si>
  <si>
    <t>Ramirez, RM (corresponding author), Tokyo Inst Technol, Earth Life Sci Inst, Tokyo 1528550, Japan.;Levi, A (corresponding author), Harvard Smithsonian Ctr Astrophys, 60 Garden St, Cambridge, MA 02138 USA.</t>
  </si>
  <si>
    <t>rramirez@elsi.jp; amitlevi.planetphys@gmail.com</t>
  </si>
  <si>
    <t>Ramirez, Ramses/AHD-3594-2022; Ramirez, Ramses/T-4201-2017</t>
  </si>
  <si>
    <t>Ramirez, Ramses/0000-0001-7553-8444; Ramirez, Ramses/0000-0001-7553-8444; LEVI, AMIT/0000-0003-1080-1007</t>
  </si>
  <si>
    <t>Simons Collaboration on the Origin of Life [290357, 290360]; Carl Sagan Institute; Earth-Life Science Institute</t>
  </si>
  <si>
    <t>Simons Collaboration on the Origin of Life; Carl Sagan Institute; Earth-Life Science Institute</t>
  </si>
  <si>
    <t>We thank Mercedes Lopez-Morales and James F. Kasting for fruitful discussions regarding C/O ratios and JWST observations. We also acknowledge helpful conservations with Lisa Kaltenegger and Dimitar Sasselov. We also thank the anonymous referee for constructive comments which improved our manuscript. Both RMR and AL acknowledge support by the Simons Collaboration on the Origin of Life (SCOL No. 290357, L.K. and SCOL No. 290360). RMR also acknowledges support by the Carl Sagan Institute and the Earth-Life Science Institute.</t>
  </si>
  <si>
    <t>10.1093/mnras/sty761</t>
  </si>
  <si>
    <t>GJ8HN</t>
  </si>
  <si>
    <t>WOS:000435630100026</t>
  </si>
  <si>
    <t>Lazzara, MA; Powers, JG; Costanza, CA; Bromwich, DH; Carpentier, S; Colwell, SR</t>
  </si>
  <si>
    <t>Lazzara, Matthew A.; Powers, Jordan G.; Costanza, Carol A.; Bromwich, David H.; Carpentier, Scott; Colwell, Steve R.</t>
  </si>
  <si>
    <t>The 12th Workshop on Antarctic Meteorology and Climate</t>
  </si>
  <si>
    <t>ADVANCES IN ATMOSPHERIC SCIENCES</t>
  </si>
  <si>
    <t>[Lazzara, Matthew A.] Madison Area Tech Coll, Sch Arts &amp; Sci, Dept Phys Sci, Madison, WI 53704 USA; [Lazzara, Matthew A.; Costanza, Carol A.] Univ Wisconsin Madison, Space Sci &amp; Engn Ctr, Antarctic Meteorol Res Ctr, Madison, WI 53706 USA; [Powers, Jordan G.] Natl Ctr Atmospher Res, Boulder, CO 80300 USA; [Bromwich, David H.] Ohio State Univ, Polar Meteorol Grp, Byrd Polar &amp; Climate Res Ctr, Columbus, OH 43210 USA; [Carpentier, Scott] Bur Meteorol, Hobart, Tas 7000, Australia; [Colwell, Steve R.] British Antarctic Survey, Cambridge CB3 0ET, England</t>
  </si>
  <si>
    <t>University of Wisconsin System; University of Wisconsin Madison; National Center Atmospheric Research (NCAR) - USA; University System of Ohio; Ohio State University; Bureau of Meteorology - Australia; UK Research &amp; Innovation (UKRI); Natural Environment Research Council (NERC); NERC British Antarctic Survey</t>
  </si>
  <si>
    <t>Lazzara, MA (corresponding author), Madison Area Tech Coll, Sch Arts &amp; Sci, Dept Phys Sci, Madison, WI 53704 USA.;Lazzara, MA (corresponding author), Univ Wisconsin Madison, Space Sci &amp; Engn Ctr, Antarctic Meteorol Res Ctr, Madison, WI 53706 USA.</t>
  </si>
  <si>
    <t>mlazzara@madisoncollege.edu</t>
  </si>
  <si>
    <t>Lazzara, Matthew/0000-0002-4343-498X</t>
  </si>
  <si>
    <t>Office of Polar Programs, Geoscience Directorate, National Science Foundation [PLR-1625904, PLR-1543305, PLR-1535632]; National Center for Atmospheric Research and its Mesoscale and Microscale Meteorology Laboratory; NERC [bas0100032] Funding Source: UKRI</t>
  </si>
  <si>
    <t>Office of Polar Programs, Geoscience Directorate, National Science Foundation; National Center for Atmospheric Research and its Mesoscale and Microscale Meteorology Laboratory; NERC(UK Research &amp; Innovation (UKRI)Natural Environment Research Council (NERC))</t>
  </si>
  <si>
    <t>The authors wish to thank IAMAS/ICPM, SCAR and WMO for their travel support of graduate students and young scientists' participation in this workshop. Support from the Office of Polar Programs, Geoscience Directorate, National Science Foundation via grants #PLR-1625904, #PLR-1543305, and #PLR-1535632 is appreciated. The authors also wish to thank the National Center for Atmospheric Research and its Mesoscale and Microscale Meteorology Laboratory for hosting the workshop and providing support for it.</t>
  </si>
  <si>
    <t>0256-1530</t>
  </si>
  <si>
    <t>1861-9533</t>
  </si>
  <si>
    <t>ADV ATMOS SCI</t>
  </si>
  <si>
    <t>Adv. Atmos. Sci.</t>
  </si>
  <si>
    <t>10.1007/s00376-018-8061-2</t>
  </si>
  <si>
    <t>GG4UH</t>
  </si>
  <si>
    <t>WOS:000432691200001</t>
  </si>
  <si>
    <t>Zheng, F; Li, JP; Kucharski, F; Ding, RQ; Liu, T</t>
  </si>
  <si>
    <t>Zheng, Fei; Li, Jianping; Kucharski, Fred; Ding, Ruiqiang; Liu, Ting</t>
  </si>
  <si>
    <t>Dominant SST Mode in the Southern Hemisphere Extratropics and Its Influence on Atmospheric Circulation</t>
  </si>
  <si>
    <t>extratropical sea surface temperature; air-sea interaction; Southern Annular Mode</t>
  </si>
  <si>
    <t>INTERTROPICAL CONVERGENCE ZONE; NORTH-ATLANTIC OSCILLATION; ANNULAR MODE; ANTARCTIC OSCILLATION; WINTER PRECIPITATION; GENERAL-CIRCULATION; CLIMATE-CHANGE; SEA-ICE; OCEAN; VARIABILITY</t>
  </si>
  <si>
    <t>The variability in the Southern Ocean (SO) sea surface temperature (SST) has drawn increased attention due to its unique physical features; therefore, the temporal characteristics of the SO SST anomalies (SSTA) and their influence on extratropical atmospheric circulation are addressed in this study. Results from empirical orthogonal function analysis show that the principal mode of the SO SSTA exhibits a dipole-like structure, suggesting a negative correlation between the SSTA in the middle and high latitudes, which is referred to as the SO Dipole (SOD) in this study. The SOD features strong zonal symmetry, and could reflect more than 50% of total zonal-mean SSTA variability. We find that stronger (weaker) Subantarctic and Antarctic polar fronts are related to the positive (negative) phases of the SOD index, as well as the primary variability of the large-scale SO SSTA meridional gradient. During December-January-February, the Ferrel cell and the polar jet shift toward the Antarctic due to changes in the SSTA that could be associated with a positive phase of the SOD, and are also accompanied by a poleward shift of the subtropical jet. During June-July-August, in association with a positive SOD, the Ferrel cell and the polar jet are strengthened, accompanied by a strengthened subtropical jet. These seasonal differences are linked to the differences in the configuration of the polar jet and the subtropical jet in the Southern Hemisphere.</t>
  </si>
  <si>
    <t>[Zheng, Fei; Ding, Ruiqiang] Chinese Acad Sci, Inst Atmospher Phys, State Key Lab Numer Modeling Atmospher Sci &amp; Geop, Beijing 100029, Peoples R China; [Li, Jianping] Beijing Normal Univ, State Key Lab Earth Surface Proc &amp; Resource Ecol, Beijing 100875, Peoples R China; [Li, Jianping] Beijing Normal Univ, Coll Global Change &amp; Earth Syst Sci, Beijing 100875, Peoples R China; [Li, Jianping] Qingdao Natl Lab Marine Sci &amp; Technol, Lab Reg Oceanog &amp; Numer Modeling, Qingdao 266237, Peoples R China; [Kucharski, Fred] Abdus Salam Int Ctr Theoret Phys, Earth Syst Phys Sect, I-34151 Trieste, Italy; [Kucharski, Fred] King Abdulaziz Univ, Dept Meteorol, Ctr Excellence Climate Change Res, Jeddah 21589, Saudi Arabia; [Ding, Ruiqiang] Chengdu Univ Informat Technol, Plateau Atmosphere &amp; Environm Key Lab Sichuan Pro, Chengdu 610103, Sichuan, Peoples R China; [Liu, Ting] Second Inst Oceanog, State Key Lab Satellite Ocean Environm Dynam, Hangzhou 310012, Zhejiang, Peoples R China</t>
  </si>
  <si>
    <t>Chinese Academy of Sciences; Institute of Atmospheric Physics, CAS; Beijing Normal University; Beijing Normal University; Laoshan Laboratory; Abdus Salam International Centre for Theoretical Physics (ICTP); King Abdulaziz University; Chengdu University of Information Technology; Ministry of Natural Resources of the People's Republic of China; Second Institute of Oceanography, Ministry of Natural Resources</t>
  </si>
  <si>
    <t>Zheng, F (corresponding author), Chinese Acad Sci, Inst Atmospher Phys, State Key Lab Numer Modeling Atmospher Sci &amp; Geop, Beijing 100029, Peoples R China.</t>
  </si>
  <si>
    <t>zhengfei08@mail.iap.ac.cn</t>
  </si>
  <si>
    <t>Ding, Ruiqiang/AAF-9948-2021; Kucharski, Fred/HKV-9960-2023; Zheng, Fei/AAV-7512-2021; Zheng, Fei/AAQ-4559-2020; Li, Jianping/I-2661-2012</t>
  </si>
  <si>
    <t>Ding, Ruiqiang/0000-0003-4139-3843; Zheng, Fei/0000-0001-6135-6148; Zheng, Fei/0000-0001-6135-6148; Kucharski, Fred/0000-0002-8710-8051; Li, Jianping/0000-0003-0625-1575</t>
  </si>
  <si>
    <t>National Natural Science Foundation of China NSFC project [41405086]; strategic priority research program grant of the Chinese Academy of Sciences [XDA19070402]; NSFC [41775090, 41705049]</t>
  </si>
  <si>
    <t>National Natural Science Foundation of China NSFC project(National Natural Science Foundation of China (NSFC)); strategic priority research program grant of the Chinese Academy of Sciences; NSFC(National Natural Science Foundation of China (NSFC))</t>
  </si>
  <si>
    <t>The authors would like to thank the editor and the anonymous reviewers for their comments and suggestions, which significantly contributed to improving the manuscript. This work was jointly supported by a National Natural Science Foundation of China NSFC project (Grant No. 41405086), the strategic priority research program grant of the Chinese Academy of Sciences (Grant No. XDA19070402), and the NSFC projects (41775090, 41705049). The NCEP/NCAR atmospheric reanalysis datasets are available at http://www.esrl.noaa.gov/psd/. We acknowledge the World Climate Research Programme's Working Group on Coupled Modelling, which is responsible for CMIP, and we thank the climate modeling groups for producing and making available their model output.</t>
  </si>
  <si>
    <t>10.1007/s00376-017-7162-7</t>
  </si>
  <si>
    <t>WOS:000432691200011</t>
  </si>
  <si>
    <t>Miller, A</t>
  </si>
  <si>
    <t>Miller, Amanda</t>
  </si>
  <si>
    <t>Satellites lend confidence to report of Antarctic ice loss</t>
  </si>
  <si>
    <t>AEROSPACE AMERICA</t>
  </si>
  <si>
    <t>agmiller@outlook.com</t>
  </si>
  <si>
    <t>AMER INST AERONAUTICS ASTRONAUTICS</t>
  </si>
  <si>
    <t>RESTON</t>
  </si>
  <si>
    <t>1801 ALEXANDER BELL DRIVE, STE 500, RESTON, VA 22091-4344 USA</t>
  </si>
  <si>
    <t>0740-722X</t>
  </si>
  <si>
    <t>AEROSPACE AM</t>
  </si>
  <si>
    <t>Aerosp. Am.</t>
  </si>
  <si>
    <t>Engineering, Aerospace</t>
  </si>
  <si>
    <t>GV3WI</t>
  </si>
  <si>
    <t>WOS:000446028300003</t>
  </si>
  <si>
    <t>Hinojosa, IA; Gardner, C; Green, BS; Jeffs, A</t>
  </si>
  <si>
    <t>Hinojosa, Ivan A.; Gardner, Caleb; Green, Bridget S.; Jeffs, Andrew</t>
  </si>
  <si>
    <t>Coastal chemical cues for settlement of the southern rock lobster, Jasus edwardsii</t>
  </si>
  <si>
    <t>BULLETIN OF MARINE SCIENCE</t>
  </si>
  <si>
    <t>11th International Conference and Workshop on Lobster Biology and Management (ICWL)</t>
  </si>
  <si>
    <t>JUN 04-09, 2017</t>
  </si>
  <si>
    <t>Portland, ME</t>
  </si>
  <si>
    <t>SPINY LOBSTER; POPULATION CONNECTIVITY; PUERULUS SETTLEMENT; LARVAL DISPERSAL; PATTERNS; RECRUITMENT; HABITATS; BEHAVIOR; FISHERY; REEF</t>
  </si>
  <si>
    <t>Larval behavior plays an important role in dispersal and settlement of marine organisms with cues from the environment often providing crucial guidance for facilitating these processes. The postlarvae, or pueruli, of the southern rock lobster, Jasus edwardsii (Hutton, 1875), are known to migrate over long distances from oceanic water and settle on coastal reefs using a combination of onshore transport and active nocturnal swimming. In laboratory experiments, we examined environmental cues used for this migration, specifically whether chemical cues in coastal vs oceanic seawater influenced their swimming orientation and their rate of development to juveniles. In total, 66% of pueruli actively swam toward coastal water rather than oceanic water (n = 41), indicating that they may use chemical cues in their settlement processes. Holding pueruli in coastal water vs artificial seawater did not expedite the development of pueruli to benthic juvenile stage, indicating that other cues could be important to the final settlement process. The present study suggests that chemical cues are being used in settlement processes during the onshore migration to settlement sites in this ecologically and economically important species.</t>
  </si>
  <si>
    <t>[Hinojosa, Ivan A.; Gardner, Caleb; Green, Bridget S.] Univ Tasmania, Inst Marine &amp; Antarctic Studies, Taroona, Tas 7053, Australia; [Hinojosa, Ivan A.] Univ Catolica Norte, Fac Ciencias Mar, Dept Biol Marina, Coquimbo, Chile; [Hinojosa, Ivan A.] Millennium Nucleus Ecol &amp; Sustainable Management, Coquimbo, Chile; [Hinojosa, Ivan A.] Univ Catolica Santisima Concepcion, Fac Ciencias, Dept Ecol, Concepcion, Chile; [Jeffs, Andrew] Univ Auckland, Sch Biol Sci, Auckland, New Zealand; [Jeffs, Andrew] Univ Auckland, Inst Marine Sci, Auckland, New Zealand</t>
  </si>
  <si>
    <t>University of Tasmania; Universidad Catolica del Norte; Universidad Catolica de la Santisima Concepcion; University of Auckland; University of Auckland</t>
  </si>
  <si>
    <t>Hinojosa, IA (corresponding author), Univ Tasmania, Inst Marine &amp; Antarctic Studies, Taroona, Tas 7053, Australia.;Hinojosa, IA (corresponding author), Univ Catolica Norte, Fac Ciencias Mar, Dept Biol Marina, Coquimbo, Chile.;Hinojosa, IA (corresponding author), Millennium Nucleus Ecol &amp; Sustainable Management, Coquimbo, Chile.;Hinojosa, IA (corresponding author), Univ Catolica Santisima Concepcion, Fac Ciencias, Dept Ecol, Concepcion, Chile.</t>
  </si>
  <si>
    <t>ihinojosa@ucsc.cl</t>
  </si>
  <si>
    <t>Hinojosa, Ivan Andres/AAQ-7445-2020; Hinojosa, Ivan/ABC-8915-2021; Jeffs, Andrew G/D-9474-2012</t>
  </si>
  <si>
    <t>Hinojosa, Ivan Andres/0000-0002-9752-4374; Hinojosa, Ivan/0000-0002-9752-4374; Jeffs, Andrew/0000-0002-8504-1949</t>
  </si>
  <si>
    <t>PhD scholarship BECAS-Chile program; Australian Research Council [LP120200164, LP150100064]; ANZ Trustees program Holsworth Wildlife Research Endowment; Chilean Millennium Initiative, ESMOI; FONDECYT [3170392]; Australian Research Council [LP120200164] Funding Source: Australian Research Council</t>
  </si>
  <si>
    <t>PhD scholarship BECAS-Chile program; Australian Research Council(Australian Research Council); ANZ Trustees program Holsworth Wildlife Research Endowment; Chilean Millennium Initiative, ESMOI; FONDECYT(Comision Nacional de Investigacion Cientifica y Tecnologica (CONICYT)CONICYT FONDECYT); Australian Research Council(Australian Research Council)</t>
  </si>
  <si>
    <t>We thank R Colquhoun, D Fallon, K Cahill, G Ewing, S Pyke, H Jones, and J Keane for assistance in the field collecting pueruli. We thank also A Pender and J Beard for providing the field trips to collect oceanic water. Funding for this research has been provided by the PhD scholarship BECAS-Chile program to IAH, the Australian Research Council Linkage projects (Project No. LP120200164) from BSG, and (Project No. LP150100064) from AJ, the ANZ Trustees program Holsworth Wildlife Research Endowment. We also thank the funding by the Chilean Millennium Initiative, ESMOI, and partial support from FONDECYT through grant 3170392 during the preparation of the final manuscript. The authors thank two anonymous reviewers for their comments that improved the manuscript.</t>
  </si>
  <si>
    <t>ROSENSTIEL SCH MAR ATMOS SCI</t>
  </si>
  <si>
    <t>MIAMI</t>
  </si>
  <si>
    <t>4600 RICKENBACKER CAUSEWAY, MIAMI, FL 33149 USA</t>
  </si>
  <si>
    <t>0007-4977</t>
  </si>
  <si>
    <t>1553-6955</t>
  </si>
  <si>
    <t>B MAR SCI</t>
  </si>
  <si>
    <t>Bull. Mar. Sci.</t>
  </si>
  <si>
    <t>10.5343/bms.2017.1136</t>
  </si>
  <si>
    <t>GW8TW</t>
  </si>
  <si>
    <t>WOS:000447254900009</t>
  </si>
  <si>
    <t>Griffiths, CA; Patterson, TA; Blanchard, JL; Righton, DA; Wright, SR; Pitchford, JW; Blackwell, PG</t>
  </si>
  <si>
    <t>Griffiths, Christopher A.; Patterson, Toby A.; Blanchard, Julia L.; Righton, David A.; Wright, Serena R.; Pitchford, Jon W.; Blackwell, Paul G.</t>
  </si>
  <si>
    <t>Scaling marine fish movement behavior from individuals to populations</t>
  </si>
  <si>
    <t>Atlantic cod; data storage tags; European plaice; hidden Markov modeling; movement behavior; population-level patterns; priors</t>
  </si>
  <si>
    <t>HIDDEN MARKOV-MODELS; COD GADUS-MORHUA; NORTH-SEA; ANIMAL MOVEMENT; ATLANTIC COD; SATELLITE TELEMETRY; MIGRATORY BEHAVIOR; TRACKING; CONSERVATION; TECHNOLOGY</t>
  </si>
  <si>
    <t>Understanding how, where, and when animals move is a central problem in marine ecology and conservation. Key to improving our knowledge about what drives animal movement is the rising deployment of telemetry devices on a range of free-roaming species. An increasingly popular way of gaining meaningful inference from an animal's recorded movements is the application of hidden Markov models (HMMs), which allow for the identification of latent behavioral states in the movement paths of individuals. However, the use of HMMs to explore the population-level consequences of movement is often limited by model complexity and insufficient sample sizes. Here, we introduce an alternative approach to current practices and provide evidence of how the inclusion of prior information in model structure can simplify the application of HMMs to multiple animal movement paths with two clear benefits: (a) consistent state allocation and (b) increases in effective sample size. To demonstrate the utility of our approach, we apply HMMs and adapted HMMs to over 100 multivariate movement paths consisting of conditionally dependent daily horizontal and vertical movements in two species of demersal fish: Atlantic cod (Gadus morhua; n=46) and European plaice (Pleuronectes platessa; n=61). We identify latent states corresponding to two main underlying behaviors: resident and migrating. As our analysis considers a relatively large sample size and states are allocated consistently, we use collective model output to investigate state-dependent spatiotemporal trends at the individual and population levels. In particular, we show how both species shift their movement behaviors on a seasonal basis and demonstrate population space use patterns that are consistent with previous individual-level studies. Tagging studies are increasingly being used to inform stock assessment models, spatial management strategies, and monitoring of marine fish populations. Our approach provides a promising way of adding value to tagging studies because inferences about movement behavior can be gained from a larger proportion of datasets, making tagging studies more relevant to management and more cost-effective.</t>
  </si>
  <si>
    <t>[Griffiths, Christopher A.; Blackwell, Paul G.] Univ Sheffield, Sch Math &amp; Stat, Sheffield, S Yorkshire, England; [Griffiths, Christopher A.; Blanchard, Julia L.] Univ Tasmania, Inst Marine &amp; Antarctic Studies, Hobart, Tas, Australia; [Griffiths, Christopher A.; Righton, David A.; Wright, Serena R.] Lowestoft Lab, Ctr Environm Fisheries &amp; Aquaculture Sci, Lowestoft, Suffolk, England; [Patterson, Toby A.] CSIRO Marine &amp; Atmospher Res, Hobart, Tas, Australia; [Pitchford, Jon W.] Univ York, Dept Biol, York, N Yorkshire, England</t>
  </si>
  <si>
    <t>University of Sheffield; University of Tasmania; Centre for Environment Fisheries &amp; Aquaculture Science; Commonwealth Scientific &amp; Industrial Research Organisation (CSIRO); University of York - UK</t>
  </si>
  <si>
    <t>Griffiths, CA (corresponding author), Univ Sheffield, Sch Math &amp; Stat, Sheffield, S Yorkshire, England.</t>
  </si>
  <si>
    <t>cagriffiths1@sheffield.ac.uk</t>
  </si>
  <si>
    <t>Righton, David/D-6140-2013; Blanchard, Julia L/E-4919-2010; Blackwell, Paul/F-2885-2017; Patterson, Toby A/B-3836-2011; Griffiths, Christopher Alan/AAG-9251-2019</t>
  </si>
  <si>
    <t>Griffiths, Christopher Alan/0000-0001-7203-0426; Wright, Serena/0000-0003-4912-1455; Patterson, Toby/0000-0002-7150-9205; Blanchard, Julia/0000-0003-0532-4824; Righton, David/0000-0001-8643-3672</t>
  </si>
  <si>
    <t>Natural Environment Research Council [NE/L002450/1]</t>
  </si>
  <si>
    <t>Natural Environment Research Council(UK Research &amp; Innovation (UKRI)Natural Environment Research Council (NERC))</t>
  </si>
  <si>
    <t>Natural Environment Research Council, Grant/Award Number: NE/L002450/1</t>
  </si>
  <si>
    <t>10.1002/ece3.4223</t>
  </si>
  <si>
    <t>GO6GU</t>
  </si>
  <si>
    <t>WOS:000440138400017</t>
  </si>
  <si>
    <t>Young, EF; Tysklind, N; Meredith, MP; de Bruyn, M; Belchier, M; Murphy, EJ; Carvalho, GR</t>
  </si>
  <si>
    <t>Young, Emma F.; Tysklind, Niklas; Meredith, Michael P.; de Bruyn, Mark; Belchier, Mark; Murphy, Eugene J.; Carvalho, Gary R.</t>
  </si>
  <si>
    <t>Stepping stones to isolation: Impacts of a changing climate on the connectivity of fragmented fish populations</t>
  </si>
  <si>
    <t>EVOLUTIONARY APPLICATIONS</t>
  </si>
  <si>
    <t>Champsocephalus gunnari; connectivity; individual-based modelling; Notothenia rossii; ocean warming; population genetics; Scotia Sea</t>
  </si>
  <si>
    <t>ICEFISH CHAMPSOCEPHALUS-GUNNARI; ANTARCTIC CIRCUMPOLAR CURRENT; SOUTH SHETLAND ISLANDS; GENE FLOW; LARVAL DISPERSAL; MACKEREL ICEFISH; NOTOTHENIOID FISH; LOCAL ADAPTATION; SEASCAPE GENETICS; GLOBAL OCEAN</t>
  </si>
  <si>
    <t>In the marine environment, understanding the biophysical mechanisms that drive variability in larval dispersal and population connectivity is essential for estimating the potential impacts of climate change on the resilience and genetic structure of populations. Species whose populations are small, isolated and discontinuous in distribution will differ fundamentally in their response and resilience to environmental stress, compared with species that are broadly distributed, abundant and frequently exchange conspecifics. Here, we use an individual-based modelling approach, combined with a population genetics projection model, to consider the impacts of a warming climate on the population connectivity of two contrasting Antarctic fish species, Notothenia rossii and Champsocephalus gunnari. Focussing on the Scotia Sea region, sea surface temperatures are predicted to increase significantly by the end of the 21st century, resulting in reduced planktonic duration and increased egg and larval mortality. With shorter planktonic durations, the results of our study predict reduced dispersal of both species across the Scotia Sea, from Antarctic Peninsula sites to islands in the north and east, and increased dispersal among neighbouring sites, such as around the Antarctic Peninsula. Increased mortality modified the magnitude of population connectivity but had little effect on the overall patterns. Whilst the predicted changes in connectivity had little impact on the projected regional population genetic structure of N.rossii, which remained broadly genetically homogeneous within distances of -1,500km, the genetic isolation of C.gunnari populations in the northern Scotia Sea was predicted to increase with rising sea temperatures. Our study highlights the potential for increased isolation of island populations in a warming world, with implications for the resilience of populations and their ability to adapt to ongoing environmental change, a matter of high relevance to fisheries and ecosystem-level management.</t>
  </si>
  <si>
    <t>[Young, Emma F.; Meredith, Michael P.; Belchier, Mark; Murphy, Eugene J.] British Antarctic Survey, Cambridge, England; [Tysklind, Niklas; Carvalho, Gary R.] Bangor Univ, Sch Biol Sci, Bangor, Gwynedd, Wales; [de Bruyn, Mark] Univ Sydney, Sch Life &amp; Environm Sci, Sydney, NSW, Australia; [Tysklind, Niklas] Univ Guyane, Univ Antilles, EcoFoG UMR8172, INRA,AgroParisTech,Cirad,CNRS, Kourou, France</t>
  </si>
  <si>
    <t>UK Research &amp; Innovation (UKRI); Natural Environment Research Council (NERC); NERC British Antarctic Survey; Bangor University; University of Sydney; CIRAD; Centre National de la Recherche Scientifique (CNRS); AgroParisTech; INRAE</t>
  </si>
  <si>
    <t>Young, EF (corresponding author), British Antarctic Survey, Cambridge, England.</t>
  </si>
  <si>
    <t>eyoung@bas.ac.uk</t>
  </si>
  <si>
    <t>Tysklind, Niklas/A-5275-2017; murphy, eugene/GZL-1620-2022; de Bruyn, Mark/C-5568-2008</t>
  </si>
  <si>
    <t>Tysklind, Niklas/0000-0002-6617-7875; Young, Emma/0000-0002-7069-6109; de Bruyn, Mark/0000-0003-1528-9604; Meredith, Michael/0000-0002-7342-7756</t>
  </si>
  <si>
    <t>Natural Environment Research Council [AFI06/16, NE/H023038/1, NE/H023704/1]; Investissement d'Avenir of the ANR [ANR-10-LABX-25-01]; NERC [bas0100033, NE/H023704/1, NE/H023038/1, bas0100035] Funding Source: UKRI; Natural Environment Research Council [NE/H023704/1, bas0100033, NE/H023038/1, bas0100035] Funding Source: researchfish</t>
  </si>
  <si>
    <t>Natural Environment Research Council(UK Research &amp; Innovation (UKRI)Natural Environment Research Council (NERC)); Investissement d'Avenir of the ANR(Agence Nationale de la Recherche (ANR)); NERC(UK Research &amp; Innovation (UKRI)Natural Environment Research Council (NERC)); Natural Environment Research Council(UK Research &amp; Innovation (UKRI)Natural Environment Research Council (NERC))</t>
  </si>
  <si>
    <t>Natural Environment Research Council, Grant/Award Number: AFI06/16, NE/H023038/1 and NE/H023704/1; Investissement d'Avenir of the ANR, Grant/Award Number: ANR-10-LABX-25-01</t>
  </si>
  <si>
    <t>1752-4571</t>
  </si>
  <si>
    <t>EVOL APPL</t>
  </si>
  <si>
    <t>Evol. Appl.</t>
  </si>
  <si>
    <t>10.1111/eva.12613</t>
  </si>
  <si>
    <t>Evolutionary Biology</t>
  </si>
  <si>
    <t>GJ2FH</t>
  </si>
  <si>
    <t>WOS:000435084900013</t>
  </si>
  <si>
    <t>Bakermans, C</t>
  </si>
  <si>
    <t>Bakermans, Corien</t>
  </si>
  <si>
    <t>Adaptations to marine versus terrestrial low temperature environments as revealed by comparative genomic analyses of the genus Psychrobacter</t>
  </si>
  <si>
    <t>psychrophilic; genome; phylogeny; evolution; Arctic; Antarctic</t>
  </si>
  <si>
    <t>BURKHOLDERIA-CEPACIA COMPLEX; ARCTICUS SP NOV.; MOLECULAR CHARACTERIZATION; PERMAFROST BACTERIUM; FORMING BACTERIUM; COLD; SEQUENCE; DNA; EVOLUTION; PROTEIN</t>
  </si>
  <si>
    <t>While cold-adapted bacteria isolated from marine or terrestrial low temperature environments share many similarities, cold-adapted bacteria from terrestrial environments usually grow over a broader range of temperatures suggesting different constraints of these two low temperature environments. The diversity of habitats from which Psychrobacter have been isolated (e.g. cold marine environments, frozen soils, permafrost and humans) provides a unique opportunity to examine habitat specific adaptations while reducing phylogenetic effects. Here, comparative genomic analyses of 26 strains of Psychrobacter revealed several clusters with characteristics that correlated with habitat. Marine and terrestrial Psychrobacter have amino acid composition typical of psychrophiles (e.g. fewer proline and lysine, more acidic) when compared to Psychrobacter strains associated with warm hosts, and have many potentially cold-adapted core genes (e.g. ClpX, DsbC, GroEL/GroES and MutS2). Marine and terrestrial Psychrobacter share many genes (e.g. FadB) not found in warm host Psychrobacter, which had their own distinct gene content (e.g. collagenase-like protease). Furthermore, terrestrial Psychrobacter were differentiated from marine Psychrobacter by the use of different cold adaptations and more hydrophobic and aliphatic proteins. These data suggest that terrestrial and marine Psychrobacter evolved from a mesophilic ancestor and are accumulating adaptations for low temperatures as well as for their respective habitats.</t>
  </si>
  <si>
    <t>[Bakermans, Corien] Penn State Altoona, Div Math &amp; Nat Sci, Altoona, PA USA</t>
  </si>
  <si>
    <t>Pennsylvania Commonwealth System of Higher Education (PCSHE); Pennsylvania State University</t>
  </si>
  <si>
    <t>Bakermans, C (corresponding author), Penn State Univ, 3000 Ivyside Pk, Altoona, PA 16601 USA.</t>
  </si>
  <si>
    <t>cub21@psu.edu</t>
  </si>
  <si>
    <t>Bakermans, Corien/0000-0002-3471-2570</t>
  </si>
  <si>
    <t>Office of Science of the U.S. DOE [DE-AC02-05CH11231]; U.S. Department of Energy (DOE) Joint Genome Institute (JGI) Community Sequencing Program [1143]</t>
  </si>
  <si>
    <t>Office of Science of the U.S. DOE(United States Department of Energy (DOE)); U.S. Department of Energy (DOE) Joint Genome Institute (JGI) Community Sequencing Program(United States Department of Energy (DOE))</t>
  </si>
  <si>
    <t>The Psychrobacter muriicola genome was sequenced as part of the U.S. Department of Energy (DOE) Joint Genome Institute (JGI) Community Sequencing Program, proposal ID1143. Work conducted by the JGI is supported by the Office of Science of the U.S. DOE under Contract No. DE-AC02-05CH11231. Additional thanks to N. Shapiro, T. Woyke, M. Huntemann, J. Han, A. Chen, N. Kyrpides, V. Markowitz, K. Palaniappan, N. Ivanova, N. Mikhailova, G. Ovchinnikova, A. Schaumberg, A. Pati, D. Stamatis, T. Reddy, H. P. Nordberg, M. N. Cantor and S. X. Hua of JGI.</t>
  </si>
  <si>
    <t>fiy102</t>
  </si>
  <si>
    <t>10.1093/femsec/fiy102</t>
  </si>
  <si>
    <t>WOS:000439792600020</t>
  </si>
  <si>
    <t>Collins, JR; Fredricks, HF; Bowman, JS; Ward, CP; Moreno, C; Longnecker, K; Marchetti, A; Hansel, CM; Ducklow, HW; Van Mooy, BAS</t>
  </si>
  <si>
    <t>Collins, James R.; Fredricks, Helen F.; Bowman, Jeff S.; Ward, Collin P.; Moreno, Carly; Longnecker, Krista; Marchetti, Adrian; Hansel, Colleen M.; Ducklow, Hugh W.; Van Mooy, Benjamin A. S.</t>
  </si>
  <si>
    <t>The molecular products and biogeochemical significance of lipid photooxidation in West Antarctic surface waters</t>
  </si>
  <si>
    <t>Lipid photooxidation; Oxidized lipids; Oxylipins; Intact polar diacylglycerolipids; Phosphatidylcholine; Apparent quantum yield; Lipidomics; West Antarctica; Ultraviolet radiation; Polyunsaturated fatty acids</t>
  </si>
  <si>
    <t>LIGHT-DEPENDENT DEGRADATION; MASS-SPECTROMETRY ANALYSIS; REMOTE MARINE ATMOSPHERE; ULTRAVIOLET-B RADIATION; SEA-ICE ALGAE; SINKING PARTICLES; MEMBRANE-LIPIDS; FATTY-ACIDS; UV-B; POLYUNSATURATED ALDEHYDES</t>
  </si>
  <si>
    <t>The seasonal depletion of stratospheric ozone over the Southern Hemisphere allows abnormally high doses of ultraviolet radiation (UVR) to reach surface waters of the West Antarctic Peninsula (WAP) in the austral spring, creating a natural laboratory for the study of lipid photooxidation in the shallow mixed layer of the marginal ice zone. The photooxidation of lipids under such conditions has been identified as a significant source of stress to microorganisms and short-chain fatty acids altered by photochemical processes have been found in both marine aerosols and sinking marine particle material. However, the biogeochemical impact of lipid photooxidation has not been quantitatively compared at ecosystem scale to the many other biological and abiotic processes that can transform particulate organic matter in the surface ocean. We combined results from field experiments with diverse environmental data, including high-resolution, accurate-mass HPLC-ESI-MS analysis of lipid extracts and in situ measurements of ultraviolet irradiance, to address several unresolved questions about lipid photooxidation in the marine environment. In our experiments, we used liposomes-nonliving, cell-like aggregations of lipids-to examine the photolability of various moieties of the intact polar diacylglycerol (IP-DAG) phosphatidylcholine (PC), a structural component of membranes in a broad range of microorganisms. We observed significant rates of photooxidation only when the molecule contained the polyunsaturated fatty acid (PUFA) docosahexaenoic acid (DHA). As the DHA-containing lipid was oxidized, we observed the steady ingrowth of a diversity of oxylipins and oxidized IP-DAG; our results suggest both the intact IP-DAG the degradation products were amenable to heterotrophic assimilation. To complement our experiments, we used an enhanced version of a new lipidomics discovery software package to identify the lipids in water column samples and in several diatom isolates. The galactolipid digalactosyldiacylglycerol (DGDG), the sulfolipid sulfoquinovosyldiacylglycerol (SQDG) and the phospholipids PC and phosphatidylglycerol (PG) accounted for the majority of IP-DAG in the water column particulate (&gt;= 0.2 mm) size fraction; between 3.4 and 5.3% of the IP-DAG contained fatty acids that were both highly polyunsaturated (i.e., each containing &gt;= 5 double bonds). Using a broadband apparent quantum yield (AQY) that accounted for direct and Type I (i.e., radical- mediated) photooxidation of PUFA-containing IP-DAG, we estimated that 0.7 + 0.2 mmol IP- DAG m(-2) d(-1) (0.5 +/- 0.1 mg C m(-2) d(-1)) were oxidized by photochemical processes in the mixed layer. This rate represented 4.4% (range, 3-21%) of the mean bacterial production rate measured in the same waters immediately following the retreat of the sea ice. Because our liposome experiments were not designed to account for oxidation by Type II photosensitized processes that often dominate in marine phytodetritus, our rate estimates may represent a sizeable underestimate of the true rate of lipid photooxidation in the water column. While production of such diverse oxidized lipids and oxylipins has been previously observed in terrestrial plants and mammals in response to biological stressors such as disease, we show here that a similar suite of molecules can be produced via an abiotic process in the environment and that the effect can be commensurate in magnitude with other ecosystem-scale biogeochemical processes. (C) 2018 Elsevier Ltd. All rights reserved.</t>
  </si>
  <si>
    <t>[Collins, James R.; Fredricks, Helen F.; Ward, Collin P.; Longnecker, Krista; Hansel, Colleen M.; Van Mooy, Benjamin A. S.] Woods Hole Oceanog Inst, Dept Marine Chem &amp; Geochem, Woods Hole, MA 02543 USA; [Collins, James R.] MIT WHOI Joint Program Oceanog Appl Ocean Sci &amp; E, Woods Hole, MA 02543 USA; [Bowman, Jeff S.; Ducklow, Hugh W.] Columbia Univ, Lamont Doherty Geol Observ, Div Biol &amp; Paleo Environm, Palisades, NY 10964 USA; [Moreno, Carly; Marchetti, Adrian] Univ N Carolina, Dept Marine Sci, Chapel Hill, NC 27599 USA; [Bowman, Jeff S.] Univ Calif San Diego, Scripps Inst Oceanog, La Jolla, CA 92093 USA</t>
  </si>
  <si>
    <t>Woods Hole Oceanographic Institution; Massachusetts Institute of Technology (MIT); Columbia University; University of North Carolina; University of North Carolina Chapel Hill; University of California System; University of California San Diego; Scripps Institution of Oceanography</t>
  </si>
  <si>
    <t>Collins, JR; Van Mooy, BAS (corresponding author), Univ Washington, Sch Oceanog, Seattle, WA 98195 USA.;Collins, JR; Van Mooy, BAS (corresponding author), Univ Washington, eSci Inst, Seattle, WA 98195 USA.</t>
  </si>
  <si>
    <t>james.r.collins@aya.yale.edu; bvanmooy@whoi.edu</t>
  </si>
  <si>
    <t>; Collins, James/L-8087-2017</t>
  </si>
  <si>
    <t>Ward, Collin/0000-0003-2979-0280; Marchetti, Adrian/0000-0003-4608-4775; Bowman, Jeff/0000-0002-8811-6280; Collins, James/0000-0002-5705-9682</t>
  </si>
  <si>
    <t>U.S. Environmental Protection Agency (EPA) STAR Graduate Fellowship [FP-91744301-0]; U.S. National Science Foundation [OCE-1059884, PLR-1543328]; NSF award [PLR-1341479]; Gordon and Betty Moore Foundation [GBMF3301]; WHOI Ocean Ventures Fund award</t>
  </si>
  <si>
    <t>U.S. Environmental Protection Agency (EPA) STAR Graduate Fellowship; U.S. National Science Foundation(National Science Foundation (NSF)); NSF award(National Science Foundation (NSF)); Gordon and Betty Moore Foundation(Gordon and Betty Moore Foundation); WHOI Ocean Ventures Fund award</t>
  </si>
  <si>
    <t>We thank the captains, crew, and science support staff of the ARSV Laurence M. Gould; the science support staff at Palmer Station during the 2013-2014, 2015-2016, and 2017-2018 field seasons; and many current and former PAL-LTER team members for assistance with field sampling and sample analysis. We thank Philip Gschwend and Ollie Zafiriou for discussions that focused our hypotheses and sampling plan. We also thank Kevin Becker, Peter Blandori, Jack Conroy, Nicole Couto, Julia Diaz, Scott Doney, Bethanie Edwards, Matthew Erickson, Tina Haskins, Meredith Helfrich, Oliver Ho, Fiona Hopewell, Carolyn Lipke, Elizabeth Kujawinski, Austin Melillo, Justin Ossolinski, Naomi Shelton, Jeremy Tagliaferre, and Sebastian Vivancos for various discussions and assistance. Oligotrophic seawater from the BATS site was kindly provided by Dan Repeta. Schuyler Nardelli and Oscar Schofield kindly provided the 2017 irradiance profile data from the C-OPS instrument. Assistance with data from the Antarctic Ultraviolet Monitoring Network was provided by Patrick Disterhoft and the radiation group of NOAA's Global Monitoring Division, 325 Broadway, Boulder, CO, 80303. J. R. C. acknowledges support from a U.S. Environmental Protection Agency (EPA) STAR Graduate Fellowship (Fellowship Assistance agreement FP-91744301-0). The contents of this research have not been formally reviewed by EPA. The views expressed in this manuscript are solely those of the authors, and EPA does not endorse any products or commercial services mentioned therein. This work was also supported by U.S. National Science Foundation awards OCE-1059884 and PLR-1543328 to B.A.S.V.M., NSF award PLR-1341479 to A. M., the Gordon and Betty Moore Foundation through grant GBMF3301 to B.A.S.V.M., and a WHOI Ocean Ventures Fund award to J. R. C. Field work conducted at Palmer Station and aboard the ARSV Laurence M. Gould during the 2013-2014 and 2015-2016 field seasons was supported by the Palmer LTER study (U.S. NSF awards OPP-0823101 and GEO-PLR 1440435).</t>
  </si>
  <si>
    <t>10.1016/j.gca.2018.04.030</t>
  </si>
  <si>
    <t>GG5QV</t>
  </si>
  <si>
    <t>WOS:000432751700013</t>
  </si>
  <si>
    <t>Riley, TR; Burton-Johnson, A; Flowerdew, MJ; Whitehouse, MJ</t>
  </si>
  <si>
    <t>Riley, Teal R.; Burton-Johnson, Alex; Flowerdew, Michael J.; Whitehouse, Martin J.</t>
  </si>
  <si>
    <t>Episodicity within a mid-Cretaceous magmatic flare-up in West Antarctica: U-Pb ages of the Lassiter Coast intrusive suite, Antarctic Peninsula, and correlations along the Gondwana margin</t>
  </si>
  <si>
    <t>MARIE-BYRD-LAND; LARGE IGNEOUS PROVINCE; WILEY GLACIER COMPLEX; PROTO-PACIFIC MARGIN; EASTERN PALMER LAND; NEW-ZEALAND; ZIRCON GEOCHRONOLOGY; GRANITIC MAGMATISM; SILICIC VOLCANISM; THURSTON ISLAND</t>
  </si>
  <si>
    <t>Long-lived continental margin arcs are characterized by episodes of large- volume magmatism (or flare-ups) that can persist for similar to 30 m.y. before steady-state arc conditions resume. Flare-up events are characterized by the emplacement of large-volume granodio- rite-tonalite batholiths and sometimes asso- ciated rhyodacitic ignimbrites. One of the major flare-up events of the West Gondwana margin occurred during the mid-Cretaceous and was temporally and spatially associated with widespread deformation and Pacific plate reorganization. New U-Pb geochronology from the Lassiter Coast intrusive suite in the southern Antarctic Peninsula identifies a major magmatic event in the interval 130-102 Ma that was characterized by three distinct peaks in granitoid emplacement at 130-126 Ma, 118-113 Ma, and 108-102 Ma, with clear lulls in between. Mid-Cretaceous magmatism from elsewhere in West Ant- arctica, Patagonia, and New Zealand also featured marked episodicity during the mid-Cretaceous and recorded remarkable con- tinuity along the West Gondwana margin. The three distinct magmatic events represent second-order episodicity relative to the primary episodicity that occurred on a cordillera scale and is a feature of the North and South American Pacific margin. Flare-up events require the development of a highly fusible, lower-crustal layer resulting from the continued underplating of hydrous mineralogies in the melt-fertile lower crust as a result of long-lived subduction. However, the actual trigger for melting is likely to result from external, potentially tectonic factors, e.g., rifting, plate reorganization, continental breakup, or mantle plumes.</t>
  </si>
  <si>
    <t>[Riley, Teal R.; Burton-Johnson, Alex] British Antarctic Survey, Madingley Rd, Cambridge CB3 0ET, England; [Flowerdew, Michael J.] CASP, 181A Huntingdon Rd, Cambridge CB3 0DH, England; [Whitehouse, Martin J.] Swedish Museum Nat Hist, Box 50007, SE-10405 Stockholm, Sweden</t>
  </si>
  <si>
    <t>UK Research &amp; Innovation (UKRI); Natural Environment Research Council (NERC); NERC British Antarctic Survey; University of Cambridge; Swedish Museum of Natural History</t>
  </si>
  <si>
    <t>Riley, TR (corresponding author), British Antarctic Survey, Madingley Rd, Cambridge CB3 0ET, England.</t>
  </si>
  <si>
    <t>trr@bas.ac.uk</t>
  </si>
  <si>
    <t>; Whitehouse, Martin/E-1425-2013</t>
  </si>
  <si>
    <t>Riley, Teal/0000-0002-3333-5021; Whitehouse, Martin/0000-0003-2227-577X; Flowerdew, Michael/0000-0002-9710-2593</t>
  </si>
  <si>
    <t>Natural Environmental Research Council; NERC [bas0100029] Funding Source: UKRI</t>
  </si>
  <si>
    <t>Natural Environmental Research Council(UK Research &amp; Innovation (UKRI)Natural Environment Research Council (NERC)); NERC(UK Research &amp; Innovation (UKRI)Natural Environment Research Council (NERC))</t>
  </si>
  <si>
    <t>This study is part of the British Antarctic Survey Polar Science for Planet Earth program, funded by the Natural Environmental Research Council. Malcom Airey and the air operations staff at Rothera Base are thanked for their field support. Kerstin Linden and Lev Ilyinsky are thanked for their assistance at the NORDSIM facility. This is NORDSIM contribution 528. This paper has benefited significantly from the detailed and constructive reviews of Scott Bryan and Christine Siddoway.</t>
  </si>
  <si>
    <t>10.1130/B31800.1</t>
  </si>
  <si>
    <t>WOS:000437009200009</t>
  </si>
  <si>
    <t>Müller, WA; Jungclaus, JH; Mauritsen, T; Baehr, J; Bittner, M; Budich, R; Bunzel, F; Esch, M; Ghosh, R; Haak, H; Ilyina, T; Kleine, T; Kornblueh, L; Li, H; Modali, K; Notz, D; Pohlmann, H; Roeckner, E; Stemmler, I; Tian, F; Marotzke, J</t>
  </si>
  <si>
    <t>Mueller, W. A.; Jungclaus, J. H.; Mauritsen, T.; Baehr, J.; Bittner, M.; Budich, R.; Bunzel, F.; Esch, M.; Ghosh, R.; Haak, H.; Ilyina, T.; Kleine, T.; Kornblueh, L.; Li, H.; Modali, K.; Notz, D.; Pohlmann, H.; Roeckner, E.; Stemmler, I.; Tian, F.; Marotzke, J.</t>
  </si>
  <si>
    <t>A Higher-resolution Version of the Max Planck Institute Earth System Model (MPI-ESM1.2-HR)</t>
  </si>
  <si>
    <t>JOURNAL OF ADVANCES IN MODELING EARTH SYSTEMS</t>
  </si>
  <si>
    <t>Earth System Modeling; climate variability</t>
  </si>
  <si>
    <t>MERIDIONAL OVERTURNING CIRCULATION; ANTARCTIC CIRCUMPOLAR CURRENT; GLOBAL OCEAN; NORTH-ATLANTIC; ATMOSPHERIC BLOCKING; EL-NINO; SIMULATED CLIMATE; ENSO ASYMMETRY; TRANSPORT; CMIP5</t>
  </si>
  <si>
    <t>The MPI-ESM1.2 is the latest version of the Max Planck Institute Earth System Model and is the baseline for the Coupled Model Intercomparison Project Phase 6 and current seasonal and decadal climate predictions. This paper evaluates a coupled higher-resolution version (MPI-ESM1.2-HR) in comparison with its lower-resolved version (MPI-ESM1.2-LR). We focus on basic oceanic and atmospheric mean states and selected modes of variability, the El Nino/Southern Oscillation and the North Atlantic Oscillation. The increase in atmospheric resolution in MPI-ESM1.2-HR reduces the biases of upper-level zonal wind and atmospheric jet stream position in the northern extratropics. This results in a decrease of the storm track bias over the northern North Atlantic, for both winter and summer season. The blocking frequency over the European region is improved in summer, and North Atlantic Oscillation and related storm track variations improve in winter. Stable Atlantic meridional overturning circulations are found with magnitudes of similar to 16Sv for MPI-ESM1.2-HR and similar to 20Sv for MPI-ESM1.2-LR at 26 degrees N. A strong sea surface temperature bias of similar to 5 degrees C along with a too zonal North Atlantic current is present in both versions. The sea surface temperature bias in the eastern tropical Atlantic is reduced by similar to 1 degrees C due to higher-resolved orography in MPI-ESM-HR, and the region of the cold-tongue bias is reduced in the tropical Pacific. MPI-ESM1.2-HR has a well-balanced radiation budget and its climate sensitivity is explicitly tuned to 3K. Although the obtained reductions in long-standing biases are modest, the improvements in atmospheric dynamics make this model well suited for prediction and impact studies.</t>
  </si>
  <si>
    <t>[Mueller, W. A.; Jungclaus, J. H.; Mauritsen, T.; Bittner, M.; Budich, R.; Bunzel, F.; Esch, M.; Ghosh, R.; Haak, H.; Ilyina, T.; Kornblueh, L.; Li, H.; Modali, K.; Notz, D.; Pohlmann, H.; Roeckner, E.; Stemmler, I.; Tian, F.; Marotzke, J.] Max Planck Inst Meteorol, Hamburg, Germany; [Mueller, W. A.] Deutsch Wetterdienst, Hamburg, Germany; [Baehr, J.; Kleine, T.] Univ Hamburg, Inst Oceanog CEN, Hamburg, Germany; [Tian, F.] Univ Reading, Dept Meteorol, Natl Ctr Atmospher Sci, Reading, Berks, England</t>
  </si>
  <si>
    <t>Max Planck Society; University of Hamburg; University of Reading; UK Research &amp; Innovation (UKRI); Natural Environment Research Council (NERC); NERC National Centre for Atmospheric Science</t>
  </si>
  <si>
    <t>Müller, WA (corresponding author), Max Planck Inst Meteorol, Hamburg, Germany.;Müller, WA (corresponding author), Deutsch Wetterdienst, Hamburg, Germany.</t>
  </si>
  <si>
    <t>wolfgang.mueller@mpimet.mpg.de</t>
  </si>
  <si>
    <t>Pohlmann, Holger/A-4048-2008; Li, Hongmei/L-2204-2015; Ilyina, Tatiana/ABE-9164-2020; Notz, Dirk/P-4428-2017; Mauritsen, Thorsten/HLH-2002-2023; Keyes, Dennis/AAZ-9285-2021; Li, Hongmei/I-5025-2016</t>
  </si>
  <si>
    <t>Li, Hongmei/0000-0003-2912-1837; Ilyina, Tatiana/0000-0002-3475-4842; Notz, Dirk/0000-0003-0365-5654; Li, Hongmei/0000-0003-2912-1837; Bunzel, Felix/0000-0002-2401-6176; Mauritsen, Thorsten/0000-0003-1418-4077; Modali, Kameswarrao/0000-0001-9364-6844; Bittner, Matthias/0000-0002-7368-9764</t>
  </si>
  <si>
    <t>German Ministry of Education and Research (BMBF) under the MiKlip project FLEXFORDEC [01LP1519A]; German Ministry of Education and Research (BMBF) under the MiKlip project MOVIECLIP [01LP1517B]; RACE-II project [03FO729D, 03F0651A]; Cluster of Excellence CliSAP [EXC177]; Universitat Hamburg through the German Research Foundation (DFG)</t>
  </si>
  <si>
    <t>German Ministry of Education and Research (BMBF) under the MiKlip project FLEXFORDEC(Federal Ministry of Education &amp; Research (BMBF)); German Ministry of Education and Research (BMBF) under the MiKlip project MOVIECLIP(Federal Ministry of Education &amp; Research (BMBF)); RACE-II project; Cluster of Excellence CliSAP; Universitat Hamburg through the German Research Foundation (DFG)(German Research Foundation (DFG))</t>
  </si>
  <si>
    <t>We thank T. C. Schulthess and the Swiss National Computing Centre (CSCS) for providing their computing resources at a very early stage of model tuning, which enabled us to proceed with the higher-resolution version of MPI-ESM. We also thank the German Computing Centre (DKRZ) for the provision of their computing resources and the Max Planck Society for the Advancement of Science for their long-term support. This research was supported by the German Ministry of Education and Research (BMBF) under the MiKlip projects FLEXFORDEC (W. A. M., H. P., and K. M., grant 01LP1519A) and MOVIECLIP (J. H. J., 01LP1517B), and the RACE-II project (J. H. J., 03FO729D; J. B., TK, 03F0651A). This work was also supported by the Cluster of Excellence CliSAP (EXC177), Universitat Hamburg, funded through the German Research Foundation (DFG; J. B.). The MPI-ESM model is made available to the scientific community under a version of the MPIM Software License Agreement (http://www.mpimet.mpg.de/en/science/models/license/). Model data of the described configurations is made available at Climate and Environmental Retrieval and Archive (CERA), a longterm data archive at DKRZ. We would like to thank the two anonymous reviewers for their valuable comment, and Jurgen Kroger for proofreading the manuscript.</t>
  </si>
  <si>
    <t>1942-2466</t>
  </si>
  <si>
    <t>J ADV MODEL EARTH SY</t>
  </si>
  <si>
    <t>J. Adv. Model. Earth Syst.</t>
  </si>
  <si>
    <t>10.1029/2017MS001217</t>
  </si>
  <si>
    <t>GQ7AY</t>
  </si>
  <si>
    <t>WOS:000441886300001</t>
  </si>
  <si>
    <t>Jansen, MF; Nadeau, LP; Merlis, TM</t>
  </si>
  <si>
    <t>Jansen, Malte F.; Nadeau, Louis-Philippe; Merlis, Timothy M.</t>
  </si>
  <si>
    <t>Transient versus Equilibrium Response of the Ocean's Overturning Circulation to Warming</t>
  </si>
  <si>
    <t>ANTARCTIC SEA-ICE; SOUTHERN-OCEAN; THERMOHALINE CIRCULATION; ATMOSPHERE MODEL; ATLANTIC-OCEAN; HEAT UPTAKE; STRATIFICATION; THERMOCLINE; SENSITIVITY; CO2</t>
  </si>
  <si>
    <t>Much of the existing theory for the ocean's overturning circulation considers steady-state equilibrium solutions. However, Earth's climate is not in a steady state, and a better understanding of the ocean's nonequilibrium response to changes in the surface climate is urgently needed. Here, the time-dependent response of the deep-ocean overturning circulation to atmospheric warming is examined using a hierarchy of idealized ocean models. The transient response to surface warming is characterized by a shoaling and weakening of the Atlantic meridional overturning circulation (AMOC)consistent with results from coupled climate simulations. The initial shoaling and weakening of the AMOC occurs on decadal time scales and is attributed to a rapid warming of northern-sourced deep water. The equilibrium response to warming, in contrast, is associated with a deepening and strengthening of the AMOC. The eventual deepening of the AMOC is argued to be associated with abyssal density changes and driven by modified surface fluxes in the Southern Ocean, following a reduction of the Antarctic sea ice cover. Full equilibration of the AMOC requires a diffusive adjustment of the abyss and takes many millennia. The equilibration time scale is much longer than most coupled climate model simulations, highlighting the importance of considering integration time and initial conditions when interpreting the deep-ocean circulation in climate models. The results also show that past climates are unlikely to be an adequate analog for changes in the overturning circulation during the coming decades or centuries.</t>
  </si>
  <si>
    <t>[Jansen, Malte F.] Univ Chicago, Dept Geophys Sci, 5734 S Ellis Ave, Chicago, IL 60637 USA; [Nadeau, Louis-Philippe] Univ Quebec Rimouski, Inst Sci Mer Rimouski, Rimouski, PQ, Canada; [Merlis, Timothy M.] McGill Univ, Montreal, PQ, Canada</t>
  </si>
  <si>
    <t>University of Chicago; University of Quebec; Universite du Quebec a Rimouski; McGill University</t>
  </si>
  <si>
    <t>Jansen, MF (corresponding author), Univ Chicago, Dept Geophys Sci, 5734 S Ellis Ave, Chicago, IL 60637 USA.</t>
  </si>
  <si>
    <t>mfj@uchicago.edu</t>
  </si>
  <si>
    <t>Jansen, Malte/ABB-4451-2020</t>
  </si>
  <si>
    <t>Jansen, Malte/0000-0003-3894-1124; Merlis, Timothy/0000-0002-5593-8210</t>
  </si>
  <si>
    <t>NSF [OCE-1536454]; Directorate For Geosciences; Division Of Ocean Sciences [1536454] Funding Source: National Science Foundation</t>
  </si>
  <si>
    <t>NSF(National Science Foundation (NSF)); Directorate For Geosciences; Division Of Ocean Sciences(National Science Foundation (NSF)NSF - Directorate for Geosciences (GEO))</t>
  </si>
  <si>
    <t>Computational resources for this project were generously provided by the University of Chicago Research Computing Center. M. F. J. acknowledges support from NSF Award OCE-1536454. The MITgcm is freely available at http://mitgcm.org/, and the specific configuration files used for this study are available upon request from the authors.</t>
  </si>
  <si>
    <t>10.1175/JCLI-D-17-0797.1</t>
  </si>
  <si>
    <t>GM1LB</t>
  </si>
  <si>
    <t>WOS:000437827700011</t>
  </si>
  <si>
    <t>Li, YL; Han, WQ; Wang, WQ; Zhang, L; Ravichandran, M</t>
  </si>
  <si>
    <t>Li, Yuanlong; Han, Weiqing; Wang, Wanqiu; Zhang, Lei; Ravichandran, M.</t>
  </si>
  <si>
    <t>The Indian Summer Monsoon Intraseasonal Oscillations in CFSv2 Forecasts: Biases and Importance of Improving Air-Sea Interaction Processes</t>
  </si>
  <si>
    <t>Monsoons; Sea surface temperature; Air-sea interaction; Forecasting; Intraseasonal variability</t>
  </si>
  <si>
    <t>SYSTEM VERSION 2; SURFACE TEMPERATURE VARIABILITY; BENGAL SALINITY STRATIFICATION; OCEAN-ATMOSPHERE INTERACTION; TROPICAL WESTERN PACIFIC; DIURNAL CYCLE; NORTHWARD PROPAGATION; SST VARIABILITY; SOLAR-RADIATION; COUPLED MODEL</t>
  </si>
  <si>
    <t>Northward-propagating Indian summer monsoon intraseasonal oscillations (MISOs) are a major origin of the active-break spells of the monsoon rainfall. Forecast results for 28 active and 27 break spells from the National Centers for Environmental Prediction (NCEP) Climate Forecast System, version 2 (CFSv2), during 1999-2010 are analyzed. CFSv2 forecasts are able to represent the propagation of MISOs from the equator to central India, showing improvements in many aspects compared to its previous version. Systematic biases for MISOs, however, still exist, exhibiting apparently weaker amplitude and slower northward propagation compared to observations. The eastern Arabian Sea (EAS)-western Bay of Bengal (WBB) region (EAS-WBB region; 12 degrees-20 degrees N, 65 degrees-85 degrees E) is found to be critical for the MISO prediction. In that region, the forecast and observed MISO trajectories begin to bifurcate from each other, and forecast errors grow rapidly. Further diagnosis reveals that local air-sea interaction in that region is severely underrepresented in CFSv2. Sea surface temperature (SST) response to surface heat flux forcing and convection response to SST forcing are both too weak, leading to the underestimated MISO amplitude. The relationship between precipitation and SST in CFSv2 is much more chaotic than in observation. The misrepresentation of air-sea coupling results in longer MISO periods in the EAS-WBB region, manifesting as slower propagation and delayed arrival of MISOs in central India. Refining the air-sea coupling processes is crucial for improving the CFSv2 forecast. This includes taking into account the ocean skin layer, better resolving the diurnal cycle, and improving the ocean model physics.</t>
  </si>
  <si>
    <t>[Li, Yuanlong] Chinese Acad Sci, Inst Oceanol, Key Lab Ocean Circulat &amp; Waves, Qingdao, Peoples R China; [Li, Yuanlong; Han, Weiqing; Zhang, Lei] Univ Colorado, Dept Atmospher &amp; Ocean Sci, Boulder, CO 80309 USA; [Li, Yuanlong] Qingdao Natl Lab Marine Sci &amp; Technol, Funct Lab Ocean Dynam &amp; Climate, Qingdao, Peoples R China; [Wang, Wanqiu] NOAA, Climate Predict Ctr, NWS, NCEP, College Pk, MD USA; [Ravichandran, M.] Natl Ctr Antarctic &amp; Ocean Res, Vasco De Gama, India</t>
  </si>
  <si>
    <t>Chinese Academy of Sciences; Institute of Oceanology, CAS; University of Colorado System; University of Colorado Boulder; Laoshan Laboratory; National Oceanic Atmospheric Admin (NOAA) - USA; Ministry of Earth Sciences (MoES) - India; National Centre for Polar and Ocean Research (NCPOR)</t>
  </si>
  <si>
    <t>Li, YL (corresponding author), Chinese Acad Sci, Inst Oceanol, Key Lab Ocean Circulat &amp; Waves, Qingdao, Peoples R China.;Li, YL (corresponding author), Univ Colorado, Dept Atmospher &amp; Ocean Sci, Boulder, CO 80309 USA.;Li, YL (corresponding author), Qingdao Natl Lab Marine Sci &amp; Technol, Funct Lab Ocean Dynam &amp; Climate, Qingdao, Peoples R China.</t>
  </si>
  <si>
    <t>yuanlong.li@colorado.edu</t>
  </si>
  <si>
    <t>Ravichandran, M./AAM-1351-2020; Han, Weiqing/JXN-0886-2024; Li, Yuanlong/AES-6061-2022; Zhang, Lei/JZE-6279-2024</t>
  </si>
  <si>
    <t>Li, Yuanlong/0000-0002-7239-5756;</t>
  </si>
  <si>
    <t>Earth System Science Organization, Ministry of Earth Sciences, government of India [SSC-03-002, MM/SERP/CNRS/2013/INT-10/002]; National Natural Science Foundation of China (NSFC) [41776001]; NSF [OCE-1658132]</t>
  </si>
  <si>
    <t>Earth System Science Organization, Ministry of Earth Sciences, government of India; National Natural Science Foundation of China (NSFC)(National Natural Science Foundation of China (NSFC)); NSF(National Science Foundation (NSF))</t>
  </si>
  <si>
    <t>Two anonymous reviewers provided insightful comments for improving the manuscript. The authors gratefully acknowledge the financial support given by the Earth System Science Organization, Ministry of Earth Sciences, government of India (Grant SSC-03-002; Project No. MM/SERP/CNRS/2013/INT-10/002) to conduct this research under Monsoon Mission. Y. Li is also supported by National Natural Science Foundation of China (NSFC) Grant 41776001. W. Han and L. Zhang are also supported by NSF Grant OCE-1658132. CFSv2 45-day reforecast results and CFSR data are provided by NOMADS (online at http://nomads.ncdc.noaa.gov/) and NCAR (online at http://rda.ucar.edu/pub/cfsr.html); TMI SST product was downloaded from the TMI website (http://www.remss.com/missions/tmi); precipitation data from GPCP version 1.2 are available on the NOAA website (https://data.noaa.gov/dataset/dataset/global-precipitationclimatology-project-gpcp-daily-version-1-2-versionsuperseded); and the Argo float data profiles are provided by the Coriolis Global Data Acquisition Center of France (available online at http://www.coriolis.eu.org/Data-Products/Catalogue#/metadata/3df904de-e47d-4bf9-85a0-7c0942aff8b6). Most of the data processing and graphing were completed using a licensed Matlab R2017a program.</t>
  </si>
  <si>
    <t>10.1175/JCLI-D-17-0623.1</t>
  </si>
  <si>
    <t>GJ2CH</t>
  </si>
  <si>
    <t>WOS:000435075300002</t>
  </si>
  <si>
    <t>Barwick, SW; Berg, EC; Besson, DZ; Gaswint, G; Glaser, C; Hallgren, A; Hanson, JC; Klein, SR; Kleinfelder, S; Köpke, L; Kravchenko, I; Lahmann, R; Latif, U; Nam, J; Nelles, A; Persichilli, C; Sandstrom, P; Tatar, J; Unger, E</t>
  </si>
  <si>
    <t>Barwick, S. W.; Berg, E. C.; Besson, D. Z.; Gaswint, G.; Glaser, C.; Hallgren, A.; Hanson, J. C.; Klein, S. R.; Kleinfelder, S.; Koepke, L.; Kravchenko, I.; Lahmann, R.; Latif, U.; Nam, J.; Nelles, A.; Persichilli, C.; Sandstrom, P.; Tatar, J.; Unger, E.</t>
  </si>
  <si>
    <t>Observation of classically 'forbidden' electromagnetic wave propagation and implications for neutrino detection</t>
  </si>
  <si>
    <t>JOURNAL OF COSMOLOGY AND ASTROPARTICLE PHYSICS</t>
  </si>
  <si>
    <t>cosmic ray experiments; ultra high energy photons and neutrinos</t>
  </si>
  <si>
    <t>ROSS ICE SHELF; ARIANNA; PERFORMANCE; GLACIERS; STATION; DESIGN; CORE</t>
  </si>
  <si>
    <t>Ongoing experimental efforts in Antarctica seek to detect ultra-high energy neutrinos by measurement of radio-frequency (RF) Askaryan radiation generated by the collision of a neutrino with an ice molecule. An array of RF antennas, deployed either in-ice or in-air, is used to infer the properties of the neutrino. To evaluate their experimental sensitivity, such experiments require a refractive index model for ray tracing radio-wave trajectories from a putative in-ice neutrino interaction point to the receiving antennas; this gives the degree of signal absorption or ray bending from source to receiver. The gradient in the density profile over the upper 200 meters of Antarctic ice, coupled with Fermat's least-time principle, implies ray bending and the existence of forbidden zones for predominantly horizontal signal propagation at shallow depths. After re-deriving the formulas describing such shadowing, we report on experimental results that, somewhat unexpectedly, demonstrate the existence of electromagnetic wave transport modes from nominally shadowed regions. The fact that this shadow-signal propagation is observed both at South Pole and the Ross Ice Shelf in Antarctica suggests that the effect may be a generic property of polar ice, with potentially important implications for experiments seeking to detect neutrinos.</t>
  </si>
  <si>
    <t>[Barwick, S. W.; Berg, E. C.; Gaswint, G.; Glaser, C.; Persichilli, C.; Tatar, J.] Univ Calif Irvine, Dept Phys &amp; Astron, 4129 Frederick Reines Hall, Irvine, CA 92697 USA; [Besson, D. Z.; Latif, U.] Univ Kansas, Dept Phys &amp; Astron, 1082 Malott Hall, Lawrence, KS 66045 USA; [Besson, D. Z.] Natl Res Nucl Univ, Moscow Engn Phys Inst, 31 Kashirskoye Highway, Moscow 115409, Russia; [Hallgren, A.; Unger, E.] Uppsala Univ, Dept Phys &amp; Astron, Regementsvagen 1, SE-75237 Uppsala, Sweden; [Hanson, J. C.] Whittier Coll, Dept Phys, 13406 E Philadelphia St, Whittier, CA 90602 USA; [Klein, S. R.] Lawrence Berkeley Natl Lab, 1 Cyclotron Rd, Berkeley, CA 94720 USA; [Kleinfelder, S.] Univ Calif Irvine, Dept Elect Engn &amp; Comp Sci, 5200 Engn Hall, Irvine, CA 92697 USA; [Koepke, L.] Johannes Gutenberg Univ Mainz, Inst Phys, Staudinger Weg 7, D-55099 Mainz, Germany; [Kravchenko, I.] Univ Nebraska Lincoln, Dept Phys &amp; Astron, Theodore Jorgensen Hall 208, Lincoln, NE 68588 USA; [Lahmann, R.] Friedrich Alexander Univ Erlangen Nurnberg, ECAP, Erwin Rommel Str 1, D-91058 Erlangen, Germany; [Nam, J.] Natl Taiwan Univ, Leung Ctr Cosmol &amp; Particle Astrophys, 1 Sec 4,Roosevelt Rd Taipei, Taipei 10617, Taiwan; [Nelles, A.] Humboldt Univ, Inst Phys, Newtonstr 15, D-12489 Berlin, Germany; [Nelles, A.] DESY, Platanenallee 6, D-15738 Zeuthen, Germany; [Sandstrom, P.] Univ Wisconsin, Dept Phys, Thomas C Chamberlin Hall, Madison, WI 53706 USA; [Sandstrom, P.] Univ Wisconsin, Wisconsin IceCube Particle Astrophys Ctr, Thomas C Chamberlin Hall, Madison, WI 53706 USA; [Tatar, J.] Univ Calif Irvine, Res Cyberinfrastruct Ctr, 100 Campus Dr, Irvine, CA 92697 USA</t>
  </si>
  <si>
    <t>University of California System; University of California Irvine; University of Kansas; National Research Nuclear University MEPhI (Moscow Engineering Physics Institute); Uppsala University; Whittier College; United States Department of Energy (DOE); Lawrence Berkeley National Laboratory; University of California System; University of California Irvine; Johannes Gutenberg University of Mainz; University of Nebraska System; University of Nebraska Lincoln; University of Erlangen Nuremberg; National Taiwan University; Humboldt University of Berlin; Helmholtz Association; Deutsches Elektronen-Synchrotron (DESY); University of Wisconsin System; University of Wisconsin Madison; University of Wisconsin System; University of Wisconsin Madison; University of California System; University of California Irvine</t>
  </si>
  <si>
    <t>Barwick, SW (corresponding author), Univ Calif Irvine, Dept Phys &amp; Astron, 4129 Frederick Reines Hall, Irvine, CA 92697 USA.</t>
  </si>
  <si>
    <t>sbarwick@uci.edu; gravity@ecberg.com; zedlam@ku.edu; ggaswint@uci.edu; christian.glaser@uci.edu; allan.hallgren@physics.uu.se; jhanson2@whittier.edu; srklein@lbl.gov; stuartk@uci.edu; lutz.koepke@uni-mainz.de; ikrav@unl.edu; robert.lahmann@physik.uni-erlangen.de; uzair.latif@ku.edu; namjiwoo@gmail.com; anna.nelles@desy.de; cperish@uci.edu; sandstrom@icecube.wisc.edu; jetatar@gmail.com; lisa.unger@physics.uu.se</t>
  </si>
  <si>
    <t>Nelles, Anna/AAU-1193-2020; Lahmann, Robert/L-7461-2015; Glaser, Christian/R-3021-2019</t>
  </si>
  <si>
    <t>Nelles, Anna/0000-0002-1720-6350; Glaser, Christian/0000-0001-5998-2553; Lahmann, Robert/0009-0005-5493-1702; Latif, Uzair/0000-0002-7609-1266; Hanson, Jordan/0000-0003-4055-4553</t>
  </si>
  <si>
    <t>German Research Foundation (DFG) [NE 2031/1-1, NE 2031/2-1, GL 914/1-1]; Taiwan Ministry of Science and Technology; Wallenbergstiftelsen (Wallenberg Foundation); Liljewalch stipendier (Liljewalch scholarships)</t>
  </si>
  <si>
    <t>German Research Foundation (DFG)(German Research Foundation (DFG)); Taiwan Ministry of Science and Technology; Wallenbergstiftelsen (Wallenberg Foundation); Liljewalch stipendier (Liljewalch scholarships)</t>
  </si>
  <si>
    <t>We are grateful to the U.S. National Science Foundation-Office of Polar Programs, the U.S. National Science Foundation-Physics Division and the U.S. Department of Energy. We thank generous support from the German Research Foundation (DFG), grant NE 2031/1-1, NE 2031/2-1 and GL 914/1-1, the Taiwan Ministry of Science and Technology, the Wallenbergstiftelsen (Wallenberg Foundation) and the Liljewalch stipendier (Liljewalch scholarships).</t>
  </si>
  <si>
    <t>IOP Publishing Ltd</t>
  </si>
  <si>
    <t>1475-7516</t>
  </si>
  <si>
    <t>J COSMOL ASTROPART P</t>
  </si>
  <si>
    <t>J. Cosmol. Astropart. Phys.</t>
  </si>
  <si>
    <t>10.1088/1475-7516/2018/07/055</t>
  </si>
  <si>
    <t>GO2VW</t>
  </si>
  <si>
    <t>WOS:000439838200004</t>
  </si>
  <si>
    <t>Belcher, A; Manno, C; Thorpe, S; Tarling, G</t>
  </si>
  <si>
    <t>Belcher, Anna; Manno, Clara; Thorpe, Sally; Tarling, Geraint</t>
  </si>
  <si>
    <t>Acantharian cysts: high flux occurrence in the bathypelagic zone of the Scotia Sea, Southern Ocean</t>
  </si>
  <si>
    <t>ZOOPLANKTON FECAL PELLETS; DIATOM RESTING SPORES; PARTICULATE CARBON; ABUNDANCE; STRONTIUM; EXPORT; VARIABILITY; BIOMASS; SEDIMENTATION; PRODUCTIVITY</t>
  </si>
  <si>
    <t>The abundance and flux of acantharian cysts were recorded for a period of 12 months from December 2012 to 2013 in a sediment trap deployed at 1500 m in the north-eastern Scotia Sea, Southern Ocean. Acantharia (radiolarian protists) are found globally, have very dense celestite skeletons, and form cysts which can sink rapidly through the water column. However, they are highly soluble in seawater and have rarely been found to contribute significantly to fluxes of particulate organic carbon (POC) in mesopelagic or bathypelagic zones. We measured fluxes of acantharian cysts of up to 2706 ind. m(-2) day(-1), which we estimate to drive a POC flux of 5.1 mg C m(-2) day(-1). These acantharian cyst fluxes are unprecedented in the literature, and accounted for 17% of the annual POC flux at this site (0.5-26.0%). The high fluxes of acantharian cysts (and associated high POC fluxes) measured highlight the pressing need for further research into the life cycles of Acantharia to understand what drives the mass flux of their cysts, and to determine the contribution of Acantharia to the biological carbon pump.</t>
  </si>
  <si>
    <t>[Belcher, Anna; Manno, Clara; Thorpe, Sally; Tarling, Geraint] British Antarctic Survey, Nat Environm Res Council, Cambridge CB3 0ET, England</t>
  </si>
  <si>
    <t>Belcher, A (corresponding author), British Antarctic Survey, Nat Environm Res Council, Cambridge CB3 0ET, England.</t>
  </si>
  <si>
    <t>annbel@bas.ac.uk</t>
  </si>
  <si>
    <t>Belcher, Anna/0000-0002-9583-5910</t>
  </si>
  <si>
    <t>Ocean Ecosystems programme at British Antarctic Survey; NERC [bas0100035] Funding Source: UKRI</t>
  </si>
  <si>
    <t>Ocean Ecosystems programme at British Antarctic Survey; NERC(UK Research &amp; Innovation (UKRI)Natural Environment Research Council (NERC))</t>
  </si>
  <si>
    <t>This study was supported by the Ocean Ecosystems programme at British Antarctic Survey.</t>
  </si>
  <si>
    <t>10.1007/s00227-018-3376-1</t>
  </si>
  <si>
    <t>GK6UA</t>
  </si>
  <si>
    <t>WOS:000436324600001</t>
  </si>
  <si>
    <t>Harris, RMB; Beaumont, LJ; Vance, TR; Tozer, CR; Remenyi, TA; Perkins-Kirkpatrick, SE; Mitchell, PJ; Nicotra, AB; McGregor, S; Andrew, NR; Letnic, M; Kearney, MR; Wernberg, T; Hutley, LB; Chambers, LE; Fletcher, MS; Keatley, MR; Woodward, CA; Williamson, G; Duke, NC; Bowman, DMJS</t>
  </si>
  <si>
    <t>Harris, R. M. B.; Beaumont, L. J.; Vance, T. R.; Tozer, C. R.; Remenyi, T. A.; Perkins-Kirkpatrick, S. E.; Mitchell, P. J.; Nicotra, A. B.; McGregor, S.; Andrew, N. R.; Letnic, M.; Kearney, M. R.; Wernberg, T.; Hutley, L. B.; Chambers, L. E.; Fletcher, M. -S.; Keatley, M. R.; Woodward, C. A.; Williamson, G.; Duke, N. C.; Bowman, D. M. J. S.</t>
  </si>
  <si>
    <t>Biological responses to the press and pulse of climate trends and extreme events</t>
  </si>
  <si>
    <t>TEMPERATURE EXTREMES; RAINFALL VARIABILITY; HEAT WAVES; EL-NINO; AUSTRALIA; WEATHER; SEA; CONSERVATION; GRASSLAND; FOREST</t>
  </si>
  <si>
    <t>The interaction of gradual climate trends and extreme weather events since the turn of the century has triggered complex and, in some cases, catastrophic ecological responses around the world. We illustrate this using Australian examples within a press-pulse framework. Despite the Australian biota being adapted to high natural climate variability, recent combinations of climatic presses and pulses have led to population collapses, loss of relictual communities and shifts into novel ecosystems. These changes have been sudden and unpredictable, and may represent permanent transitions to new ecosystem states without adaptive management interventions. The press-pulse framework helps illuminate biological responses to climate change, grounds debate about suitable management interventions and highlights possible consequences of (non-) intervention.</t>
  </si>
  <si>
    <t>[Harris, R. M. B.; Beaumont, L. J.; Vance, T. R.; Tozer, C. R.] Univ Tasmania, Antarctic Climate &amp; Ecosyst Cooperat Res Ctr, Hobart, Tas, Australia; [Harris, R. M. B.] UFZ Helmholtz Ctr Environm Res, Dept Conservat Biol, Leipzig, Germany; [Beaumont, L. J.] Macquarie Univ, Dept Biol Sci, Sydney, NSW, Australia; [Tozer, C. R.] Univ Newcastle, Ctr Water Climate &amp; Land, Callaghan, NSW, Australia; [Perkins-Kirkpatrick, S. E.] Univ New South Wales, Climate Change Res Ctr, Sydney, NSW, Australia; [Perkins-Kirkpatrick, S. E.; McGregor, S.] Univ New South Wales, ARC Ctr Excellence Climate Syst Sci, Sydney, NSW, Australia; [Mitchell, P. J.] CSIRO Agr &amp; Food, Hobart, Tas, Australia; [Nicotra, A. B.] Australian Natl Univ, Res Sch Biol, Canberra, ACT, Australia; [McGregor, S.] Monash Univ, Sch Earth Atmosphere &amp; Environm, Clayton, Vic, Australia; [Andrew, N. R.] Univ New England, Ctr Excellence Behav &amp; Physiol Ecol, Armidale, NSW, Australia; [Letnic, M.] Univ New South Wales, Ctr Ecosyst Sci, Sydney, NSW, Australia; [Kearney, M. R.] Univ Melbourne, Sch Biosci, Parkville, Vic, Australia; [Wernberg, T.] Univ Western Australia, UWA Oceans Inst, Crawley, WA, Australia; [Wernberg, T.] Univ Western Australia, Sch Biol Sci, Crawley, WA, Australia; [Hutley, L. B.] Charles Darwin Univ, Res Inst Environm &amp; Livelihoods, Casuarina, NT, Australia; [Fletcher, M. -S.] Univ Melbourne, Sch Geog, Parkville, Vic, Australia; [Keatley, M. R.] Univ Melbourne, Sch Ecosyst &amp; Forest Sci, Creswick, Vic, Australia; [Woodward, C. A.] Australian Nucl Sci &amp; Technol Org, Sydney, NSW, Australia; [Woodward, C. A.] Univ Queensland, Sch Earth &amp; Environm Sci, Brisbane, Qld, Australia; [Williamson, G.; Bowman, D. M. J. S.] Univ Tasmania, Sch Nat Sci, Hobart, Tas, Australia; [Duke, N. C.] James Cook Univ, TropWATER Ctr, Townsville, Qld, Australia</t>
  </si>
  <si>
    <t>Antarctic Climate &amp; Ecosystems Cooperative Research Centre (ACE CRC); University of Tasmania; Helmholtz Association; Helmholtz Center for Environmental Research (UFZ); Macquarie University; University of Newcastle; University of New South Wales Sydney; ARC Centre of Excellence for Climate System Science; University of New South Wales Sydney; Commonwealth Scientific &amp; Industrial Research Organisation (CSIRO); Australian National University; Monash University; University of New England; University of New South Wales Sydney; University of Melbourne; University of Western Australia; University of Western Australia; Charles Darwin University; University of Melbourne; University of Melbourne; Australian Nuclear Science &amp; Technology Organisation; University of Queensland; University of Tasmania; James Cook University</t>
  </si>
  <si>
    <t>Harris, RMB (corresponding author), Univ Tasmania, Antarctic Climate &amp; Ecosyst Cooperat Res Ctr, Hobart, Tas, Australia.;Harris, RMB (corresponding author), UFZ Helmholtz Ctr Environm Res, Dept Conservat Biol, Leipzig, Germany.</t>
  </si>
  <si>
    <t>rmharris@utas.edu.au</t>
  </si>
  <si>
    <t>Beaumont, Linda J/D-5499-2012; Kearney, Michael/R-3404-2017; Tozer, Carly R/E-9936-2013; Williamson, Grant/J-7514-2014; Wernberg, Thomas/B-4172-2010; Perkins-Kirkpatrick, Sarah E/O-5042-2015; Fletcher, Michael-Shawn/AFR-2451-2022; Bowman, David M.J.S./A-2930-2011; McGregor, Shayne/A-9059-2013; Andrew, Nigel/B-7162-2008; Nicotra, Adrienne/C-1361-2009; Duke, Norman C/K-5729-2013; Hutley, Lindsay/A-7925-2011; Harris, Rebecca/N-2790-2013; Mitchell, Patrick/D-7454-2011</t>
  </si>
  <si>
    <t>Kearney, Michael/0000-0002-3349-8744; Tozer, Carly R/0000-0001-8605-5907; Williamson, Grant/0000-0002-3469-7550; Wernberg, Thomas/0000-0003-1185-9745; Fletcher, Michael-Shawn/0000-0002-1854-5629; Bowman, David M.J.S./0000-0001-8075-124X; Andrew, Nigel/0000-0002-2850-2307; Nicotra, Adrienne/0000-0001-6578-369X; Remenyi, Tomas/0000-0002-4145-9323; Vance, Tessa/0000-0001-6970-8646; Perkins-Kirkpatrick, Sarah/0000-0001-9443-4915; Hutley, Lindsay/0000-0001-5533-9886; Harris, Rebecca/0000-0002-6426-2179; Woodward, Craig/0000-0003-1197-820X; Beaumont, Linda/0000-0001-6307-1680; Keatley, Marie/0000-0001-5490-576X; Letnic, Michael/0000-0003-4191-8427; McGregor, Shayne/0000-0003-3222-7042; Mitchell, Patrick/0000-0002-5016-7031</t>
  </si>
  <si>
    <t>National Climate Change Adaptation Research Facility (NCCARF)</t>
  </si>
  <si>
    <t>This paper is the result of a workshop on climate variability and biodiversity (past, present, future), funded by The National Climate Change Adaptation Research Facility (NCCARF) and organized by N. Roslyn. D. Rosauer participated in the workshop. K. Henle (Helmholtz Centre for Environmental Research-UFZ) gave helpful advice about management options.</t>
  </si>
  <si>
    <t>10.1038/s41558-018-0187-9</t>
  </si>
  <si>
    <t>GO6YE</t>
  </si>
  <si>
    <t>WOS:000440200100016</t>
  </si>
  <si>
    <t>Fischer, H; Meissner, KJ; Mix, AC; Abram, NJ; Austermann, J; Brovkin, V; Capron, E; Colombaroli, D; Daniau, AL; Dyez, KA; Felis, T; Finkelstein, SA; Jaccard, SL; McClymont, EL; Rovere, A; Sutter, J; Wolff, EW; Affolter, S; Bakker, P; Ballesteros-Cánovas, JA; Barbante, C; Caley, T; Carlson, AE; Churakova, O; Cortese, G; Cumming, BF; Davis, BAS; de Vernal, A; Emile-Geay, J; Fritz, SC; Gierz, P; Gottschalk, J; Holloway, MD; Joos, F; Kucera, M; Loutre, MF; Lunt, DJ; Marcisz, K; Marlon, JR; Martinez, P; Masson-Delmotte, V; Nehrbass-Ahles, C; Otto-Bliesner, BL; Raible, CC; Risebrobakken, B; Goñi, MFS; Arrigo, JS; Sarnthein, M; Sjolte, J; Stocker, TF; Alvárez, PAV; Tinner, W; Valdes, PJ; Vogel, H; Wanner, H; Yan, Q; Yu, ZC; Ziegler, M; Zhou, LP</t>
  </si>
  <si>
    <t>Fischer, Hubertus; Meissner, Katrin J.; Mix, Alan C.; Abram, Nerilie J.; Austermann, Jacqueline; Brovkin, Victor; Capron, Emilie; Colombaroli, Daniele; Daniau, Anne-Laure; Dyez, Kelsey A.; Felis, Thomas; Finkelstein, Sarah A.; Jaccard, Samuel L.; McClymont, Erin L.; Rovere, Alessio; Sutter, Johannes; Wolff, Eric W.; Affolter, Stephane; Bakker, Pepijn; Ballesteros-Canovas, Juan Antonio; Barbante, Carlo; Caley, Thibaut; Carlson, Anders E.; Churakova (Sidorova), Olga; Cortese, Giuseppe; Cumming, Brian F.; Davis, Basil A. S.; de Vernal, Anne; Emile-Geay, Julien; Fritz, Sherilyn C.; Gierz, Paul; Gottschalk, Julia; Holloway, Max D.; Joos, Fortunat; Kucera, Michal; Loutre, Marie-France; Lunt, Daniel J.; Marcisz, Katarzyna; Marlon, Jennifer R.; Martinez, Philippe; Masson-Delmotte, Valerie; Nehrbass-Ahles, Christoph; Otto-Bliesner, Bette L.; Raible, Christoph C.; Risebrobakken, Bjorg; Goni, Maria F. Sanchez; Arrigo, Jennifer Saleem; Sarnthein, Michael; Sjolte, Jesper; Stocker, Thomas F.; Alvarez, Patricio A. Velasquez; Tinner, Willy; Valdes, Paul J.; Vogel, Hendrik; Wanner, Heinz; Yan, Qing; Yu, Zicheng; Ziegler, Martin; Zhou, Liping</t>
  </si>
  <si>
    <t>Palaeoclimate constraints on the impact of 2 °C anthropogenic warming and beyond</t>
  </si>
  <si>
    <t>ANTARCTIC ICE-SHEET; LAST GLACIAL MAXIMUM; PEATLAND CARBON ACCUMULATION; SEA-SURFACE TEMPERATURES; CLIMATE-CHANGE; POLAR AMPLIFICATION; SOUTHERN GREENLAND; GLOBAL TEMPERATURE; LAKE ELGYGYTGYN; LATE QUATERNARY</t>
  </si>
  <si>
    <t>Over the past 3.5 million years, there have been several intervals when climate conditions were warmer than during the pre-industrialHolocene. Although past intervals of warming were forced differently than future anthropogenic change, such periods can provide insights into potential future climate impacts and ecosystem feedbacks, especially over centennial-to-millennial timescales that are often not covered by climate model simulations. Our observation-based synthesis of the understanding of past intervals with temperatures within the range of projected future warming suggests that there is a low risk of runaway greenhouse gas feedbacks for global warming of no more than 2 degrees C. However, substantial regional environmental impacts can occur. A global average warming of 1-2 degrees C with strong polar amplification has, in the past, been accompanied by significant shifts in climate zones and the spatial distribution of land and ocean ecosystems. Sustained warming at this level has also led to substantial reductions of the Greenland and Antarctic ice sheets, with sea-level increases of at least several metres on millennial timescales. Comparison of palaeo observations with climate model results suggests that, due to the lack of certain feedback processes, model-based climate projections may underestimate long-term warming in response to future radiative forcing by as much as a factor of two, and thus may also underestimate centennial-to-millennial-scale sea-level rise.</t>
  </si>
  <si>
    <t>[Fischer, Hubertus; Affolter, Stephane; Joos, Fortunat; Nehrbass-Ahles, Christoph; Raible, Christoph C.; Stocker, Thomas F.; Alvarez, Patricio A. Velasquez] Univ Bern, Phys Inst, Climate &amp; Environm Phys, Bern, Switzerland; [Fischer, Hubertus; Colombaroli, Daniele; Jaccard, Samuel L.; Affolter, Stephane; Gottschalk, Julia; Joos, Fortunat; Marcisz, Katarzyna; Nehrbass-Ahles, Christoph; Raible, Christoph C.; Stocker, Thomas F.; Alvarez, Patricio A. Velasquez; Tinner, Willy; Vogel, Hendrik; Wanner, Heinz] Univ Bern, Oeschger Ctr Climate Change Res, Bern, Switzerland; [Meissner, Katrin J.] Univ New South Wales Sydney, Climate Change Res Ctr, ARC Ctr Excellence Climate Syst Sci, Sydney, NSW, Australia; [Mix, Alan C.; Carlson, Anders E.] Oregon State Univ, Coll Earth Ocean &amp; Atmospher Sci, Corvallis, OR 97331 USA; [Abram, Nerilie J.] Australian Natl Univ, ARC Ctr Excellence Climate Extremes, Res Sch Earth Sci, Canberra, ACT, Australia; [Austermann, Jacqueline] Univ Cambridge, Dept Earth Sci, Bullard Labs, Cambridge, England; [Brovkin, Victor] Max Planck Inst Meteorol, Hamburg, Germany; [Capron, Emilie] Univ Copenhagen, Niels Bohr Inst, Ctr Ice &amp; Climate, Copenhagen, Denmark; [Capron, Emilie; Holloway, Max D.] British Antarctic Survey, Cambridge, England; [Colombaroli, Daniele] Royal Holloway Univ London, Dept Geog, Ctr Quaternary Res, Egham, Surrey, England; [Colombaroli, Daniele; Marcisz, Katarzyna; Tinner, Willy] Univ Bern, Inst Plant Sci, Bern, Switzerland; [Colombaroli, Daniele] Univ Ghent, Dept Biol, Limnol Unit, Ghent, Belgium; [Daniau, Anne-Laure; Caley, Thibaut; Martinez, Philippe; Goni, Maria F. Sanchez] Univ Bordeaux, CNRS, EPOC, Environm &amp; Paleoenvironm Ocean &amp; Continentaux, Pessac, France; [Dyez, Kelsey A.] Columbia Univ, Lamont Doherty Earth Observ, Palisades, NY USA; [Felis, Thomas; Rovere, Alessio; Bakker, Pepijn; Kucera, Michal] Univ Bremen, Ctr Marine Environm Sci, MARUM, Bremen, Germany; [Finkelstein, Sarah A.] Univ Toronto, Dept Earth Sci, Toronto, ON, Canada; [Jaccard, Samuel L.; Gottschalk, Julia; Vogel, Hendrik] Univ Bern, Inst Geol Sci, Bern, Switzerland; [McClymont, Erin L.] Univ Durham, Dept Geog, Durham, England; [Rovere, Alessio] Leibniz Ctr Trop Marine Ecol, Bremen, Germany; [Sutter, Johannes; Gierz, Paul] Helmholtz Ctr Polar &amp; Marine Res, Alfred Wegener Inst, Bremerhaven, Germany; [Wolff, Eric W.] Univ Cambridge, Dept Earth Sci, Cambridge, England; [Affolter, Stephane] Int Fdn High Altitude Res Stn Jungfraujoch &amp; Gorn, Bern, Switzerland; [Ballesteros-Canovas, Juan Antonio; Churakova (Sidorova), Olga] Univ Geneva, Dept Earth Sci, Inst Environm Sci &amp; Dendrolab, Geneva, Switzerland; [Barbante, Carlo] CNR, Inst Dynam Environm Proc, Venice, Italy; [Barbante, Carlo] CaFoscari Univ Venice, Dept Environm Sci Informat &amp; Stat, Venice, Italy; [Churakova (Sidorova), Olga] Siberian Fed Univ, Inst Ecol &amp; Geog, Krasnoyarsk, Russia; [Cortese, Giuseppe] GNS Sci, Lower Hutt, New Zealand; [Cumming, Brian F.] Queens Univ, Dept Biol, Kingston, ON, Canada; [Davis, Basil A. S.] Univ Lausanne, Inst Earth Surface Dynam, Lausanne, Switzerland; [de Vernal, Anne] Univ Quebec, Ctr Rech Geochim &amp; Geodynam, Montreal, PQ, Canada; [Emile-Geay, Julien] Univ Southern Calif, Dept Earth Sci, Los Angeles, CA USA; [Fritz, Sherilyn C.] Univ Nebraska, Dept Earth &amp; Atmospher Sci, Lincoln, NE USA; [Loutre, Marie-France] Past Global Changes PAGES, Bern, Switzerland; [Lunt, Daniel J.; Valdes, Paul J.] Univ Bristol, Sch Geog Sci, Bristol, Avon, England; [Lunt, Daniel J.; Valdes, Paul J.] Univ Bristol, Cabot Inst, Bristol, Avon, England; [Marcisz, Katarzyna] Adam Mickiewicz Univ, Fac Geog &amp; Geol Sci, Dept Biogeog &amp; Palaeoecol, Lab Wetland Ecol &amp; Monitoring, Poznan, Poland; [Marlon, Jennifer R.] Yale Univ, Sch Forestry &amp; Environm Studies, New Haven, CT 06511 USA; [Masson-Delmotte, Valerie] Univ Paris Saclay, Lab Sci Climat &amp; Environm, Inst Pierre Simon Laplace, CEA CNRS UVSQ UMR8212, Gif Sur Yvette, France; [Otto-Bliesner, Bette L.] Natl Ctr Atmospher Res, Climate &amp; Global Dynam Lab, POB 3000, Boulder, CO 80307 USA; [Risebrobakken, Bjorg] Bjerknes Ctr Climate Res, Uni Res Climate, Bergen, Norway; [Goni, Maria F. Sanchez] PSL Univ, EPHE, Ecole Prat Hautes Etud, Paris, France; [Arrigo, Jennifer Saleem] Natl Coordinat Off, US Global Change Res Program, Washington, DC USA; [Sarnthein, Michael] Univ Kiel, Inst Geosci, Kiel, Germany; [Sjolte, Jesper] Lund Univ, Dept Geol, Quaternary Sci, Lund, Sweden; [Yan, Qing] Chinese Acad Sci, Inst Atmospher Phys, Nansen Zhu Int Res Ctr, Beijing, Peoples R China; [Yu, Zicheng] Lehigh Univ, Dept Earth &amp; Environm Sci, Bethlehem, PA 18015 USA; [Yu, Zicheng] Northeast Normal Univ, Sch Geog Sci, Inst Peat &amp; Mire Res, Changchun, Jilin, Peoples R China; [Ziegler, Martin] Univ Utrecht, Fac Geosci, Dept Earth Sci, Utrecht, Netherlands; [Ziegler, Martin] Swiss Fed Inst Technol, Geol Inst, Zurich, Switzerland; [Zhou, Liping] Peking Univ, Inst Ocean Res, Dept Geog, Lab Earth Surface Proc, Beijing, Peoples R China</t>
  </si>
  <si>
    <t>University of Bern; University of Bern; University of New South Wales Sydney; ARC Centre of Excellence for Climate System Science; Oregon State University; Australian National University; University of Cambridge; Max Planck Society; University of Copenhagen; Niels Bohr Institute; UK Research &amp; Innovation (UKRI); Natural Environment Research Council (NERC); NERC British Antarctic Survey; University of London; Royal Holloway University London; University of Bern; Ghent University; Universite de Bordeaux; Centre National de la Recherche Scientifique (CNRS); Columbia University; University of Bremen; University of Toronto; University of Bern; Durham University; Leibniz Zentrum fur Marine Tropenforschung (ZMT); Helmholtz Association; Alfred Wegener Institute, Helmholtz Centre for Polar &amp; Marine Research; University of Cambridge; University of Geneva; Consiglio Nazionale delle Ricerche (CNR); Istituto per la Dinamica dei Processi Ambientali (IDPA-CNR); Universita Ca Foscari Venezia; Siberian Federal University; GNS Science - New Zealand; Queens University - Canada; University of Lausanne; University of Quebec; University of Quebec Montreal; University of Southern California; University of Nebraska System; University of Nebraska Lincoln; University of Bristol; University of Bristol; Adam Mickiewicz University; Yale University; Universite Paris Saclay; Centre National de la Recherche Scientifique (CNRS); CNRS - National Institute for Earth Sciences &amp; Astronomy (INSU); CEA; Universite Paris Cite; National Center Atmospheric Research (NCAR) - USA; Bjerknes Centre for Climate Research; Universite PSL; Ecole Pratique des Hautes Etudes (EPHE); University of Kiel; Lund University; Chinese Academy of Sciences; Institute of Atmospheric Physics, CAS; Lehigh University; Northeast Normal University - China; Utrecht University; Swiss Federal Institutes of Technology Domain; ETH Zurich; Peking University</t>
  </si>
  <si>
    <t>Fischer, H (corresponding author), Univ Bern, Phys Inst, Climate &amp; Environm Phys, Bern, Switzerland.;Fischer, H (corresponding author), Univ Bern, Oeschger Ctr Climate Change Res, Bern, Switzerland.;Meissner, KJ (corresponding author), Univ New South Wales Sydney, Climate Change Res Ctr, ARC Ctr Excellence Climate Syst Sci, Sydney, NSW, Australia.;Mix, AC (corresponding author), Oregon State Univ, Coll Earth Ocean &amp; Atmospher Sci, Corvallis, OR 97331 USA.</t>
  </si>
  <si>
    <t>hubertus.fischer@climate.unibe.ch; k.meissner@unsw.edu.au; mix@coas.oregonstate.edu</t>
  </si>
  <si>
    <t>Yan, Qing/C-5413-2013; Barbante, Carlo/B-3195-2011; Valdes, Paul J/C-4129-2013; Sjolte, Jesper/N-7833-2019; McClymont, Erin L/K-2153-2012; Joos, Fortunat/B-4118-2018; Brovkin, Victor/C-2803-2016; Col, Dan/A-2851-2009; Vogel, Hendrik/C-6148-2014; Daniau, Anne-Laure/O-2379-2017; Risebrobakken, Bjørg/Y-1551-2018; Churakova, Olga V/S-9167-2018; Loutre, Marie-France/L-3594-2018; Valdes, Paul/T-2004-2019; Otto-Bliesner, Bette/AAY-7691-2020; Finkelstein, Sarah/K-8202-2012; McClymont, Erin/AAX-3657-2020; Kucera, Michal/ABH-6065-2020; Tinner, Willy/F-6727-2013; Sanchez Goñi, Maria Fernanda/R-3699-2019; Dyez, Kelsey/AAI-8110-2021; Ziegler, Martin/N-9699-2013; Masson-Delmotte, Valerie L/G-1995-2011; Cánovas, Juan Antonio Ballesteros/ABG-7903-2020; Kucera, Michal/B-9277-2009; IPO, PAGES/JXY-7546-2024; de Vernal, Anne/D-5602-2013; Felis, Thomas/G-6670-2011; Abram, Nerilie/AAT-5171-2021; Capron, Emilie/ITU-2672-2023; Vogel, Hendrik/ABG-1123-2020; Affolter, Stéphane/HMD-8494-2023; Emile-Geay, Julien/B-1102-2010; Wolff, Eric W/D-7925-2014; Churakova, Olga V./J-9460-2016; McClymont, Erin/AAX-3567-2020; Rovere, Alessio/C-4262-2011; Jaccard, Samuel/G-3447-2014; Lunt, Daniel/G-9451-2011; Raible, Christoph/M-8309-2016; Fischer, Hubertus/A-1211-2014; Marcisz, Katarzyna/C-4021-2013</t>
  </si>
  <si>
    <t>Sjolte, Jesper/0000-0003-0870-5331; McClymont, Erin L/0000-0003-1562-8768; Joos, Fortunat/0000-0002-9483-6030; Brovkin, Victor/0000-0001-6420-3198; Col, Dan/0000-0002-9632-2009; Vogel, Hendrik/0000-0002-9902-8120; Daniau, Anne-Laure/0000-0002-1621-3911; Churakova, Olga V/0000-0002-1687-1201; Valdes, Paul/0000-0002-1902-3283; Finkelstein, Sarah/0000-0002-8239-399X; McClymont, Erin/0000-0003-1562-8768; Tinner, Willy/0000-0001-7352-0144; Sanchez Goñi, Maria Fernanda/0000-0001-8238-7488; Dyez, Kelsey/0000-0001-8347-3089; Masson-Delmotte, Valerie L/0000-0001-8296-381X; Felis, Thomas/0000-0003-1417-9657; Affolter, Stéphane/0000-0002-6646-9018; Wolff, Eric W/0000-0002-5914-8531; McClymont, Erin/0000-0003-1562-8768; Austermann, Jacqueline/0000-0003-3754-5082; Barbante, Carlo/0000-0003-4177-2288; Gottschalk, Julia/0000-0002-0403-3059; Rovere, Alessio/0000-0001-5575-1168; Jaccard, Samuel/0000-0002-5793-0896; Sutter, Johannes/0000-0002-3357-2633; Martinez, Philippe/0000-0002-9825-2032; Yu, Zicheng/0000-0003-2358-2712; Marlon, Jennifer/0000-0002-8299-9609; Lunt, Daniel/0000-0003-3585-6928; Raible, Christoph/0000-0003-0176-0602; Zhou, Liping/0000-0002-3332-2343; Fischer, Hubertus/0000-0002-2787-4221; Abram, Nerilie/0000-0003-1246-2344; Marcisz, Katarzyna/0000-0003-2655-9729; Ballesteros Canovas, Juan A./0000-0003-4439-397X; Cortese, Giuseppe/0000-0003-1780-3371; Ziegler, Martin/0000-0003-3198-6434; Meissner, Katrin/0000-0002-0716-7415</t>
  </si>
  <si>
    <t>Future Earth core project PAGES (Past Global Changes); Oeschger Centre for Climate Change Research, University of Bern; PAGES; Directorate For Geosciences; Division Of Earth Sciences [1440015] Funding Source: National Science Foundation; NERC [NE/P01903X/1, bas0100034, NE/R016038/1] Funding Source: UKRI</t>
  </si>
  <si>
    <t>Future Earth core project PAGES (Past Global Changes); Oeschger Centre for Climate Change Research, University of Bern; PAGES; Directorate For Geosciences; Division Of Earth Sciences(National Science Foundation (NSF)NSF - Directorate for Geosciences (GEO)); NERC(UK Research &amp; Innovation (UKRI)Natural Environment Research Council (NERC))</t>
  </si>
  <si>
    <t>Financial support of the PAGES Warmer World Integrative Activity workshop by the Future Earth core project PAGES (Past Global Changes) and the Oeschger Centre for Climate Change Research, University of Bern, is gratefully acknowledged. Additional funding by PAGES was provided to the plioVAR, PALSEA 2, QUIGS, the 2k network, C-peat, Global Paleofire 2 and OC3 PAGES working groups contributing to the Integrated Activity (see http://www.pages.unibe.ch/science/intro for an overview of all former and active PAGES working groups). We thank N. Rosenbloom for creating Fig. 2.</t>
  </si>
  <si>
    <t>10.1038/s41561-018-0146-0</t>
  </si>
  <si>
    <t>Green Submitted, Green Published, Green Accepted</t>
  </si>
  <si>
    <t>WOS:000438794800009</t>
  </si>
  <si>
    <t>Wang, JH; Ding, Y; Tang, XC; Wang, QF</t>
  </si>
  <si>
    <t>Wang, Jin-Hui; Ding, Yu; Tang, Xiao-Chen; Wang, Quan-Fu</t>
  </si>
  <si>
    <t>Molecular cloning of glutathione peroxidase gene of Antarctic ice microalga Chlamydomonas sp ICE-L and its expression changes under temperature and salinity stress</t>
  </si>
  <si>
    <t>PHYCOLOGICAL RESEARCH</t>
  </si>
  <si>
    <t>acclimatization; ICE-LGPx; real-time polymerase chain reaction; selenocysteine; transcriptional expression pattern</t>
  </si>
  <si>
    <t>PHOTOOXIDATIVE STRESS; ARABIDOPSIS; ASCORBATE; REDUCTASE; ENZYMES; GROWTH; OXYGEN</t>
  </si>
  <si>
    <t>A complete open reading frame (ORF) encoding a glutathione peroxidase (ICE-LGPx) was determined from Antarctic Chlamydomonas sp. ICE-L by the molecular biological methods. The transcriptional expression patterns of ICE-LGPx under different salinity and temperature stresses were determined by the real-time polymerase chain reaction, and the activities of ICE-LGPx were assayed under salinity stress as well. The full-length cDNA sequence of ICE-LGPx mRNA was 1956bp including an ORF of 765bp. Molecular structure analysis revealed that ICE-LGPx was a selenium-dependent glutathione peroxidase (Se-GPx) containing a form-2 SECIS (SelenoCysteine Insertion Sequence) element. Phylogenetic analysis showed that ICE-LGPx displayed parallel evolution with those of Volvox carteri, Chlorella variabilis, Micromonas sp. RCC299 and Micromonas pusilla. The expression analysis results indicated that transcription of ICE-LGPx was induced by the changes of the salinity and temperature. The change tendency of enzyme activities was similar to that of ICE-LGPx mRNA level. Time- and dose-dependent effects were observed in the salinity treatments and time-dependent effects were found in the temperature treatments as well. These results suggested that ICE-LGPx might play an important role in the acclimatization of Chlamydomonas sp. ICE-L to salt and low temperature stresses. Furthermore, the results of this investigation may help to clarify the acclimatization and stress response mechanisms of Antarctic ice alga.</t>
  </si>
  <si>
    <t>[Wang, Jin-Hui; Ding, Yu; Tang, Xiao-Chen] Guangdong Ocean Univ, Guangdong Prov Key Lab Pathogen Biol &amp; Epidemiol, Coll Fisheries, Zhanjiang, Peoples R China; [Wang, Quan-Fu] Harbin Inst Technol, Dept Bioengn, Ocean Coll, Weihai, Peoples R China</t>
  </si>
  <si>
    <t>Guangdong Ocean University; Harbin Institute of Technology</t>
  </si>
  <si>
    <t>Ding, Y; Tang, XC (corresponding author), Guangdong Ocean Univ, Guangdong Prov Key Lab Pathogen Biol &amp; Epidemiol, Coll Fisheries, Zhanjiang, Peoples R China.</t>
  </si>
  <si>
    <t>dingyuddd@163.com; txc816@163.com</t>
  </si>
  <si>
    <t>DING, YU/AAE-8957-2021; DING, YU/JEF-0566-2023; Li, Lei/JPE-6543-2023; Ding, yu/GWV-1732-2022; wang, quan fu/K-9703-2018</t>
  </si>
  <si>
    <t>DING, YU/0000-0002-3688-7294; DING, YU/0000-0002-3688-7294; wang, quan fu/0000-0002-3885-5464</t>
  </si>
  <si>
    <t>National Natural Science Foundation of China (NSFC) [40876102, 40876107]; Natural Science Foundation of Guangdong Province [2014A030313604, S2011010005885]; Sailing Plan High Level Talents Project of Guangdong Province</t>
  </si>
  <si>
    <t>National Natural Science Foundation of China (NSFC)(National Natural Science Foundation of China (NSFC)); Natural Science Foundation of Guangdong Province(National Natural Science Foundation of Guangdong Province); Sailing Plan High Level Talents Project of Guangdong Province</t>
  </si>
  <si>
    <t>We are especially grateful for the critical comments and suggestions from Professor Liqun Lv and the other anonymous reviewers. This work was supported by National Natural Science Foundation of China (NSFC, No. 40876102; No. 40876107), Natural Science Foundation of Guangdong Province (2014A030313604; S2011010005885) and Sailing Plan High Level Talents Project of Guangdong Province.</t>
  </si>
  <si>
    <t>1322-0829</t>
  </si>
  <si>
    <t>1440-1835</t>
  </si>
  <si>
    <t>PHYCOL RES</t>
  </si>
  <si>
    <t>Phycol. Res.</t>
  </si>
  <si>
    <t>10.1111/pre.12221</t>
  </si>
  <si>
    <t>GM1OZ</t>
  </si>
  <si>
    <t>WOS:000437840100003</t>
  </si>
  <si>
    <t>Mangano, S; Caruso, C; Michaud, L; Lo Giudice, A</t>
  </si>
  <si>
    <t>Mangano, S.; Caruso, C.; Michaud, L.; Lo Giudice, A.</t>
  </si>
  <si>
    <t>First evidence of quorum sensing activity in bacteria associated with Antarctic sponges</t>
  </si>
  <si>
    <t>Quorum sensing; N-acyl homoserine lactones; Gram-negative bacteria; Sponge-associated bacteria; Antarctica</t>
  </si>
  <si>
    <t>GRAM-NEGATIVE BACTERIA; PSYCHROTROPHIC BACTERIA; HOMOSERINE LACTONES; SIGNAL PRODUCTION; MARINE SPONGES; SEA; IDENTIFICATION; COMMUNICATION; SEQUENCE</t>
  </si>
  <si>
    <t>Porifera dominate vast areas of the Antarctic shelves and are successfully colonized by bacteria. Quorum sensing (QS) is a cell-to-cell communication system based on bacterial population density that, enabling the coordination of group-based behaviour, plays a critical role in the successful colonization of higher organisms, also driving the formation of biofilm for adhesion to surfaces. In this study, the production of N-Acyl homoserine lactones (AHLs), signal molecules involved in the QS mechanism, was examined for 211 Antarctic sponge-associated Gram-negative bacteria. AHL production was screened by using three different AHL biodetection systems, i.e. Agrobacterium tumefaciens pZLR4, Chromobacterium violaceum CV026 and Pseudomonas putida pKR-C12 with optimal sensitivity to moderate-chain (C8-C12), short-chain (C4-C8) and long-chain (ae C14) AHLs, respectively. 57.8% of tested isolates activated at least one of the monitor systems used and belonged mainly to bacterial genera that are known to be involved in surface colonization by biofilm production. A thin-layer chromatographic assay based on the A. tumefaciens reporter system was utilized to determine the AHL profiles of five selected positive isolates. Visible spots on thin-layer chromatography (TLC) plates were produced by Roseobacter sp. TB60 and Psychrobacter sp. TB67 (both from the sponge, Anoxycalyx joubini). The former probably produced N-(3-oxohexanoyl)-L-homoserine lactone (similar to the standard 3-oxo-C6-HSL), whereas the isolate TB67 produced molecules that were similar to the standard N-butanoyl-homoserine lactone (C4-HSL). The obtained results demonstrated that AHL-based signalling may play a key role in sponge-bacteria interactions also in the Antarctic environment.</t>
  </si>
  <si>
    <t>[Mangano, S.; Caruso, C.; Michaud, L.; Lo Giudice, A.] Univ Messina, Dept Chem Biol Pharmaceut &amp; Environm Sci, Viale F Stagno dAlcontres 31, I-98166 Messina, Italy; [Lo Giudice, A.] Natl Res Council IAMC CNR, Inst Marine Coastal Environm, Spianata San Raineri 86, I-98122 Messina, Italy; [Lo Giudice, A.] Italian Natl Antarctic Museum MNA, Associated Sect Messina CIBAN, Messina, Italy</t>
  </si>
  <si>
    <t>Lo Giudice, A (corresponding author), Univ Messina, Dept Chem Biol Pharmaceut &amp; Environm Sci, Viale F Stagno dAlcontres 31, I-98166 Messina, Italy.;Lo Giudice, A (corresponding author), Natl Res Council IAMC CNR, Inst Marine Coastal Environm, Spianata San Raineri 86, I-98122 Messina, Italy.;Lo Giudice, A (corresponding author), Italian Natl Antarctic Museum MNA, Associated Sect Messina CIBAN, Messina, Italy.</t>
  </si>
  <si>
    <t>PNRA (Programma Nazionale di Ricerche in Antartide); Italian Ministry of Education and Research (PEA) [PNRA 2004/1.6, PNRA16_00020]; MNA (Museo Nazionale dell'Antartide)</t>
  </si>
  <si>
    <t>PNRA (Programma Nazionale di Ricerche in Antartide); Italian Ministry of Education and Research (PEA); MNA (Museo Nazionale dell'Antartide)</t>
  </si>
  <si>
    <t>The authors wish to thank Vittorio Venturi and Laura Steindler (International Centre for Genetic Engineering, Trieste (Italy) for kindly providing the biomonitor systems used in this study, and for their professional support to S. Mangano during her stay in Trieste. We are very grateful also to three anonymous reviewers for their valuable comments and suggestions to improve the manuscript. The authors also thank Mrs Trays Ricciardi who edited the manuscript for improving English language. This work was supported by grants from the PNRA (Programma Nazionale di Ricerche in Antartide), the Italian Ministry of Education and Research (PEA 2004, Research Projects PNRA 2004/1.6 and PNRA16_00020) and the MNA (Museo Nazionale dell'Antartide).</t>
  </si>
  <si>
    <t>10.1007/s00300-018-2296-3</t>
  </si>
  <si>
    <t>WOS:000437102400010</t>
  </si>
  <si>
    <t>Holzinger, A; Albert, A; Aigner, S; Uhl, J; Schmitt-Kopplin, P; Trumhová, K; Pichrtová, M</t>
  </si>
  <si>
    <t>Holzinger, Andreas; Albert, Andreas; Aigner, Siegfried; Uhl, Jenny; Schmitt-Kopplin, Philippe; Trumhova, Katerina; Pichrtova, Martina</t>
  </si>
  <si>
    <t>Arctic, Antarctic, and temperate green algae Zygnema spp. under UV-B stress: vegetative cells perform better than pre-akinetes</t>
  </si>
  <si>
    <t>PROTOPLASMA</t>
  </si>
  <si>
    <t>UV-A; UV-B; UV simulation; Green algae; Ultrastructure; Metabolomics</t>
  </si>
  <si>
    <t>COSMARIUM STRAINS ZYGNEMATOPHYCEAE; ULTRAVIOLET-RADIATION; PHOTOSYNTHETIC PERFORMANCE; PHENOLIC-COMPOUNDS; ULTRASTRUCTURE; STREPTOPHYTA; IRRADIATION; CHLOROPHYTA; PIGMENT; GROWTH</t>
  </si>
  <si>
    <t>Species of Zygnema form macroscopically visible mats in polar and temperate terrestrial habitats, where they are exposed to environmental stresses. Three previously characterized isolates (Arctic Zygnema sp. B, Antarctic Zygnema sp. C, and temperate Zygnema sp. S) were tested for their tolerance to experimental UV radiation. Samples of young vegetative cells (1 month old) and pre-akinetes (6 months old) were exposed to photosynthetically active radiation (PAR, 400-700 nm, 400 mu mol photons m(-2) s(-1)) in combination with experimental UV-A (315-400 nm, 5.7 W m(-2), no UV-B), designated as PA, or UV-A (10.1 W m(-2)) + UV-B (280-315 nm, 1.0 W m(-2)), designated as PAB. The experimental period lasted for 74 h; the radiation period was 16 h PAR/UV-A per day, or with additional UV-B for 14 h per day. The effective quantum yield, generally lower in pre-akinetes, was mostly reduced during the UV treatment, and recovery was significantly higher in young vegetative cells vs. pre-akinetes during the experiment. Analysis of the deepoxidation state of the xanthophyll-cycle pigments revealed a statistically significant (p &lt; 0.05) increase in Zygnema spp. C and S. The content of UV-absorbing phenolic compounds was significantly higher (p &lt; 0.05) in young vegetative cells compared to pre-akinetes. In young vegetative Zygnema sp. S, these phenolic compounds significantly increased (p &lt; 0.05) upon PA and PAB. Transmission electron microscopy showed an intact ultrastructure with massive starch accumulations at the pyrenoids under PA and PAB. A possible increase in electron-dense bodies in PAB-treated cells and the occurrence of cubic membranes in the chloroplasts are likely protection strategies. Metabolite profiling by non-targeted RP-UHPLC-qToF-MS allowed a clear separation of the strains, but could not detect changes due to the PA and PAB treatments. Six hundred seventeen distinct molecular masses were detected, of which around 200 could be annotated from databases. These results indicate that young vegetative cells can adapt better to the experimental UV-B stress than pre-akinetes.</t>
  </si>
  <si>
    <t>[Holzinger, Andreas; Aigner, Siegfried] Univ Innsbruck, Dept Bot, Funct Plant Biol, Sternwartestr 15, A-6020 Innsbruck, Austria; [Albert, Andreas] Deutsch Forschungszentrum Gesundheit &amp; Umwelt Gmb, Helmholtz Zentrum Munchen, Res Unit Environm Simulat, Ingolstaedter Landstr. 1, D-85764 Neuherberg, Germany; [Uhl, Jenny; Schmitt-Kopplin, Philippe] Deutsch Forschungszentrum Gesundheit &amp; Umwelt Gmb, Helmholtz Zentrum Munchen, Res Unit Analyt BioGeoChem, Ingolstaedter Landstr 1, D-85764 Neuherberg, Germany; [Trumhova, Katerina; Pichrtova, Martina] Charles Univ Prague, Fac Sci, Dept Bot, Benatska 2, Prague 12801, Czech Republic</t>
  </si>
  <si>
    <t>University of Innsbruck; Helmholtz Association; Helmholtz-Center Munich - German Research Center for Environmental Health; Helmholtz Association; Helmholtz-Center Munich - German Research Center for Environmental Health; Charles University Prague</t>
  </si>
  <si>
    <t>Holzinger, A (corresponding author), Univ Innsbruck, Dept Bot, Funct Plant Biol, Sternwartestr 15, A-6020 Innsbruck, Austria.</t>
  </si>
  <si>
    <t>Andreas.Holzinger@uibk.ac.at</t>
  </si>
  <si>
    <t>Pichrtová, Martina/N-1298-2014; Schmitt-Kopplin, Philippe/H-6271-2011; Albert, Andreas/I-5846-2013; Holzinger, Andreas/Z-2659-2019</t>
  </si>
  <si>
    <t>Pichrtová, Martina/0000-0002-6003-9666; Schmitt-Kopplin, Philippe/0000-0003-0824-2664; Albert, Andreas/0000-0002-0582-2674; Holzinger, Andreas/0000-0002-7745-3978; Trumhova, Katerina/0000-0003-2581-6674</t>
  </si>
  <si>
    <t>Austrian Science Funds [I 1952-B16]; Czech Science Foundation [15-34645 L]; Austrian Science Fund (FWF) [I1951] Funding Source: Austrian Science Fund (FWF)</t>
  </si>
  <si>
    <t>Austrian Science Funds(Austrian Science Fund (FWF)); Czech Science Foundation(Grant Agency of the Czech Republic); Austrian Science Fund (FWF)(Austrian Science Fund (FWF))</t>
  </si>
  <si>
    <t>The study was supported by Austrian Science Funds grant I 1952-B16 to AH and by the Czech Science Foundation grant 15-34645 L to MP.</t>
  </si>
  <si>
    <t>0033-183X</t>
  </si>
  <si>
    <t>1615-6102</t>
  </si>
  <si>
    <t>Protoplasma</t>
  </si>
  <si>
    <t>10.1007/s00709-018-1225-1</t>
  </si>
  <si>
    <t>Plant Sciences; Cell Biology</t>
  </si>
  <si>
    <t>GI8SH</t>
  </si>
  <si>
    <t>WOS:000434795100021</t>
  </si>
  <si>
    <t>Tahon, G; Tytgat, B; Lebbe, L; Carlier, A; Willems, A</t>
  </si>
  <si>
    <t>Tahon, Guillaume; Tytgat, Bjorn; Lebbe, Liesbeth; Carlier, Aurelien; Willems, Anne</t>
  </si>
  <si>
    <t>Abditibacterium utsteinense sp nov the first cultivated member of candidate phylum FBP, isolated from ice-free Antarctic soil samples</t>
  </si>
  <si>
    <t>SYSTEMATIC AND APPLIED MICROBIOLOGY</t>
  </si>
  <si>
    <t>Antarctica; Abditibacteriota; Sor Rondane Mountains; Utsteinen; Cultivation</t>
  </si>
  <si>
    <t>SOR RONDANE MOUNTAINS; MCMURDO DRY VALLEYS; MICROBIAL COMMUNITY; SINGLE-CELL; BACTERIAL; DIVERSITY; GENOME; DIVISION; ANNOTATION; IDENTIFICATION</t>
  </si>
  <si>
    <t>Most bacterial lineages are known only by molecular sequence data from environmental surveys and represent the uncultivated majority. One of these lineages, candidate phylum FBP, is widespread in extreme environments on Earth, ranging from polar and desert ecosystems to wastewater and contaminated mine sites. Here we report on the characterization of strain LMG 29911(T), the first cultivated representative of the FBP lineage. The strain was isolated from a terrestrial surface sample from Utsteinen, Sor Rondane Mountains, East Antarctica and is a Gram-negative, aerobic, oligotrophic chemoheterotrophic bacterium. It displays growth in a very narrow pH range, use of only a limited number of carbon sources, but also a metabolism optimized for survival in low-nutrient habitats. Remarkably, phenotypic and genome analysis indicated an extreme resistance against antibiotics and toxic compounds. We propose the names Abditibacterium utsteinense for this bacterium and Abditibacteriota for the former candidate phylum FBP. Furthermore, inter- and intra-phylum relationships indicate Armatimonadetes, a neighboring lineage to the Abditibacteriota, to be a superphylum. (C) 2018 Elsevier GmbH. All rights reserved.</t>
  </si>
  <si>
    <t>[Tahon, Guillaume; Tytgat, Bjorn; Lebbe, Liesbeth; Carlier, Aurelien; Willems, Anne] Univ Ghent, Dept Biochem &amp; Microbiol, Lab Microbiol, KL Ledeganckstr 35, B-9000 Ghent, Belgium</t>
  </si>
  <si>
    <t>Ghent University</t>
  </si>
  <si>
    <t>Willems, A (corresponding author), Univ Ghent, Dept Biochem &amp; Microbiol, Lab Microbiol, KL Ledeganckstr 35, B-9000 Ghent, Belgium.</t>
  </si>
  <si>
    <t>Guillaume.Tahon@UGent.be; Bjorn.Tytgat@UGent.be; Liesbeth.Lebbe@UGent.be; Aurelien.Carlier@UGent.be; Anne.Willems@UGent.be</t>
  </si>
  <si>
    <t>Carlier, Aurelien/M-9671-2016; Willems, Anne/B-2872-2010</t>
  </si>
  <si>
    <t>Carlier, Aurelien/0000-0001-7565-1586; , G/0000-0001-7020-4162; Willems, Anne/0000-0002-8421-2881</t>
  </si>
  <si>
    <t>Fund for Scientific Research Flanders [G.0146.12]; Belgian Science Policy Office (project CCAMBIO); EMBRC Belgium (FWO) [GOH3817N]; Ghent University; Hercules Foundation; Flemish Government - department EWI</t>
  </si>
  <si>
    <t>Fund for Scientific Research Flanders(FWO); Belgian Science Policy Office (project CCAMBIO); EMBRC Belgium (FWO)(FWO); Ghent University(Ghent University); Hercules Foundation; Flemish Government - department EWI</t>
  </si>
  <si>
    <t>This work was supported by the Fund for Scientific Research Flanders (project G.0146.12). Additional support was obtained from the Belgian Science Policy Office (project CCAMBIO) and EMBRC Belgium (FWO project GOH3817N). The computational resources (Stevin Supercomputer Infrastructure) and services used in this work were provided by the Flemish Supercomputer Center (VSC) funded by Ghent University, the Hercules Foundation and the Flemish Government - department EWI. This study is a contribution to the State of the Antarctic Ecosystem (AntEco) research program of the Scientific Committee on Antarctic Research (SCAR).</t>
  </si>
  <si>
    <t>ELSEVIER GMBH</t>
  </si>
  <si>
    <t>MUNICH</t>
  </si>
  <si>
    <t>HACKERBRUCKE 6, 80335 MUNICH, GERMANY</t>
  </si>
  <si>
    <t>0723-2020</t>
  </si>
  <si>
    <t>SYST APPL MICROBIOL</t>
  </si>
  <si>
    <t>Syst. Appl. Microbiol.</t>
  </si>
  <si>
    <t>10.1016/j.syapm.2018.01.009</t>
  </si>
  <si>
    <t>GO3UU</t>
  </si>
  <si>
    <t>WOS:000439923300003</t>
  </si>
  <si>
    <t>Pushkareva, E; Pessi, IS; Namsaraev, Z; Mano, MJ; Elster, J; Wilmotte, A</t>
  </si>
  <si>
    <t>Pushkareva, Ekaterina; Pessi, Igor S.; Namsaraev, Zorigto; Mano, Marie-Jose; Elster, Josef; Wilmotte, Annick</t>
  </si>
  <si>
    <t>Cyanobacteria inhabiting biological soil crusts of a polar desert: Sor Rondane Mountains, Antarctica</t>
  </si>
  <si>
    <t>BSC; Cyanobacteria; Antarctica; DGGE; 454 pyrosequencing; Biovolume</t>
  </si>
  <si>
    <t>DRY VALLEYS; BACTERIAL DIVERSITY; COMMUNITY STRUCTURE; ECOLOGY; ASSEMBLAGES; PHOTOTROPHS; PRIMERS</t>
  </si>
  <si>
    <t>Molecular and morphological methods were applied to study cyanobacterial community composition in biological soil crusts (BSCs) from four areas (two nunataks and two ridges) in the Sor Rondane Mountains, Antarctica. The sampling sites serve as control areas for open top chambers (OTCs) that were put in place in 2010 at the time of sample collection and will be compared with BSC samples taken from the OTCs in the future. Cyanobacterial cell biovolume was estimated using epifluorescence microscopy, which revealed the dominance of filamentous cyanobacteria in all studied sites except the Utsteinen ridge, where unicellular cyanobacteria were the most abundant. Cyanobacterial diversity was studied by a combination of molecular fingerprinting methods based on the 16S rRNA gene (denaturing gradient gel electrophoresis (DGGE) and 454 pyrosequencing) using cyanobacteria-specific primers. The number of DGGE sequences obtained per site was variable and, therefore, a high-throughput method was subsequently employed to improve the diversity coverage. Consistent with previous surveys in Antarctica, both methods showed that filamentous cyanobacteria, such as Leptolyngbya sp., Phormidium sp. and Microcoleus sp., were dominant in the studied sites. In addition, the studied localities differed in substrate type, climatic conditions and soil parameters, which probably resulted in differences in cyanobacterial community composition. Furthermore, the BSC growing on gneiss pebbles had lower cyanobacterial abundances than BSCs associated with granitic substrates. (C) 2018 Elsevier GmbH. All rights reserved.</t>
  </si>
  <si>
    <t>[Pushkareva, Ekaterina; Elster, Josef] Univ South Bohemia, Ctr Polar Ecol, Zlate Stoce 3, Ceske Budejovice 37005, Czech Republic; [Pessi, Igor S.; Mano, Marie-Jose; Wilmotte, Annick] Univ Liege, InBioS Ctr Prot Engn, Allee Six Aout 13,B6a, B-4000 Liege, Belgium; [Namsaraev, Zorigto] NRC Kurchatov Inst, Akad Kurchatova Pl 1, Moscow 123182, Russia; [Elster, Josef] Acad Sci Czech Republ, Inst Bot, Dukelska 135, CS-37982 Trebon, Czech Republic</t>
  </si>
  <si>
    <t>University of South Bohemia Ceske Budejovice; University of Liege; National Research Centre - Kurchatov Institute; Czech Academy of Sciences; Institute of Botany of the Czech Academy of Sciences</t>
  </si>
  <si>
    <t>Pushkareva, E (corresponding author), Univ South Bohemia, Ctr Polar Ecol, Zlate Stoce 3, Ceske Budejovice 37005, Czech Republic.</t>
  </si>
  <si>
    <t>puekse@gmail.com</t>
  </si>
  <si>
    <t>Wilmotte, Annick/H-1686-2011; Elster, Josef/B-1031-2008; Namsaraev, Zorigto/A-3696-2014</t>
  </si>
  <si>
    <t>Namsaraev, Zorigto/0000-0002-9701-5721; Wilmotte, Annick/0000-0003-3546-3489; Elster, Josef/0000-0002-4535-5636; Pessi, Igor/0000-0001-5926-7496</t>
  </si>
  <si>
    <t>Ministry of Education, Youth and Sports of the Czech Republic (CzechPolar) [LM2010009, RV067985939]; BELSPO project BELDIVA [EA/00/5B]; FNRS [1.5139.11]; FRFC [2.4570.09]; FRS-FNRS</t>
  </si>
  <si>
    <t>Ministry of Education, Youth and Sports of the Czech Republic (CzechPolar); BELSPO project BELDIVA; FNRS(Fonds de la Recherche Scientifique - FNRS); FRFC(Fonds de la Recherche Scientifique - FNRS); FRS-FNRS(Fonds de la Recherche Scientifique - FNRS)</t>
  </si>
  <si>
    <t>This work was supported by the Ministry of Education, Youth and Sports of the Czech Republic (CzechPolar LM2010009 and RV067985939). The authors acknowledge the support of the BELSPO project BELDIVA (EA/00/5B) and the credits FNRS 1.5139.11 (PYROCYANO) and FRFC 2.4570.09 (BIPOLES). AW is a Research Associate of the Belgian Funds for Scientific Research (FRS-FNRS). ZN had a mobility postdoctoral fellowship from the FRS-FNRS. ISP and MJM had PhD FRIA fellowships from the FRS-FNRS. We would like to thank Yannick Lara for his help with the molecular work and Jana Snokhousova for her technical assistance. We are also grateful to Maaike Van Cauwenberghe and Alain Hubert and his team for logistic support, and Sanne Bosteels, Rene Robert, Jaques Richon and Alain Trullemans for assistance during the field work. This study is a contribution to the State of the Antarctic Ecosystem (AntEco) research program of the Scientific Committee on Antarctic Research (SCAR).</t>
  </si>
  <si>
    <t>1618-0984</t>
  </si>
  <si>
    <t>10.1016/j.syapm.2018.01.006</t>
  </si>
  <si>
    <t>WOS:000439923300012</t>
  </si>
  <si>
    <t>Nibert, ML; Manny, AR; Debat, HJ; Firth, AE; Bertini, L; Caruso, C</t>
  </si>
  <si>
    <t>Nibert, Max L.; Manny, Austin R.; Debat, Humberto J.; Firth, Andrew E.; Bertini, Laura; Caruso, Carla</t>
  </si>
  <si>
    <t>A barnavirus sequence mined from a transcriptome of the Antarctic pearlwort Colobanthus quitensis</t>
  </si>
  <si>
    <t>ARCHIVES OF VIROLOGY</t>
  </si>
  <si>
    <t>MUSHROOM BACILLIFORM VIRUS; STRANDED RNA MYCOVIRUS; AGARICUS-BISPORUS; PROTEIN; IDENTIFICATION; GENOME</t>
  </si>
  <si>
    <t>Because so few viruses in the family Barnaviridae have been reported, we searched for more of them in public sequence databases. Here, we report the complete coding sequence of Colobanthus quitensis associated barnavirus 1, mined from a transcriptome of the Antarctic pearlwort Colobanthus quitensis. The 4.2-kb plus-strand sequence of this virus encompasses four main open reading frames (ORFs), as expected for barnaviruses, including ORFs for a protease-containing polyprotein, an RNA-dependent RNA polymerase whose translation appears to rely on - 1 ribosomal frameshifting, and a capsid protein that is likely to be translated from a subgenomic RNA. The possible derivation of this virus from a fungus associated with C. quitensis is discussed.</t>
  </si>
  <si>
    <t>[Nibert, Max L.] Harvard Med Sch, Dept Microbiol &amp; Immunobiol, Boston, MA 02115 USA; [Nibert, Max L.; Manny, Austin R.] Harvard Univ, PhD Program Virol, Cambridge, MA 02138 USA; [Debat, Humberto J.] Inst Nacl Tecnol Agr IPAVE CIAP INTA, Inst Patol Vegetal, Ctr Invest Agr, X5020ICA, Cordoba, Argentina; [Firth, Andrew E.] Univ Cambridge, Dept Pathol, Div Virol, Cambridge CB2 1QP, England; [Bertini, Laura; Caruso, Carla] Univ Tuscia, Dept Ecol &amp; Biol Sci, I-01100 Viterbo, Italy</t>
  </si>
  <si>
    <t>Harvard University; Harvard Medical School; Harvard University; Instituto Nacional de Tecnologia Agropecuaria (INTA); University of Cambridge; Tuscia University</t>
  </si>
  <si>
    <t>Nibert, ML (corresponding author), Harvard Med Sch, Dept Microbiol &amp; Immunobiol, Boston, MA 02115 USA.;Nibert, ML (corresponding author), Harvard Univ, PhD Program Virol, Cambridge, MA 02138 USA.</t>
  </si>
  <si>
    <t>mnibert@hms.harvard.edu</t>
  </si>
  <si>
    <t>Bertini, Laura/AAA-8054-2019; Debat, Humberto Julio/GXF-9011-2022; Debat, Humberto/Y-6380-2019; caruso, carla/AAC-4123-2019</t>
  </si>
  <si>
    <t>Debat, Humberto Julio/0000-0003-3056-3739; Debat, Humberto/0000-0003-3056-3739; caruso, carla/0000-0002-2482-8254; Hurst-Manny, Austin/0000-0003-3602-4509; Firth, Andrew/0000-0002-7986-9520; BERTINI, Laura/0000-0001-6335-3880</t>
  </si>
  <si>
    <t>NIH [5R01GM033050, 2T32AI007245]; Wellcome Trust [106207]; Ministero dell'Istruzione, Universita e Ricerca Scientifica (MIUR) in the framework of the PNRA (National Program for Antarctic Research) [2013/C1.02]</t>
  </si>
  <si>
    <t>NIH(United States Department of Health &amp; Human ServicesNational Institutes of Health (NIH) - USA); Wellcome Trust(Wellcome Trust); Ministero dell'Istruzione, Universita e Ricerca Scientifica (MIUR) in the framework of the PNRA (National Program for Antarctic Research)</t>
  </si>
  <si>
    <t>M.L.N. was supported in part by a subcontract from NIH grant 5R01GM033050. A.R.M. completed his work on this project during a lab rotation for the Virology Ph.D. Training Program at Harvard University, Cambridge, MA, USA, and was supported in part by NIH grant 2T32AI007245. A.E.F. was supported in part by Wellcome Trust grant 106207. L.B. and C.C. were supported in part by the Ministero dell'Istruzione, Universita e Ricerca Scientifica (MIUR) in the framework of the PNRA (National Program for Antarctic Research); project n. 2013/C1.02.</t>
  </si>
  <si>
    <t>0304-8608</t>
  </si>
  <si>
    <t>1432-8798</t>
  </si>
  <si>
    <t>ARCH VIROL</t>
  </si>
  <si>
    <t>Arch. Virol.</t>
  </si>
  <si>
    <t>10.1007/s00705-018-3794-x</t>
  </si>
  <si>
    <t>Virology</t>
  </si>
  <si>
    <t>GJ5DK</t>
  </si>
  <si>
    <t>WOS:000435401300020</t>
  </si>
  <si>
    <t>Courbin, N; Besnard, A; Péron, C; Saraux, C; Fort, J; Perret, S; Tornos, J; Grémillet, D</t>
  </si>
  <si>
    <t>Courbin, Nicolas; Besnard, Aurelien; Peron, Clara; Saraux, Claire; Fort, Jerome; Perret, Samuel; Tornos, Jeremy; Gremillet, David</t>
  </si>
  <si>
    <t>Short-term prey field lability constrains individual specialisation in resource selection and foraging site fidelity in a marine predator</t>
  </si>
  <si>
    <t>ECOLOGY LETTERS</t>
  </si>
  <si>
    <t>Behavioural consistency; Calonectris diomedea; foraging site fidelity; resource selection; Scopoli's shearwater; temporal resource dynamic; Western Mediterranean</t>
  </si>
  <si>
    <t>BEHAVIOR; STRATEGIES; DIET; SEABIRDS; MOVEMENT; TRACKING; SPACE; CONSEQUENCES; VARIABILITY; PERSONALITY</t>
  </si>
  <si>
    <t>Spatio-temporally stable prey distributions coupled with individual foraging site fidelity are predicted to favour individual resource specialisation. Conversely, predators coping with dynamic prey distributions should diversify their individual diet and/or shift foraging areas to increase net intake. We studied individual specialisation in Scopoli's shearwaters (Calonectris diomedea) from the highly dynamic Western Mediterranean, using daily prey distributions together with resource selection, site fidelity and trophic-level analyses. As hypothesised, we found dietary diversification, low foraging site fidelity and almost no individual specialisation in resource selection. Crucially, shearwaters switched daily foraging tactics, selecting areas with contrasting prey of varying trophic levels. Overall, information use and plastic resource selection of individuals with reduced short-term foraging site fidelity allow predators to overcome prey field lability. Our study is an essential step towards a better understanding of individual responses to enhanced environmental stochasticity driven by global changes, and of pathways favouring population persistence.</t>
  </si>
  <si>
    <t>[Courbin, Nicolas; Besnard, Aurelien; Perret, Samuel; Tornos, Jeremy; Gremillet, David] Univ Montpellier, Univ Paul Valery Montpellier, EPHE, CEFE,UMR 5175,CNRS, 1919 Route Mende, F-34293 Montpellier 5, France; [Peron, Clara] Univ Montpellier, Marine Biodivers Exploitat &amp; Conservat MARBEC, IRD, UMR 248, Pl Eugene Bataillon,Bat 24,CC093, F-34095 Montpellier 5, France; [Saraux, Claire] IFREMER, UMR MARBEC 248, Ave Jean Monnet CS 3017, F-34203 Sete, France; [Fort, Jerome] Univ La Rochelle, Littoral Environm &amp; Societes LIENSs, UMR 7266, CNRS, 2 Rue Olympe Gouges, F-17000 La Rochelle, France; [Gremillet, David] Univ Cape Town, Fitzpatrick Inst, DST NRF Excellence Ctr, ZA-7701 Rondebosch, South Africa</t>
  </si>
  <si>
    <t>Universite PSL; Ecole Pratique des Hautes Etudes (EPHE); Institut Agro; Montpellier SupAgro; CIRAD; Centre National de la Recherche Scientifique (CNRS); Institut de Recherche pour le Developpement (IRD); Universite Paul-Valery; Universite de Montpellier; Ifremer; Universite de Montpellier; Institut de Recherche pour le Developpement (IRD); Ifremer; Universite de Montpellier; La Rochelle Universite; Centre National de la Recherche Scientifique (CNRS); CNRS - Institute of Ecology &amp; Environment (INEE); University of Cape Town</t>
  </si>
  <si>
    <t>Courbin, N (corresponding author), Univ Montpellier, Univ Paul Valery Montpellier, EPHE, CEFE,UMR 5175,CNRS, 1919 Route Mende, F-34293 Montpellier 5, France.</t>
  </si>
  <si>
    <t>nicolas.courbin@cefe.cnrs.fr</t>
  </si>
  <si>
    <t>Tornos, Javier/Q-5249-2017; PERON, Clara/E-9840-2015; saraux, claire/AAX-8709-2020; Fort, Jerome/F-1157-2016; Gremillet, David/W-1946-2018</t>
  </si>
  <si>
    <t>saraux, claire/0000-0001-5061-4009; Tornos, Jeremy/0000-0002-8793-2518; Fort, Jerome/0000-0002-0860-6707; Gremillet, David/0000-0002-7711-9398</t>
  </si>
  <si>
    <t>French Agency for Biodiversity (AFB) within the program PACOMM-Natura2000 en mer and INDEXPUF; OSU OREME Montpellier</t>
  </si>
  <si>
    <t>This study was funded by the French Agency for Biodiversity (AFB) within the program PACOMM-Natura2000 en mer and INDEXPUF, and by the OSU OREME Montpellier. Handling protocols for shearwaters were approved by the boards of the 'Parc National des Calamities' (permit number: 2014-068, 2016-111), the French 'Direction Departementale de la Protection des Populations' (permit number: 34-369, #A34-505), the French 'Direction Departementale des Territoires et de la Mer des Bouches-du-Rhone' (permit number: 170-0010, 184-0017) and the 'Comite d'Ethique pour l'Experimentation Animale Languedoc-Rousillon' (permit number: 1170). Thanks to O. Spiegel, R. Nathan and one anonymous reviewer for their helpful comments. We are very grateful to M. Authier for his help with Bayesian models for prey, S. Benhamou for our fruitful discussions and A. Kibler for revising the manuscript. Thanks to all fieldworkers involved in this study: P. Giraudet, L. Martin, A. Gaborit Loret, M. Kriloff, J.-B. Pons, C. de Franceschi. We also thank the agents from 'Parc National des Calanques' of Marseille for providing support during the fieldwork (J.-P. Durand, C. Pastorelli and A. Mante), N. El Ksabi for the preparation of feather samples, Plateforme d'Analyses Chimiques en Ecologic at CEFE for logistic support, and Plateforme 'Spectrometric isotopique' (University of La Rochelle LIENSs) for isotopic analyses of leathers samples. Thanks to the staff of PELagic MEDiterranean oceanographic campaigns to share with us empirical data on fish and zooplankton (https://doi.org/10.18142/19) and to Directive Cadre Strategic pour le Milieu Marin for providing fish isotopic values in 2015. We are grateful to B. Raymond from the Australian Antarctic.Division for sharing his track simulation R package. We finally are very grateful to NASA (Ocean Color project), ONES (Aviso+ project), IEDA (Marine Geoscience Data System), IFREMER, SHOM and Meteo France (PREVIMER project), and EUSeaMap European project for the sharing of oceanographic data and satellite images.</t>
  </si>
  <si>
    <t>1461-023X</t>
  </si>
  <si>
    <t>1461-0248</t>
  </si>
  <si>
    <t>ECOL LETT</t>
  </si>
  <si>
    <t>Ecol. Lett.</t>
  </si>
  <si>
    <t>10.1111/ele.12970</t>
  </si>
  <si>
    <t>GJ3YN</t>
  </si>
  <si>
    <t>WOS:000435270600010</t>
  </si>
  <si>
    <t>Jarvis, RM; Gilbert, N; Orams, M; Pointing, SB; Selvaraj, S; Breen, BB</t>
  </si>
  <si>
    <t>Jarvis, Rebecca M.; Gilbert, Neil; Orams, Mark; Pointing, Stephen B.; Selvaraj, Sadhvi; Breen, Barbara Bollard</t>
  </si>
  <si>
    <t>Understanding the values and perceptions of base personnel to improve conservation management and policy in Antarctica</t>
  </si>
  <si>
    <t>Antarctica; Antarctic; Perceptions values; Conservation management; Management; Policy; ASPAs; Human activity; Human impact</t>
  </si>
  <si>
    <t>PROTECTED AREAS; SCIENCE</t>
  </si>
  <si>
    <t>The effectiveness of conservation in Antarctica is of critical global concern. Yet information on the impacts of increasing human activities in the region has been limited to date. Improved knowledge is critical for understanding the effectiveness of conservation, and evaluating how increasing human activity may influence the future of the continent. With no permanent human presence in Antarctica, personnel temporarily stationed at research bases provide a unique source of local and experiential knowledge on human activity and local changes in environment. In this paper, we report on the use of focus groups and participatory mapping activities with personnel at Scott Base, Ross Island, to explore perceptions of how Antarctica is used and valued. We found that all base personnel were concerned that increasing human activity would increase negative human impact at sites designated as Antarctic Specially Protected Areas. However, a quarter of participants also saw benefits to increasing human activity, including the potential to enhance advocacy for the future of the continent and increase support for environmental protection. Notably, base personnel perceived Antarctic Specially Protected Areas as being valued differently to the values identified in management documents, calling into question the clarity around ASPA designation and how well the protected area network in Antarctica is understood. Such information can be integrated with data from the natural sciences to develop a more complete picture of human impact on the continent, and can be used to evaluate the effectiveness of conservation management in Antarctica.</t>
  </si>
  <si>
    <t>[Jarvis, Rebecca M.; Orams, Mark; Pointing, Stephen B.; Selvaraj, Sadhvi; Breen, Barbara Bollard] Auckland Univ Technol, Sch Sci, Inst Appl Ecol New Zealand, Auckland, New Zealand; [Jarvis, Rebecca M.] Sydney Inst Marine Sci, Mosman, Australia; [Gilbert, Neil] Constantia Consulting, Auckland, New Zealand; [Orams, Mark] Auckland Univ Technol, Fac Hlth &amp; Environm Sci, Sch Sport &amp; Recreat, Auckland, New Zealand</t>
  </si>
  <si>
    <t>Auckland University of Technology; Sydney Institute of Marine Science; Auckland University of Technology</t>
  </si>
  <si>
    <t>Jarvis, RM (corresponding author), Auckland Univ Technol, Sch Sci, Inst Appl Ecol New Zealand, Auckland, New Zealand.</t>
  </si>
  <si>
    <t>rjarvis@aut.ac.nz</t>
  </si>
  <si>
    <t>Pointing, Stephen/JHT-2500-2023; Gilbert, Neil/AAD-7842-2022</t>
  </si>
  <si>
    <t>Gilbert, Neil/0000-0003-2055-4249; Bollard, Barbara/0000-0003-2103-8561; Jarvis, Rebecca/0000-0002-6297-4906; Selvaraj, Sadhvi/0000-0003-2968-6192</t>
  </si>
  <si>
    <t>New Zealand Antarctic Research Institute (NZARI) [K011]; Institute for Applied Ecology New Zealand (AENZ); School of Science at Auckland University of Technology</t>
  </si>
  <si>
    <t>New Zealand Antarctic Research Institute (NZARI); Institute for Applied Ecology New Zealand (AENZ); School of Science at Auckland University of Technology</t>
  </si>
  <si>
    <t>The authors are grateful to Antarctica New Zealand for logistical support, and to every base personnel who participated in the study. This research was funded by the New Zealand Antarctic Research Institute (NZARI) as part of 2015-2016 K011 project. We would also like to acknowledge the generous support of the Institute for Applied Ecology New Zealand (AENZ) and School of Science at Auckland University of Technology.</t>
  </si>
  <si>
    <t>10.1016/j.envsci.2018.04.006</t>
  </si>
  <si>
    <t>GJ1SY</t>
  </si>
  <si>
    <t>WOS:000435049300014</t>
  </si>
  <si>
    <t>Webb, RW; Fassnacht, SR; Gooseff, MN; Webb, SW</t>
  </si>
  <si>
    <t>Webb, Ryan W.; Fassnacht, Steven R.; Gooseff, Michael N.; Webb, Stephen W.</t>
  </si>
  <si>
    <t>The Presence of Hydraulic Barriers in Layered Snowpacks: TOUGH2 Simulations and Estimated Diversion Lengths</t>
  </si>
  <si>
    <t>TRANSPORT IN POROUS MEDIA</t>
  </si>
  <si>
    <t>Transport of Unsaturated Groundwater and Heat (TOUGH) Symposium</t>
  </si>
  <si>
    <t>SEP 28-30, 2015</t>
  </si>
  <si>
    <t>Berkeley, CA</t>
  </si>
  <si>
    <t>Snow hydrology; Hydraulic barriers; Capillary effects; Snow metamorphism</t>
  </si>
  <si>
    <t>RAIN-SNOW TRANSITION; SOIL-MOISTURE; WATER-FLOW; SPATIAL VARIABILITY; CLIMATE-CHANGE; STREAMFLOW GENERATION; PREFERENTIAL FLOW; SIERRA-NEVADA; UNITED-STATES; LATERAL FLOW</t>
  </si>
  <si>
    <t>The distribution of snow across a landscape is an important component in the hydrologic cycle of many mountainous watersheds. Snow-dominated streams will vary in timing and volume of peak flow depending on when the snow melts and the lag time for the meltwater to reach the stream. As a snowpack accumulates during winter months, variable layers with different hydraulic properties can form hydraulic barriers. Hydraulic barriers were simulated in this study using data from three snow pits located in the Spring Creek Intensive Study Area (part of the NASA CLPX dataset) of Colorado. Data for north, south, and relatively flat aspect slopes were chosen to represent the variable metamorphism that occurs under different conditions. Simulations were conducted at steady-state infiltration rates of 0.1, 1.0, and 5.0 mm/h using the EOS9 module of TOUGH2. Additional diversion length estimates were calculated using existing soil physics approximations for capillary barriers. Results demonstrate that conditions are present within a layered snowpack to produce multiple permeability and capillary barriers, though capillary barriers were only identified in simulations on the north aspect snowpack. Diversion lengths of capillary barriers ranged from 1.0 m to greater than 25 m, and permeability barriers ranged from 2.5 to 9.5 m. Furthermore, a grain size of 0.6 mm or less in the layer above an interface is necessary to produce a capillary barrier. These results suggest that during snowmelt water has high potential to be redistributed downslope prior to infiltrating the ground surface. A better understanding of a snowpack as porous media will improve future hydrologic modeling.</t>
  </si>
  <si>
    <t>[Webb, Ryan W.; Gooseff, Michael N.] Univ Colorado, Arctic &amp; Antarctic Res Inst, Boulder, CO 80309 USA; [Fassnacht, Steven R.] Colorado State Univ, Dept Ecosyst Sci &amp; Sustainabil, Ft Collins, CO 80523 USA; [Webb, Stephen W.] Canyon Ridge Consulting, Sandia Pk, NM USA</t>
  </si>
  <si>
    <t>University of Colorado System; University of Colorado Boulder; Colorado State University</t>
  </si>
  <si>
    <t>Webb, RW (corresponding author), Univ Colorado, Arctic &amp; Antarctic Res Inst, Boulder, CO 80309 USA.</t>
  </si>
  <si>
    <t>Ryan.W.Webb@Colorado.edu; Steven.Fassnacht@Colostate.edu; Michael.Gooseff@colorado.edu; Stephen.Webb.CRC@gmail.com</t>
  </si>
  <si>
    <t>Webb, Ryan/X-1122-2018; Fassnacht, Steven R/A-7742-2014; Gooseff, Michael N/N-6087-2015</t>
  </si>
  <si>
    <t>Webb, Ryan/0000-0002-1565-909X; Gooseff, Michael N/0000-0003-4322-8315</t>
  </si>
  <si>
    <t>0169-3913</t>
  </si>
  <si>
    <t>1573-1634</t>
  </si>
  <si>
    <t>TRANSPORT POROUS MED</t>
  </si>
  <si>
    <t>Transp. Porous Media</t>
  </si>
  <si>
    <t>10.1007/s11242-018-1079-1</t>
  </si>
  <si>
    <t>Engineering, Chemical</t>
  </si>
  <si>
    <t>GJ0BN</t>
  </si>
  <si>
    <t>WOS:000434910500002</t>
  </si>
  <si>
    <t>Riddick, SN; Dragosits, U; Blackall, TD; Tomlinson, SJ; Daunt, F; Wanless, S; Hallsworth, S; Braban, CF; Tang, YS; Sutton, MA</t>
  </si>
  <si>
    <t>Riddick, Stuart N.; Dragosits, Ulrike; Blackall, Trevor D.; Tomlinson, Sam J.; Daunt, Francis; Wanless, Sarah; Hallsworth, Stephen; Braban, Christine F.; Tang, Y. Sim; Sutton, Mark A.</t>
  </si>
  <si>
    <t>Global assessment of the effect of climate change on ammonia emissions from seabirds</t>
  </si>
  <si>
    <t>Seabirds; Global NH3 emission; Process-based modelling; Climate change</t>
  </si>
  <si>
    <t>ATMOSPHERE EXCHANGE; ORNITHOGENIC SOILS; ANTARCTICA; ECOSYSTEM; GUANO; MODEL; OCEAN; LAND</t>
  </si>
  <si>
    <t>Seabird colonies alter the biogeochemistry of nearby ecosystems, while the associated emissions of ammonia (NH3) may cause acidification and eutrophication of finely balanced biomes. To examine the possible effects of future climate change on the magnitude and distribution of seabird NH3 emissions globally, a global seabird database was used as input to the GUANO model, a dynamic mass-flow process-based model that simulates NH3 losses from seabird colonies at an hourly resolution in relation to environmental conditions. Ammonia emissions calculated by the GUANO model were in close agreement with measured NH3 emissions across a wide range of climates. For the year 2010, the total global seabird NH3 emission is estimated at 82 [37-127] Gg year(-1). This is less than previously estimated using a simple temperature-dependent empirical model, mainly due to inclusion of nitrogen wash-off from colonies during precipitation events in the GUANO model. High precipitation, especially between 40 degrees and 60 degrees S, results in total emissions for the penguin species that are 82% smaller than previously estimated, while for species found in dry tropical areas, emissions are 83-133% larger. Application of temperature anomalies for several IPCC scenarios for 2099 in the GUANO model indicated a predicted net increase in global seabird NH3 emissions of 27% (B1 scenario) and 39% (A2 scenario), compared with the 2010 estimates. At individual colonies, the net change was the result of influences of temperature, precipitation and relative humidity change, with smaller effects of wind-speed changes. The largest increases in NH3 emissions (mean: 60% [486 to -50] increase; A2 scenario for 2099 compared with 2010) were found for colonies 40 degrees S to 65 degrees N, and may lead to increased plant growth and decreased biodiversity by eliminating nitrogen sensitive plant species. Only 7% of the seabird colonies assessed globally (mainly limited to the sub-polar Southern Ocean) were estimated to experience a reduction in NH3 emission (average: -18% [-50 to 0] reduction between 2010 and 2099, A2 scenario), where an increase in precipitation was found to more than offset the effect of rising temperatures.</t>
  </si>
  <si>
    <t>[Riddick, Stuart N.; Dragosits, Ulrike; Tomlinson, Sam J.; Daunt, Francis; Wanless, Sarah; Hallsworth, Stephen; Braban, Christine F.; Tang, Y. Sim; Sutton, Mark A.] Ctr Ecol &amp; Hydrol Edinburgh, Bush Estate, Edinburgh, Midlothian, Scotland; [Riddick, Stuart N.; Blackall, Trevor D.] Kings Coll London, London, England</t>
  </si>
  <si>
    <t>UK Centre for Ecology &amp; Hydrology (UKCEH); University of London; King's College London</t>
  </si>
  <si>
    <t>Riddick, SN (corresponding author), Princeton Univ, Princeton, NJ 08544 USA.</t>
  </si>
  <si>
    <t>sriddick@princeton.edu</t>
  </si>
  <si>
    <t>Daunt, Francis/K-6688-2012; Sutton, Mark/K-2700-2012; Braban, Christine Fiona/J-3225-2012</t>
  </si>
  <si>
    <t>Sutton, Mark/0000-0002-1342-2072; Tang, Sim/0000-0002-7814-3998; Tomlinson, Sam/0000-0002-3237-7596</t>
  </si>
  <si>
    <t>NERC CEH Environmental Change Integrating Fund (ECIF); NERC thematic programme (GANE) [GST022735]; BAS Bird Island [CGS-68]; NERC [ceh020011, NE/L013371/1] Funding Source: UKRI</t>
  </si>
  <si>
    <t>NERC CEH Environmental Change Integrating Fund (ECIF); NERC thematic programme (GANE); BAS Bird Island; NERC(UK Research &amp; Innovation (UKRI)Natural Environment Research Council (NERC))</t>
  </si>
  <si>
    <t>The work described in this paper was supported by grants from the NERC CEH Environmental Change Integrating Fund (ECIF), the NERC thematic programme (GANE; #GST022735) and ongoing NERC National Capability programme. It provides modelling underpinning as a contribution to Activity 1.5 of the International Nitrogen Management System (and the 'Towards INMS' project), under the overall lead of UN Environment and the International Nitrogen Initiative (INI). Thanks to D. Briggs of British Antarctic Survey (BAS) on Signy for information on meteorology and nesting penguins, and the BAS Bird Island crew for their technical and physical support (BAS CGS grant #CGS-68). Thanks to the CEH coastal seas ecology group and other researchers on the Isle of May, especially to M. A. Newell, M. P. Harris (both CEH), T. Alampo and D. Pickett (both Scottish National Heritage). We are grateful to L. J. Wilson (CEH) for initial work on the seabird database and seabird NH3 emissions and all contributors that provided data for the seabird database: Birdlife International, E. Woehler (University of Tasmania, Australia), H. Strom (Nordic Seabird Group), Y.Yu (Hong Kong Bird Society), R. Mayor (JNCC, UK), D. Irons (US FWS), Canada's Important Bird Areas, Australian Department for Environment, G. Taylor (Department of Conservation, NZ), P. Yorio (Centro Nacional Patagonico), C. A. Yeap (Malaysian Nature Society), P. Round (Mahidol Unversity), A. Petersen (Icelandic Institute of Natural History), C. Egevang (Greenland Institute of Natural Resources), T. Yamamoto (Japan National Institute of Polar Research), T. Anker-Nilssen (Norwegian Institute for Nature Research), J. Elts (Estonian Ornithological Society), M. Hario (Finnish Game and Fisheries Research), Y. Artukhin (Pacific Institute of Geography), M. Paleczny (UBC), R. Allen (Florida Fish and Wildlife Conservation Commission), C. Kisiel (NJ Fish and Wildlife, USA), M. Gibbons, D. Rosenblatt (both Stony Brook University), S. Cameron (North Carolina Wildlife Resources Commission), B. Ortego (US FWS Texas), S. Stephensen (US FWS Oregon) and R. Boettcher (VA Game and Inland Fisheries).</t>
  </si>
  <si>
    <t>10.1016/j.atmosenv.2018.04.038</t>
  </si>
  <si>
    <t>GH7RY</t>
  </si>
  <si>
    <t>WOS:000433652300022</t>
  </si>
  <si>
    <t>He, RR; Chen, YF; Huang, Q; Yu, SN; Hou, Y</t>
  </si>
  <si>
    <t>He, Ran-Ran; Chen, Yuanfang; Huang, Qin; Yu, Sheng-Nan; Hou, Yong</t>
  </si>
  <si>
    <t>Evaluation of ocean-atmospheric indices as predictors for summer streamflow of the Yangtze River based on ROC analysis</t>
  </si>
  <si>
    <t>ROC analysis; Area under the ROC curve (AUC); The Yangtze River; Summer streamflow; Ocean-atmospheric indices</t>
  </si>
  <si>
    <t>NINO-SOUTHERN-OSCILLATION; ANNUAL MAXIMUM STREAMFLOW; ANTARCTIC OSCILLATION; SEASONAL STREAMFLOW; POSSIBLE MECHANISM; GORGES DAM; MONSOON; ENSO; RAINFALL; VARIABILITY</t>
  </si>
  <si>
    <t>Antecedent anomalies of sea surface temperature and atmospheric circulation are important signals for making long-term streamflow forecasts. In this study, four groups of ocean-atmospheric indices, i.e, El Nio Southern Oscillation (ENSO), the Northern Hemisphere atmospheric circulation, the Southern Hemisphere atmospheric circulation (SAC), and the Western Pacific and Indian Ocean SST (WPI), are evaluated for forecasting summer streamflow of the Yangtze River. The gradient boosting regression tree (GBRT) is used to forecast streamflow based on each group of indices. The score based on receiver operating characteristics (ROC) curves, i.e., area under the ROC curve (AUC), is used to evaluate skills of models for identifying the high category and the low category of summer streamflow. It is found that the ENSO group and the SAC group show higher AUC values. Furthermore, both AUC values of GBRT models and individual indices show that the low flow years are easier to be identified than the high flow years. The result of this study highlights the skill from the Southern Hemisphere circulation systems for forecasting summer streamflow of the Yangtze River. Results of relative influences of predictors in GBRT models and AUC of individual indices indicate some key ocean-atmospheric indices, such as the Multivariate ENSO Index and the 500-hPa height of the east of Australia.</t>
  </si>
  <si>
    <t>[He, Ran-Ran] Hohai Univ, Coll Hydrol &amp; Water Resources, Nanjing 210098, Jiangsu, Peoples R China; [He, Ran-Ran] Bengbu Univ, Expt Ctr Environm Sci, Bengbu 233030, Peoples R China; [Chen, Yuanfang; Huang, Qin] Hohai Univ, Coll Hydrol &amp; Water Resources, Nanjing 210098, Jiangsu, Peoples R China; [Yu, Sheng-Nan] Shenzhen GuangHuiYuan Water Conservancy Explorat, Shenzhen 518000, Peoples R China; [Hou, Yong] Bengbu Univ, Sch Comp Engn, Bengbu 233030, Peoples R China</t>
  </si>
  <si>
    <t>Hohai University; Bengbu University; Hohai University; Bengbu University</t>
  </si>
  <si>
    <t>He, RR (corresponding author), Hohai Univ, Coll Hydrol &amp; Water Resources, Nanjing 210098, Jiangsu, Peoples R China.;He, RR (corresponding author), Bengbu Univ, Expt Ctr Environm Sci, Bengbu 233030, Peoples R China.</t>
  </si>
  <si>
    <t>heranran2006@163.com</t>
  </si>
  <si>
    <t>He, Ran-Ran/0000-0001-9241-3600</t>
  </si>
  <si>
    <t>10.1007/s00477-018-1551-z</t>
  </si>
  <si>
    <t>GI9IX</t>
  </si>
  <si>
    <t>WOS:000434839500001</t>
  </si>
  <si>
    <t>Naughten, KA; Meissner, KJ; Galton-Fenzi, BK; England, MH; Timmermann, R; Hellmer, HH</t>
  </si>
  <si>
    <t>Naughten, Kaitlin A.; Meissner, Katrin J.; Galton-Fenzi, Benjamin K.; England, Matthew H.; Timmermann, Ralph; Hellmer, Hartmut H.</t>
  </si>
  <si>
    <t>Future Projections of Antarctic Ice Shelf Melting Based on CMIP5 Scenarios</t>
  </si>
  <si>
    <t>Ocean; Antarctica; Southern Ocean; Climate change; Ocean models</t>
  </si>
  <si>
    <t>MODELS HISTORICAL BIAS; CIRCUMPOLAR DEEP-WATER; SEA CONTINENTAL-SHELF; PINE ISLAND GLACIER; SOUTHERN-OCEAN; FORCING RESPONSE; GENERAL-CIRCULATION; WEST ANTARCTICA; CLIMATE MODEL; MASS-BALANCE</t>
  </si>
  <si>
    <t>Basal melting of Antarctic ice shelves is expected to increase during the twenty-first century as the ocean warms, which will have consequences for ice sheet stability and global sea level rise. Here we present future projections of Antarctic ice shelf melting using the Finite Element Sea Ice/Ice-Shelf Ocean Model (FESOM) forced with atmospheric output from models from phase 5 of the Coupled Model Intercomparison Project (CMIP5). CMIP5 models are chosen based on their agreement with historical atmospheric reanalyses over the Southern Ocean; the best-performing models are ACCESS 1.0 and the CMIP5 multimodel mean. Their output is bias-corrected for the representative concentration pathway (RCP) 4.5 and 8.5 scenarios. During the twenty-first-century simulations, total ice shelf basal mass loss increases by between 41% and 129%. Every sector of Antarctica shows increased basal melting in every scenario, with the largest increases occurring in the Amundsen Sea. The main mechanism driving this melting is an increase in warm Circumpolar Deep Water on the Antarctic continental shelf. A reduction in wintertime sea ice formation simulated during the twenty-first century stratifies the water column, allowing a warm bottom layer to develop and intrude into ice shelf cavities. This effect may be overestimated in the Amundsen Sea because of a cold bias in the present-day simulation. Other consequences of weakened sea ice formation include freshening of High Salinity Shelf Water and warming of Antarctic Bottom Water. Furthermore, freshening around the Antarctic coast in our simulations causes the Antarctic Circumpolar Current to weaken and the Antarctic Coastal Current to strengthen.</t>
  </si>
  <si>
    <t>[Naughten, Kaitlin A.; Meissner, Katrin J.; England, Matthew H.] Univ New South Wales, Climate Change Res Ctr, Sydney, NSW, Australia; [Naughten, Kaitlin A.; Meissner, Katrin J.; England, Matthew H.] ARC Ctr Excellence Climate Syst Sci, Sydney, NSW, Australia; [Naughten, Kaitlin A.; Galton-Fenzi, Benjamin K.] Antarctic Climate &amp; Ecosyst Cooperat Res Ctr, Hobart, Tas, Australia; [Galton-Fenzi, Benjamin K.] Australian Antarctic Div, Hobart, Tas, Australia; [Timmermann, Ralph; Hellmer, Hartmut H.] Alfred Wegener Inst, Bremerhaven, Germany; [Naughten, Kaitlin A.] British Antarctic Survey, Cambridge, England</t>
  </si>
  <si>
    <t>University of New South Wales Sydney; ARC Centre of Excellence for Climate System Science; Antarctic Climate &amp; Ecosystems Cooperative Research Centre (ACE CRC); Australian Antarctic Division; Helmholtz Association; Alfred Wegener Institute, Helmholtz Centre for Polar &amp; Marine Research; UK Research &amp; Innovation (UKRI); Natural Environment Research Council (NERC); NERC British Antarctic Survey</t>
  </si>
  <si>
    <t>Naughten, KA (corresponding author), Univ New South Wales, Climate Change Res Ctr, Sydney, NSW, Australia.;Naughten, KA (corresponding author), ARC Ctr Excellence Climate Syst Sci, Sydney, NSW, Australia.;Naughten, KA (corresponding author), Antarctic Climate &amp; Ecosyst Cooperat Res Ctr, Hobart, Tas, Australia.;Naughten, KA (corresponding author), British Antarctic Survey, Cambridge, England.</t>
  </si>
  <si>
    <t>kaight@bas.ac.uk</t>
  </si>
  <si>
    <t>England, Matthew/A-7539-2011</t>
  </si>
  <si>
    <t>England, Matthew/0000-0001-9696-2930; Meissner, Katrin/0000-0002-0716-7415; Naughten, Kaitlin/0000-0001-9475-9162; Galton-Fenzi, Benjamin Keith/0000-0003-1404-4103</t>
  </si>
  <si>
    <t>Australian Government scholarship under the Australian Postgraduate Award and Research Training Program schemes; UNSW Research Excellence Award; UNSW Science Silver Star Award; UNSW Gold Star Award; Australian Research Council's Centre of Excellence for Climate System Science; Australian Government's Cooperative Research Centre Programme through the Antarctic Climate and Ecosystems Cooperative Research Centre; Australian Research Council's Special Research Initiative for the Antarctic Gateway Partnership [SRI40300001]; Helmholtz Climate Initiative REKLIM (Regional Climate Change), Helmholtz Association of German Research Centres (HGF); Earth Science and Climate Change Hub of the Australian Government's National Environmental Science Programme (NESP); Centre for Southern Hemisphere Oceans Research (CSHOR); QNLM; CSIRO; UNSW; UTAS</t>
  </si>
  <si>
    <t>Australian Government scholarship under the Australian Postgraduate Award and Research Training Program schemes; UNSW Research Excellence Award; UNSW Science Silver Star Award; UNSW Gold Star Award; Australian Research Council's Centre of Excellence for Climate System Science(Australian Research Council); Australian Government's Cooperative Research Centre Programme through the Antarctic Climate and Ecosystems Cooperative Research Centre; Australian Research Council's Special Research Initiative for the Antarctic Gateway Partnership(Australian Research Council); Helmholtz Climate Initiative REKLIM (Regional Climate Change), Helmholtz Association of German Research Centres (HGF); Earth Science and Climate Change Hub of the Australian Government's National Environmental Science Programme (NESP); Centre for Southern Hemisphere Oceans Research (CSHOR); QNLM; CSIRO(Commonwealth Scientific &amp; Industrial Research Organisation (CSIRO)); UNSW; UTAS</t>
  </si>
  <si>
    <t>We thank Marta Kasper, Yoshihiro Nakayama, and Lukrecia Stulic for assistance installing and configuring FESOM and Dmitry Sein for assistance generating the unstructured mesh. We are also grateful to Ariaan Purich for helpful discussions regarding CMIP5 sea ice projections. This research was supported by an Australian Government scholarship under the Australian Postgraduate Award and Research Training Program schemes, a UNSW Research Excellence Award, and UNSW Science Silver Star and Gold Star Awards. Support was also provided by the Australian Research Council's Centre of Excellence for Climate System Science and the Australian Government's Cooperative Research Centre Programme through the Antarctic Climate and Ecosystems Cooperative Research Centre. Computational resources were provided by the NCI National Facility at the Australian National University, through awards under the Merit Allocation Scheme, the Intersect allocation scheme, and the UNSW HPC at NCI Scheme. Ben Galton-Fenzi is supported under the Australian Research Council's Special Research Initiative for the Antarctic Gateway Partnership SRI40300001, which also contributes to the World Climate Research Programme (WCRP) Climate and Cryosphere (CliC) project Targeted Activity ''Linkages between Cryosphere Elements.'' Ralph Timmermann acknowledges funding by the Helmholtz Climate Initiative REKLIM (Regional Climate Change), a joint research project of the Helmholtz Association of German Research Centres (HGF). Matthew England is also supported by the Earth Science and Climate Change Hub of the Australian Government's National Environmental Science Programme (NESP) and the Centre for Southern Hemisphere Oceans Research (CSHOR), a joint research centre between QNLM, CSIRO, UNSW, and UTAS. Finally, John Klinck and two anonymous reviewers provided helpful comments on an earlier version of this manuscript.</t>
  </si>
  <si>
    <t>10.1175/JCLI-D-17-0854.1</t>
  </si>
  <si>
    <t>WOS:000434636100001</t>
  </si>
  <si>
    <t>Alvarez-Varas, R; Morales-Moraga, D; González-Acuña, D; Klarian, SA; Vianna, JA</t>
  </si>
  <si>
    <t>Alvarez-Varas, Rocio; Morales-Moraga, David; Gonzalez-Acuna, Daniel; Klarian, Sebastian A.; Vianna, Juliana A.</t>
  </si>
  <si>
    <t>Mercury Exposure in Humboldt (Spheniscus humboldti) and Chinstrap (Pygoscelis antarcticus) Penguins Throughout the Chilean Coast and Antarctica</t>
  </si>
  <si>
    <t>ARCHIVES OF ENVIRONMENTAL CONTAMINATION AND TOXICOLOGY</t>
  </si>
  <si>
    <t>POPULATION-LEVEL VARIATION; EUDYPTULA-MINOR; TROPHIC CALCULATIONS; FORAGING STRATEGIES; MAGELLANIC PENGUINS; DIFFERENT LOCATIONS; NORTHERN CHILE; TRACE-METALS; COPPER MINE; FOOD-WEB</t>
  </si>
  <si>
    <t>Penguins are reliable sentinels for environmental assessments of mercury (Hg) due to their longevity, abundance, high trophic level, and relatively small foraging areas. We analyzed Hg concentrations from blood and feathers of adult Humboldt penguins (Spheniscus humboldti) and feathers of chinstrap penguins (Pygoscelis antarcticus) from different reproductive colonies with variable degrees of urbanization and industrialization along the Chilean and Antarctic coasts. We evaluated Hg concentration differences between species, sexes (Humboldt penguins), and localities. Our results showed significantly greater levels in Humboldt penguins than in chinstrap penguins and nonsignificant differences between sexes among Humboldts. Penguin Hg concentrations showed a latitudinal pattern, with greater values of the metal at lower latitudes, independent of the species. Both studied penguin species showed elevated Hg concentrations compared to their congeners, highlighting the necessity to investigate potential negative effects on their populations. Although differences between species are possibly due to variation in diet and trophic level, our results suggest an important effect of the degree of Hg pollution adjacent to foraging areas. Further research on Hg content in prey species and environmental samples, together with a larger overall sample size, and investigation on penguin's diet and trophic level are needed to elucidate Hg bioavailability in each location and the role of local Hg pollution levels. Likewise, it is important to monitor Hg and other heavy metals of ecotoxicological importance in penguin populations in vulnerable regions of Chile.</t>
  </si>
  <si>
    <t>[Alvarez-Varas, Rocio; Vianna, Juliana A.] Pontificia Univ Catolica Chile, Fac Agron &amp; Ingn Forestal, Dept Ecosistemas &amp; Medio Ambiente, Lab Biodiversidad Mol, Ave Vicuna Mackenna 4860,Casilla 306,Correo 22, Santiago, Chile; [Morales-Moraga, David] Pontificia Univ Catolica Chile, Fac Agron &amp; Ingn Forestal, Dept Ecosistemas &amp; Medio Ambiente, Ctr Cambio Global, Casilla 306,Correo 22, Santiago, Chile; [Gonzalez-Acuna, Daniel] Univ Concepcion, Fac Ciencias Vet, Casilla 537, Chillan, Chile; [Klarian, Sebastian A.] Univ Andres Bello, Fac Ecol &amp; Recursos Nat, Ctr Invest Marina Quintay, Ave Quillota 980, Vina Del Mar, Chile; [Klarian, Sebastian A.] Univ Andres Bello, Fac Ecol &amp; Recursos Nat, Ctr Invest Sustentabilidad, Ave Republ 440, Santiago, Chile; [Klarian, Sebastian A.] Univ Andres Bello, Lab Anal Isotop, Ave Quillota 980, Vina Del Mar, Chile</t>
  </si>
  <si>
    <t>Pontificia Universidad Catolica de Chile; Pontificia Universidad Catolica de Chile; Universidad de Concepcion; Universidad Andres Bello; Universidad Andres Bello; Universidad Andres Bello</t>
  </si>
  <si>
    <t>Vianna, JA (corresponding author), Pontificia Univ Catolica Chile, Fac Agron &amp; Ingn Forestal, Dept Ecosistemas &amp; Medio Ambiente, Lab Biodiversidad Mol, Ave Vicuna Mackenna 4860,Casilla 306,Correo 22, Santiago, Chile.</t>
  </si>
  <si>
    <t>jvianna@uc.cl</t>
  </si>
  <si>
    <t>; Vianna, Juliana/E-9847-2015</t>
  </si>
  <si>
    <t>Alvarez-Varas, Rocio/0000-0003-4963-1922; Vianna, Juliana/0000-0003-2330-7825</t>
  </si>
  <si>
    <t>Fondecyt [11110060, 1170972]; CONICYT Master Scholarship; [INACH T 12_13]</t>
  </si>
  <si>
    <t>Fondecyt(Comision Nacional de Investigacion Cientifica y Tecnologica (CONICYT)CONICYT FONDECYT); CONICYT Master Scholarship;</t>
  </si>
  <si>
    <t>Financial support for this study was provided by Fondecyt Nos. 11110060 and 1170972, INACH T 12_13, and CONICYT Master Scholarship. Laboratory analyses were performed at the Heavy Metals Laboratory (DECOL) of the Pontificia Universidad Catolica de Chile and at the Heavy Metal Laboratory of the Universidad Andres Bello. The authors thank Daniel Gonzalez's team for their contribution in sampling and Roberto Melendez and Sebastian Klarian's team for their help with laboratory work. Thanks to Nicole Sallaberry, Cayetano Espinosa, Barbara Ramos, Fernanda Norambuena, Jose Luis Vega, Marcela Jauregui, and Betsy Pincheira for their support in fieldwork, lab analyses and English revision. Finally, the authors thank the journal's reviewers for their comments and suggestions that helped us improve this manuscript.</t>
  </si>
  <si>
    <t>0090-4341</t>
  </si>
  <si>
    <t>1432-0703</t>
  </si>
  <si>
    <t>ARCH ENVIRON CON TOX</t>
  </si>
  <si>
    <t>Arch. Environ. Contam. Toxicol.</t>
  </si>
  <si>
    <t>10.1007/s00244-018-0529-7</t>
  </si>
  <si>
    <t>GI4PK</t>
  </si>
  <si>
    <t>WOS:000434353500009</t>
  </si>
  <si>
    <t>Galera, H; Chwedorzewska, K; Korczak-Abshire, M; Wódkiewicz, M</t>
  </si>
  <si>
    <t>Galera, Halina; Chwedorzewska, Katarzyna J.; Korczak-Abshire, Malgorzata; Wodkiewicz, Maciej</t>
  </si>
  <si>
    <t>What affects the probability of biological invasions in Antarctica? Using an expanded conceptual framework to anticipate the risk of alien species expansion</t>
  </si>
  <si>
    <t>Maritime Antarctic; Alien species; Biodiversity; Biological invasions; Framework; Propagule pressure</t>
  </si>
  <si>
    <t>KING-GEORGE-ISLAND; POA-ANNUA L.; SOUTH SHETLAND; ADMIRALTY BAY; CHINSTRAP PENGUINS; ARCTOWSKI STATION; INTRODUCED PLANTS; SOIL PROPERTIES; RESIDENCE TIME; CIERVA POINT</t>
  </si>
  <si>
    <t>Successful alien species invasion depends on many factors studied mostly in post invasion habitats, and subsequently summarized in frameworks tailored to describe the studied invasion. We used an existing expanded framework with three groups of contributing factors: habitat invisibility, system context and species invasiveness, to analyze the probability of alien species invasions in terrestrial communities of Maritime Antarctic in the future. We focused on the first two factor groups. We tested if the expanded framework could be used under a different scenario. We chose Point Thomas Oasis on King George Island to perform our analysis. Strong geographical barrier, low potential bioclimatic suitability and resource availability associated with habitat invasibility significantly reduce the likelihood of biological invasion in Antarctica. An almost full enemy release (low pressure of consumers), the high patchiness of the habitat, and the prevalence of open gaps also associated with habitat invasibility increase the possibility of invasion. The dynamics of functional connectivity, propagule pressure and spatio-temporal patterns of propagule arrival associated with human activity and climate change belonging to the system context contribute to an increase in the threat of invasions. Due to the still low land transport activity migration pathways are limited and will reduce the spread of alien terrestrial organisms by land. An effective way of preventing invasions in Antarctica seems to lie in reducing propagule pressure and eliminating alien populations as early as possible. The expanded conceptual framework opens up wider possibilities in analyzing invasions taking place in different systems and with multiple taxa.</t>
  </si>
  <si>
    <t>[Galera, Halina; Wodkiewicz, Maciej] Univ Warsaw, Biol &amp; Chem Res Ctr, Fac Biol, Zwirki &amp; Wigury 101, PL-02089 Warsaw, Poland; [Chwedorzewska, Katarzyna J.; Korczak-Abshire, Malgorzata] Inst Biochem &amp; Biophys PAS, Dept Antarctic Biol, Pawinskiego 5a,9, PL-02106 Warsaw, Poland</t>
  </si>
  <si>
    <t>University of Warsaw; Polish Academy of Sciences; Institute of Biochemistry &amp; Biophysics - Polish Academy of Sciences</t>
  </si>
  <si>
    <t>Wódkiewicz, M (corresponding author), Univ Warsaw, Biol &amp; Chem Res Ctr, Fac Biol, Zwirki &amp; Wigury 101, PL-02089 Warsaw, Poland.</t>
  </si>
  <si>
    <t>wodkie@biol.uw.edu.pl</t>
  </si>
  <si>
    <t>Galera, Halina/V-5347-2018; Korczak-Abshire, Malgorzata/AAA-1563-2020; Chwedorzewska, Katarzyna/M-9721-2019; Galera, Halina/IUQ-1030-2023; Chwedorzewska, Katarzyna J/A-9480-2008</t>
  </si>
  <si>
    <t>Galera, Halina/0000-0001-6983-0908; Korczak-Abshire, Malgorzata/0000-0001-7695-0588; Chwedorzewska, Katarzyna/0000-0001-6860-3666; Wodkiewicz, Maciej/0000-0002-7358-126X</t>
  </si>
  <si>
    <t>National Science Centre [218361 (2013/09/B/NZ8/03293)]; EU European Regional Development Fund under the Innovative Economy Operational Program</t>
  </si>
  <si>
    <t>National Science Centre(National Science Centre, Poland); EU European Regional Development Fund under the Innovative Economy Operational Program</t>
  </si>
  <si>
    <t>This work was supported by The National Science Centre by a Grant No 218361 (2013/09/B/NZ8/03293). Part of this study was carried out at the Biological and Chemical Research Centre, University of Warsaw, established within a project co-financed by the EU European Regional Development Fund under the Innovative Economy Operational Program, 2007-2013. The data used in the paper were collected based on Henryk Arctowski Polish Antarctic Station. The authors thank Michal Biela and Peter Robb for assistance in proofreading this text. We would like to thank an anonymous reviewer for a fruitful discussion that has improved our paper.</t>
  </si>
  <si>
    <t>10.1007/s10531-018-1547-5</t>
  </si>
  <si>
    <t>GI3EU</t>
  </si>
  <si>
    <t>WOS:000434255200001</t>
  </si>
  <si>
    <t>Lund-Hansen, LC; Juul, T; Eskildsen, TD; Hawes, I; Sorrell, B; Melvad, C; Hancke, K</t>
  </si>
  <si>
    <t>Lund-Hansen, Lars Chresten; Juul, Thomas; Eskildsen, Tor Dam; Hawes, Ian; Sorrell, Brian; Melvad, Claus; Hancke, Kasper</t>
  </si>
  <si>
    <t>A low-cost remotely operated vehicle (ROV) with an optical positioning system for under-ice measurements and sampling</t>
  </si>
  <si>
    <t>ROV; Sea ice; Snow; Transmittance; NDI; Greenland</t>
  </si>
  <si>
    <t>ARCTIC SEA-ICE; ANTARCTIC PACK ICE; LIGHT TRANSMISSION; ALGAL COMMUNITY; SNOW; VARIABILITY; GROWTH; THICKNESS; REMOVAL; BIOMASS</t>
  </si>
  <si>
    <t>Here we describe the design, performance and field tests of a lightweight (13.1 kg), low-cost (15.000 USD), and portable remotely operated vehicle (ROV) of dimensions 55 x 43 x 34 cm (L x H x W), with a new optical based positioning system. The ROV is designed for deployments and measurements of the irradiance field at a short distance below sea ice bottom in landfast level sea ice at calm under ice conditions. It is equipped with two cameras (front and rear) for optical positioning based on reference poles with LED lights below the ice. A third upward camera is for guiding during deployment and positioning. The ROV is equipped with spacer poles to maintain a constant distance between ROV with onboard optical sensors and bottom of the ice. All pre-tests of housing, thrusters, optical positioning, and ROV maneuverability were carried out in freshwater basins prior to field trials and tests. These were conducted at Kangerlussuaq, West Greenland on landfast first-year 79-80 cm thick ice with a variable (1-12 cm) snow cover in March 2016. The ROV was easily deployed through a hole (75 x 50 cm) in the ice and easy to maneuver below the ice. Test of positioning system showed an average deviation of 28 +/- 5 cm between optically based position and actual position with an average offset from center line of 16 +/- 5 cm. The ROV was applied for measuring the under-ice irradiance field and results demonstrated a solid negative correlation between snow depth and PAR transmittance. We derived a Normalized Differences Index (NDI) for snow depths: NDIsnow (depth) = [E(610 nm) - E(490 nm)]/[E(610 nm) + E(490 nm)] with minimum attenuation at 490 nm and maximum at 610 nm. It is discussed that the correlations for both PAR transmittance and the NDI with snow depths are due to a combination of a constant distance between optical sensor and ice bottom, and accurate positioning. A test showed that the wakes of thrusters removed parts of the ice algae biomass, but the study demonstrates the applicability of this ROV design for measurements of the under-ice irradiance field below landfast sea ice with a new optical based positioning system.</t>
  </si>
  <si>
    <t>[Lund-Hansen, Lars Chresten; Sorrell, Brian; Hancke, Kasper] Aarhus Univ, Dept Biosci, Aquat Biol, Bldg 1134,Ole Worms Alle 1, DK-8000 Aarhus C, Denmark; [Lund-Hansen, Lars Chresten; Sorrell, Brian] Aarhus Univ, Dept Biosci, Arctic Res Ctr, Bldg 1540,Ny Munkegade 114, DK-8000 Aarhus C, Denmark; [Juul, Thomas; Eskildsen, Tor Dam; Melvad, Claus] Aarhus Univ, Sch Engn, Inge Lehmanns Gade 10, DK-8000 Aarhus C, Denmark; [Hawes, Ian] Univ Waikato, Coastal Marine Field Stn, Sulphur Point 3110, Tauranga, New Zealand; [Hancke, Kasper] Norwegian Inst Water Res NIVA, Res Ctr Coast &amp; Ocean, Gaustadalleen 21, N-0349 Oslo, Norway</t>
  </si>
  <si>
    <t>Aarhus University; Aarhus University; Aarhus University; University of Waikato; Norwegian Institute for Water Research (NIVA)</t>
  </si>
  <si>
    <t>Lund-Hansen, LC (corresponding author), Aarhus Univ, Dept Biosci, Aquat Biol, Bldg 1134,Ole Worms Alle 1, DK-8000 Aarhus C, Denmark.</t>
  </si>
  <si>
    <t>lund-hansen@bios.au.dk</t>
  </si>
  <si>
    <t>Lund-Hansen, Lars Chresten/J-8888-2013; Sorrell, Brian/L-1351-2013</t>
  </si>
  <si>
    <t>Hawes, Ian/0000-0003-2471-6903; Melvad, Claus/0000-0002-5720-6523; Lund-Hansen, Lars Chresten/0000-0001-5925-322X; Sorrell, Brian/0000-0002-2460-8438; Hancke, Kasper/0000-0001-7332-7926</t>
  </si>
  <si>
    <t>The Danish Council for Independent Research [DFF - 1323-00335]; The Carlsberg Foundation [2011CB-549549]; Aarhus University [AU-9843843]; Brdr. Hartmann Foundation</t>
  </si>
  <si>
    <t>The Danish Council for Independent Research(Det Frie Forskningsrad (DFF)); The Carlsberg Foundation(Carlsberg Foundation); Aarhus University; Brdr. Hartmann Foundation</t>
  </si>
  <si>
    <t>The project received financial support from The Danish Council for Independent Research (Project DFF - 1323-00335, Sea ice ecosystems: Ecological effects of a thinning snow cover), The Carlsberg Foundation (2011CB-549549), Aarhus University (AU-9843843), and the Brdr. Hartmann Foundation. Thanks to Basse Vaengtoft, Rikka Moller, and Chi Kim Thi Pham at KISS for logistical assistance and help.</t>
  </si>
  <si>
    <t>10.1016/j.coldregions.2018.03.017</t>
  </si>
  <si>
    <t>WOS:000432682200016</t>
  </si>
  <si>
    <t>Indirect load case estimation for propeller-ice moments from shaft line torque measurements</t>
  </si>
  <si>
    <t>Full-scale measurements; Ice-induced propeller loads; Shaft line torque; Inverse problem; Regularization</t>
  </si>
  <si>
    <t>In order to estimate the forces exerted on ship propellers during ice navigation, the rotational dynamics of the propulsion system need to be accurately modelled. The blade measurements of ice loads on the propellers of ships during ice navigation is challenged by the harsh operating environment. Shaft line measurements are therefore performed inboard, and the required propeller loads are subsequently estimated through the use of a dynamic model and the solution of an inverse problem. The inverse problem is mathematically ill-posed and requires the determination of the ice-induced load on the propeller blade from shaft line measurements. The present study investigated full-scale torsional responses on the shaft line of a polar supply and research vessel during navigation through sea ice on a 68-day voyage between Cape Town and Antarctica. The vessel spent almost 11 days in ice with observed concentrations above 90% and a maximum thickness of 3 m. The aim was to evaluate the extreme ice-induced moments on the shaft line and thereby determine how sparsely published operational loadings compare to the design loads of an ice-going vessel. Ice-induced moments on the propeller were obtained from operational measurements through three previously published approaches to solving the ill-conditioned inverse problem. The regularization methods used included truncated Singular Value Decomposition, truncated Generalized Singular Value Decomposition and Tikhonov regularization. The maximum ice-induced external moment was found to be 941.5 kNm, which was just within the maximum allowed ice-induced torque on the propeller. The duration of ice impacts on the propeller ranged from 25 to 228 ms. A secondary peak was evident in torsional responses obtained from propeller-ice impacts which is thought to be a shear stress wave that propagates and reflects back in the shaft line. From the inversely determined ice-induced loads, the number of impacts, the duration, the shape and the damping of water on the propeller was identifiable. The results obtained were physically reasonable, indicating that the current methods are suitable for obtaining ice-induced loading on the propeller from shaft line measurements.</t>
  </si>
  <si>
    <t>[de Waal, R. J. O.; Bekker, A.] Stellenbosch Univ, Dept Mech &amp; Mechatron Engn, Sound &amp; Vibrat Res Grp, Private Bag X1, ZA-7602 Matieland, South Africa; [Heyns, P. S.] Univ Pretoria, Dept Mech &amp; Aeronaut Engn, Ctr Asset Integr Management, Private Bag X20, ZA-0028 Hatfield, South Africa</t>
  </si>
  <si>
    <t>Bekker, A (corresponding author), Stellenbosch Univ, Dept Mech &amp; Mechatron Engn, Sound &amp; Vibrat Res Grp, Private Bag X1, ZA-7602 Matieland, South Africa.</t>
  </si>
  <si>
    <t>Heyns, Philippus/B-3080-2009</t>
  </si>
  <si>
    <t>Heyns, Philippus/0000-0002-6164-9490</t>
  </si>
  <si>
    <t>National Research Foundation (NRF) through the South African National Antarctic Programme [SNA14072479895]</t>
  </si>
  <si>
    <t>National Research Foundation (NRF) through the South African National Antarctic Programme</t>
  </si>
  <si>
    <t>The financial assistance of the National Research Foundation (NRF) through the South African National Antarctic Programme (Grant no. SNA14072479895) is gratefully acknowledged.</t>
  </si>
  <si>
    <t>10.1016/j.coldregions.2018.03.016</t>
  </si>
  <si>
    <t>WOS:000432682200024</t>
  </si>
  <si>
    <t>Sharma, J; Shamim, K; Dubey, SK</t>
  </si>
  <si>
    <t>Sharma, Jaya; Shamim, Kashif; Dubey, Santosh Kumar</t>
  </si>
  <si>
    <t>Phosphatase mediated bioprecipitation of lead as pyromorphite by Achromobacter xylosoxidans</t>
  </si>
  <si>
    <t>JOURNAL OF ENVIRONMENTAL MANAGEMENT</t>
  </si>
  <si>
    <t>Lead precipitation; SEM-EDX; XRD; Pyromorphite; Phosphatase; LC-MS/MS</t>
  </si>
  <si>
    <t>HEAVY-METAL RESISTANCE; BIOLOGICAL CHARACTERIZATION; STAPHYLOCOCCUS-AUREUS; MINE TAILINGS; BACTERIA; BIOREMEDIATION; BIOMINERALIZATION; METALLOTHIONEIN; GENES; CHEMOTAXIS</t>
  </si>
  <si>
    <t>Achromobacter xylosoxidans strain SJ11, tolerating up to 4.0 mM lead nitrate, in a defined minimal medium was isolated from the waste of a battery manufacturing industry, Goa, India. Interestingly, it formed white precipitate on exposure to lead nitrate which was also evident from scanning electron micrograph (SEM). Energy dispersive X-ray spectroscopic analysis revealed the presence of lead (48.5% by weight) along with phosphorus and chlorine in the precipitate. Transmission electron microscopy (TEM) of bacterial cells clearly refuted the possibility of intracellular lead uptake confirming extracellular precipitation as a predominant mechanism of lead resistance in this bacterium. The extracellular precipitate was further identified as pyromorphite [Pb-5(PO4)(3)Cl] by X-ray diffraction analysis. This was also corroborated by fourier transformed infrared spectroscopy (FTIR) indicating a significant involvement of phosphate groups. Atomic absorption spectroscopic analysis clearly demonstrated that 465.8 mg g(-1), lead was precipitated by the bacterial cells. There was remarkable increase of 160% in phosphatase activity suggesting it's important role in lead precipitation. This was further substantiated by significant up regulation of phosphatase, CheZ using LC-MS/MS. Therefore phosphatase mediated extracellular precipitation of lead as pyromorphite by A. xylosoxidans strain Sill clearly demonstrated it's potential in bioremediation of lead contaminated environmental sites. (C) 2018 Elsevier Ltd. All rights reserved.</t>
  </si>
  <si>
    <t>[Sharma, Jaya; Shamim, Kashif; Dubey, Santosh Kumar] Goa Univ, Dept Microbiol, Lab Bacterial Genet &amp; Environm Biotechnol, Taleigao Plateau 403206, Goa, India</t>
  </si>
  <si>
    <t>Goa University</t>
  </si>
  <si>
    <t>Dubey, SK (corresponding author), Goa Univ, Dept Microbiol, Lab Bacterial Genet &amp; Environm Biotechnol, Taleigao Plateau 403206, Goa, India.</t>
  </si>
  <si>
    <t>santoshdubey.gu@gmail.com</t>
  </si>
  <si>
    <t>Shamim, Kashif/HCH-9033-2022</t>
  </si>
  <si>
    <t>Dubey, Santosh Kumar/0000-0002-4601-7655; Shamim, Kashif/0000-0001-7996-1477; SHARMA, JAYA/0000-0002-8769-9648</t>
  </si>
  <si>
    <t>University Grants Commission, New Delhi</t>
  </si>
  <si>
    <t>University Grants Commission, New Delhi(University Grants Commission, India)</t>
  </si>
  <si>
    <t>The author is grateful to the University Grants Commission, New Delhi for financial support as SRF. The author gratefully acknowledges kind help of Dr. N. Ramaiah, Mr. Ram Murti Meena and Mr. Girish Prabhu from National Institute of Oceanography, Goa for DNA sequencing and XRD analysis respectively; Dr. Anoop Tiwari, Dr. R. Mohan and Ms. Sahina Gazi from National Centre for Antarctic and Ocean Research, Goa for providing the AAS and SEM-EDX facility respectively. The author is also thankful to Prof. B.R. Srinivasan, Ms. Mira, Mr. Rahul and Mr. Vishal from Dept. of Chemistry, Goa University for FTIR analysis and Dr. T.C. Nag from All India Institute of Medical Sciences, New Delhi for extending TEM facility.</t>
  </si>
  <si>
    <t>0301-4797</t>
  </si>
  <si>
    <t>1095-8630</t>
  </si>
  <si>
    <t>J ENVIRON MANAGE</t>
  </si>
  <si>
    <t>J. Environ. Manage.</t>
  </si>
  <si>
    <t>10.1016/j.jenvman.2018.04.027</t>
  </si>
  <si>
    <t>GG2GO</t>
  </si>
  <si>
    <t>WOS:000432508400074</t>
  </si>
  <si>
    <t>Marramà, G; Engelbrecht, A; Mörs, T; Reguero, MA; Kriwet, J</t>
  </si>
  <si>
    <t>Marrama, Giuseppe; Engelbrecht, Andrea; Mors, Thomas; Reguero, Marcelo A.; Kriwet, Juergen</t>
  </si>
  <si>
    <t>THE SOUTHERNMOST OCCURRENCE OF BRACHYCARCHARIAS (LAMNIFORMES, ODONTASPIDIDAE) FROM THE EOCENE OF ANTARCTICA PROVIDES NEW INFORMATION ABOUT THE PALEOBIOGEOGRAPHY AND PALEOBIOLOGY OF PALEOGENE SAND TIGER SHARKS</t>
  </si>
  <si>
    <t>RIVISTA ITALIANA DI PALEONTOLOGIA E STRATIGRAFIA</t>
  </si>
  <si>
    <t>Chondrichthyes; Elasmobranchii; Ypresian; La Meseta Formation; biotic turnovers</t>
  </si>
  <si>
    <t>LA-MESETA FORMATION; SEYMOUR-ISLAND; MIDDLE EOCENE; LISBON FORMATION; SELACHIAN FAUNA; TELEOST FISHES; CHONDRICHTHYES; RECORD; BOLCA; DIVERSIFICATION</t>
  </si>
  <si>
    <t>The first record of one of the most common and widespread Paleogene selachians, the sand tiger shark Brachycarcharias, in the Ypresian strata of the La Meseta Formation, Seymour Island, Antarctica, is provided herein. Selachians from the early Eocene horizons of this deposit represent the southernmost Paleogene occurrences in the fossil record, and are represented by isolated teeth belonging to orectolobiforms, lamniforms, carcharhiniforms, squatiniforms and pristiophoriforms. The combination of dental characters of the 49 isolated teeth collected from the horizons TELMs 2, 4 and 5 supports their assignment to the odontaspidid Brachycarcharias lerichei (Casier, 1946), a lamniform species widely spread across the Northern Hemisphere during the early Paleogene. The unambiguous first report of this lamniform shark in the Southern Hemisphere in the Eocene of the La Meseta Formation improves our knowledge concerning the diversity and paleobiology of the cartilaginous fishes of this deposit, and provides new insights about the biotic turnovers that involved the high trophic levels of the marine settings after the end-Cretaceous extinction and before the establishment of the modern marine ecosystems.</t>
  </si>
  <si>
    <t>[Marrama, Giuseppe; Engelbrecht, Andrea; Kriwet, Juergen] Univ Vienna, Dept Paleontol, Althanstr 14, A-1090 Vienna, Austria; [Mors, Thomas] Swedish Museum Nat Hist, Dept Paleozool, POB 50007, SE-10405 Stockholm, Sweden; [Reguero, Marcelo A.] Consejo Nacl Invest Cient &amp; Tecn, Museo La Plata, Div Paleontol Vertebrados, Paseo Bosque S-N 8, RA-1900 Fwa La Plata, Argentina</t>
  </si>
  <si>
    <t>University of Vienna; Swedish Museum of Natural History; Consejo Nacional de Investigaciones Cientificas y Tecnicas (CONICET); National University of La Plata; Museo La Plata</t>
  </si>
  <si>
    <t>Marramà, G (corresponding author), Univ Vienna, Dept Paleontol, Althanstr 14, A-1090 Vienna, Austria.</t>
  </si>
  <si>
    <t>giuseppe.marrama@univie.ac.at; andrea.engelbrecht@univie.ac.at; thomas.moers@nrm.se; egui@fcnym.unlp.edu.ar; juergen.kriwet@univie.ac.at</t>
  </si>
  <si>
    <t>Reguero, Marcelo A./JHS-4893-2023; Marramà, Giuseppe/L-4093-2019; Marramà, Giuseppe/J-2605-2019</t>
  </si>
  <si>
    <t>Marramà, Giuseppe/0000-0002-7856-5605; Kriwet, Jurgen/0000-0002-6439-8455</t>
  </si>
  <si>
    <t>Austrian Science Fund (FWF) [M2368-B25, P26465-B25]; University of Vienna; Swedish Research Council grant [VR] [2009-4447]; Consejo Nacional de Investigaciones Cientificas y Tecnicas grant [CONICET] [PIP 0462]; Argentinian National Agency for Promotion of Science and Technology grant [ANPCyT] [PICTO 0093/2010]</t>
  </si>
  <si>
    <t>Austrian Science Fund (FWF)(Austrian Science Fund (FWF)); University of Vienna; Swedish Research Council grant [VR]; Consejo Nacional de Investigaciones Cientificas y Tecnicas grant [CONICET]; Argentinian National Agency for Promotion of Science and Technology grant [ANPCyT]</t>
  </si>
  <si>
    <t>The Argentinian Antarctic Institute (IAA-DNA), Argentinian Air Force and Swedish Polar Research Secretariat (SPFS) are acknowledged for logistic support for field-work on Seymour Island. The authors are grateful to Martin de los Reyes, Museo de La Plata, for picking the small fractions in the laboratory. Thanks are also due to Iris Fuchs (Naturhistorisches Museum Wien) for the photographs. We also thank Todd D. Cook (Penn State Behrend), Alberto Collareta (Universita di Pisa), Marton Szabo (Geological and Geophysical Institute of Hungary), and an anonimous reviewer for their valuable comments that improved the quality of the manuscript. This work was supported by the Austrian Science Fund (FWF) [M2368-B25 to G.M., and P26465-B25 to J.K.]; the graduation scholarship of the University of Vienna to A.E.; the Swedish Research Council grant [VR grant number 2009-4447 to T.M.]; the Consejo Nacional de Investigaciones Cientificas y Tecnicas grant [CONICET grant number PIP 0462 to M.R.]; the Argentinian National Agency for Promotion of Science and Technology grant [ANPCyT grant number PICTO 0093/2010 to M.R.].</t>
  </si>
  <si>
    <t>UNIV STUDI MILANO</t>
  </si>
  <si>
    <t>MILANO</t>
  </si>
  <si>
    <t>C/O RIVISTA ITALIANA PALEONTOLOGIA STRATIGRAFIA, VIA MANGIAGALLI, 34, 20133 MILANO, ITALY</t>
  </si>
  <si>
    <t>0035-6883</t>
  </si>
  <si>
    <t>2039-4942</t>
  </si>
  <si>
    <t>RIV ITAL PALEONTOL S</t>
  </si>
  <si>
    <t>Riv. Ital. Paleontol. Stratigr.</t>
  </si>
  <si>
    <t>10.13130/2039-4942/9985</t>
  </si>
  <si>
    <t>GD4ZM</t>
  </si>
  <si>
    <t>WOS:000430513200003</t>
  </si>
  <si>
    <t>Moncel, MH; Landais, A; Lebreton, V; Combourieu-Nebout, N; Nomade, S; Bazin, L</t>
  </si>
  <si>
    <t>Moncel, Marie-Helene; Landais, Amaelle; Lebreton, Vincent; Combourieu-Nebout, Nathalie; Nomade, Sebastien; Bazin, Lucie</t>
  </si>
  <si>
    <t>Linking environmental changes with human occupations between 900 and 400 ka in Western Europe</t>
  </si>
  <si>
    <t>QUATERNARY INTERNATIONAL</t>
  </si>
  <si>
    <t>Middle Pleistocene; Western Europe; Hominin occupations; Environment; Climatic data</t>
  </si>
  <si>
    <t>PLEISTOCENE POLLEN RECORD; DEL ELEFANTE ATAPUERCA; LAST CLIMATIC CYCLE; TE CAVE SITE; MIDDLE PLEISTOCENE; DOME-C; GRAN DOLINA; MILLENNIAL-SCALE; HUMAN-EVOLUTION; ANTARCTIC ICE</t>
  </si>
  <si>
    <t>Human occupation in Europe strongly fluctuated over the Quaternary. Archaeological records suggest an intermittent human occupation in Western Europe between 900 and 500 ka, especially in the north of Europe at latitude higher than 45 degrees N. On the opposite, southern Europe, more stable from a palaeoenvironmental point of view, was occupied continuously. This period is followed by a more widespread and dense occupation over the last 450 ka. In parallel, the last 900 ka are characterized by global climatic oscillations and display shifts between glacial/drier and interglacial/wetter periods that modulate the general repartition of fauna and flora. The pacing of these climatic periods is well recorded in numerous palaeoclimatic archives that provide global as well as regional information concerning past climatic and environmental changes. A transition is observed from 1.25 Ma until up to 450 ka (Mid-Pleistocene Revolution) with a change of the dominant periodicity of climate cycles from 41 ka to 100 ka in the absence of substantial change in orbital forcing. After 450 ka, the amplitude between glacials and interglacials increases. The change in periodicity since 450 ka corresponds to a change in the density of human occupations as well as the Acheulean technoculture expansion in Europe. There is a general perception that these climatic and environmental oscillations have played a role in human occupation and his morphological evolution. For instance, temperate environments might have favored permanent occupations or occupations over larger territories with long periods dominated by dry meadows and steppes and followed by the expansion of broadleaf deciduous and confireous forests. Testing this hypothesis for the period encompassing 900 to 500 ka is a challenge because of the lack of a common chronological framework between climatic/environmental archives and sites of human occupation, but also because archaeological records are only snapshots of cultural and morphological changes of hominins. (C) 2016 Elsevier Ltd and INQUA. All rights reserved.</t>
  </si>
  <si>
    <t>[Moncel, Marie-Helene; Lebreton, Vincent; Combourieu-Nebout, Nathalie] Natl Museum Nat Hist, Dept Prehist, UMR CNRS 7194, Paris, France; [Landais, Amaelle; Nomade, Sebastien; Bazin, Lucie] Univ Paris Saclay, CNRS, CEA, LSCE,IPSL, F-91198 Gif Sur Yvette, France; [Bazin, Lucie] Cardiff Univ, Sch Earth &amp; Ocean Sci, Cardiff CF10 3AT, S Glam, Wales</t>
  </si>
  <si>
    <t>Museum National d'Histoire Naturelle (MNHN); Centre National de la Recherche Scientifique (CNRS); CEA; Centre National de la Recherche Scientifique (CNRS); Universite Paris Saclay; Universite Paris Cite; Cardiff University</t>
  </si>
  <si>
    <t>Moncel, MH (corresponding author), Natl Museum Nat Hist, Dept Prehist, UMR CNRS 7194, Paris, France.</t>
  </si>
  <si>
    <t>moncel@mnhn.fr</t>
  </si>
  <si>
    <t>LANDAIS, Amaelle/0000-0002-5620-5465; nomade, sebastien/0000-0001-7373-0571; Lebreton, Vincent/0000-0002-0586-230X; Combourieu-Nebout, Nathalie/0000-0002-3604-5986</t>
  </si>
  <si>
    <t>French-British project ANR (PremAcheuSep) [2010 BLANC 2006 01]; Department of Prehistory, National Museum of Natural History, Laboratoire des Sciences du Climat et de l'Environnement, LSCE/IPSL, CEA-CNRSUVSQ, the University Paris-Saclay, France</t>
  </si>
  <si>
    <t>French-British project ANR (PremAcheuSep); Department of Prehistory, National Museum of Natural History, Laboratoire des Sciences du Climat et de l'Environnement, LSCE/IPSL, CEA-CNRSUVSQ, the University Paris-Saclay, France</t>
  </si>
  <si>
    <t>This study was supported by the French-British project ANR (PremAcheuSep) no 2010 BLANC 2006 01 (2010-2014) devoted to the earliest evidence of occupations with bifacial technology in North-West Europe. It was also supported by the Department of Prehistory, National Museum of Natural History, Laboratoire des Sciences du Climat et de l'Environnement, LSCE/IPSL, CEA-CNRSUVSQ, the University Paris-Saclay, France.</t>
  </si>
  <si>
    <t>1040-6182</t>
  </si>
  <si>
    <t>1873-4553</t>
  </si>
  <si>
    <t>QUATERN INT</t>
  </si>
  <si>
    <t>Quat. Int.</t>
  </si>
  <si>
    <t>JUN 30</t>
  </si>
  <si>
    <t>10.1016/j.quaint.2016.09.065</t>
  </si>
  <si>
    <t>GH2JV</t>
  </si>
  <si>
    <t>WOS:000433229100007</t>
  </si>
  <si>
    <t>Winkler, M; Illmer, P; Querner, P; Fischer, BM; Hofmann, K; Lamprecht, A; Praeg, N; Schied, J; Steinbauer, K; Pauli, H</t>
  </si>
  <si>
    <t>Winkler, Manuela; Illmer, Paul; Querner, Pascal; Fischer, Barbara M.; Hofmann, Katrin; Lamprecht, Andrea; Praeg, Nadine; Schied, Johannes; Steinbauer, Klaus; Pauli, Harald</t>
  </si>
  <si>
    <t>Side by side? Vascular Plant, invertebrate, and microorganism distribution patterns along an alpine to nival elevation gradient</t>
  </si>
  <si>
    <t>Alpine-nival ecotone; arthropods; climate change; soil microorganisms; vascular plants</t>
  </si>
  <si>
    <t>MITES ACARI ORIBATIDA; ALTITUDINAL GRADIENT; DIVERSITY; VEGETATION; ABUNDANCE; COMMUNITIES; TEMPERATURE; BACTERIAL; FORELAND; INSECTS</t>
  </si>
  <si>
    <t>High mountain areas above the alpine zone are, despite the low-temperature conditions, inhabited by evolutionary and functionally differing organism groups. We compared the abundance and species richness of vascular plants, oribatid mites, springtails, spiders, and beetles, as well as bacterial and methanogenic archaeal prokaryotes (only abundance), at 100 m vertical intervals from 2,700-3,400 m in the Central Alps. We hypothesized that the less mobile microarthropods and microorganisms are more determined by and respond in similar ways to soil properties as do vascular plants. In contrast, we expected the more mobile surface-dwelling groups to forage also in places devoid of vegetation and thus to show patterns that deviate from that of vascular plants. Surprisingly, the observed patterns were diametrically opposed to our expectations: soil-living oribatid mites and springtails showed high individual numbers at high elevations, even where vascular plants barely occurred. Springtails also showed a rather constant species richness throughout the entire gradient. In contrast, patterns of surface-dwelling organisms and of archaeal prokaryotes did not differ significantly from vascular plants, because of either comparable climate sensitivity or their dependency on vegetated habitats. This study may serve as a baseline to estimate the risks of biodiversity losses in response to climate change across different biotic ecosystem components and to explore the potential and limitations of vascular plants as proxy for other organism groups that are far more challenging to monitor.</t>
  </si>
  <si>
    <t>[Winkler, Manuela; Lamprecht, Andrea; Steinbauer, Klaus; Pauli, Harald] Austrian Acad Sci, Inst Interdisciplinary Mt Res, GLORIA Coordinat, Vienna, Austria; [Winkler, Manuela; Lamprecht, Andrea; Steinbauer, Klaus; Pauli, Harald] Univ Nat Resources &amp; Life Sci Vienna, Ctr Global Change &amp; Sustainabil, Vienna, Austria; [Illmer, Paul; Hofmann, Katrin; Praeg, Nadine] Univ Innsbruck, Inst Microbiol, Innsbruck, Austria; [Querner, Pascal; Fischer, Barbara M.] Univ Nat Resources &amp; Life Sci Vienna, Inst Zool, Dept Integrat Biol, Vienna, Austria; [Fischer, Barbara M.] Austrian Acad Sci, Inst Interdisciplinary Mt Res, Innsbruck, Austria; [Schied, Johannes] Nat Buro, Mauerkirchen, Austria</t>
  </si>
  <si>
    <t>Austrian Academy of Sciences; BOKU University; University of Innsbruck; BOKU University; Austrian Academy of Sciences</t>
  </si>
  <si>
    <t>Pauli, H (corresponding author), Austrian Acad Sci, Inst Interdisciplinary Mt Res, GLORIA Coordinat, Vienna, Austria.;Pauli, H (corresponding author), Univ Nat Resources &amp; Life Sci Vienna, Ctr Global Change &amp; Sustainabil, Vienna, Austria.</t>
  </si>
  <si>
    <t>harald.pauli@oeaw.ac.at</t>
  </si>
  <si>
    <t>Steinbauer, Klaus/L-1851-2019; Praeg, Nadine/N-1143-2014; Winkler, Manuela/K-5434-2012</t>
  </si>
  <si>
    <t>Praeg, Nadine/0000-0002-1531-8543; Winkler, Manuela/0000-0002-8655-9555; Steinbauer, Klaus/0000-0002-3730-9920; Pauli, Harald/0000-0002-9842-9934; Lamprecht, Andrea/0000-0002-8719-026X; Illmer, Paul/0000-0003-3368-3015; Querner, Pascal/0000-0002-3537-0699</t>
  </si>
  <si>
    <t>Austrian Climate Research Programme [ACRP 6, GZ B368633, KR13AC6K11076]; BOKU Vienna Open Access Publishing Fund</t>
  </si>
  <si>
    <t>Austrian Climate Research Programme; BOKU Vienna Open Access Publishing Fund</t>
  </si>
  <si>
    <t>The study was funded by the Austrian Climate Research Programme (ACRP 6: GZ B368633, KR13AC6K11076). Publication was supported by the BOKU Vienna Open Access Publishing Fund.</t>
  </si>
  <si>
    <t>JUN 29</t>
  </si>
  <si>
    <t>e1475951</t>
  </si>
  <si>
    <t>10.1080/15230430.2018.1475951</t>
  </si>
  <si>
    <t>GN1DJ</t>
  </si>
  <si>
    <t>WOS:000438724900001</t>
  </si>
  <si>
    <t>Randelhoff, A; Reigstad, M; Chierici, M; Sundfjord, A; Ivanov, V; Cape, M; Vernet, M; Tremblay, JÉ; Bratbak, G; Kristiansen, S</t>
  </si>
  <si>
    <t>Randelhoff, Achim; Reigstad, Marit; Chierici, Melissa; Sundfjord, Arild; Ivanov, Vladimir; Cape, Mattias; Vernet, Maria; Tremblay, Jean-Eric; Bratbak, Gunnar; Kristiansen, Svein</t>
  </si>
  <si>
    <t>Seasonality of the Physical and Biogeochemical Hydrography in the Inflow to the Arctic Ocean Through Fram Strait</t>
  </si>
  <si>
    <t>Arctic Ocean; Atlantic water; hydrography; shelf slope; nutrients; carbon; fram strait; barents sea</t>
  </si>
  <si>
    <t>WEST SPITSBERGEN CURRENT; SEA-ICE; ATLANTIC WATER; OPTICAL-PROPERTIES; EURASIAN BASIN; SURFACE WATERS; CARBONIC-ACID; VARIABILITY; MARINE; RECIRCULATION</t>
  </si>
  <si>
    <t>Eastern Fram Strait and the shelf slope region north of Svalbard is dominated by the advection of warm, salty and nutrient-rich Atlantic Water (AW). This oceanic heat contributes to keeping the area relatively free of ice. The last years have seen a dramatic decrease in regional sea ice extent, which is expected to drive large increases in pelagic primary production and thereby changes in marine ecology and nutrient cycling. In a concerted effort, we conducted five cruises to the area in winter, spring, summer and fall of 2014, in order to understand the physical and biogeochemical controls of carbon cycling, for the first time from a year-round point of view. We document (1) the offshore location of the wintertime front between salty AW and fresher Surface Water in the ocean surface, (2) thermal convection of Atlantic Water over the shelf slope, likely enhancing vertical nutrient fluxes, and (3) the importance of ice melt derived upper ocean stratification for the spring bloom timing. Our findings strongly confirm the hypothesis that this Atlantification, as it has been called, of the shelf slope area north of Svalbard resulting from the advection of AW alleviates both nutrient and light limitations at the same time, leading to increased pelagic primary productivity in this region.</t>
  </si>
  <si>
    <t>[Randelhoff, Achim; Reigstad, Marit; Kristiansen, Svein] Univ Tromso, Inst Arctic &amp; Marine Bb, Tromso, Norway; [Randelhoff, Achim; Sundfjord, Arild] Norwegian Polar Res Inst, Tromso, Norway; [Randelhoff, Achim; Tremblay, Jean-Eric] Univ Laval, Dept Biol, Quebec Ocean &amp; Takuvik, Quebec City, PQ, Canada; [Chierici, Melissa] Inst Marine Res, Tromso, Norway; [Ivanov, Vladimir] Arctic &amp; Antarctic Res Inst, St Petersburg, Russia; [Ivanov, Vladimir] Hydrometeorol Ctr Russia, Moscow, Russia; [Ivanov, Vladimir] Moscow MV Lomonosov State Univ, Dept Geog, Moscow, Russia; [Cape, Mattias] Univ Washington, Polar Sci Ctr, Aoplled Phys Lab, Seattle, WA 98195 USA; [Cape, Mattias; Vernet, Maria] Univ Calif San Diego, Scripps Inst Oceanog, La Jolla, CA 92093 USA; [Bratbak, Gunnar] Univ Bergen, Dept Biol Sci, Bergen, Norway</t>
  </si>
  <si>
    <t>UiT The Arctic University of Tromso; Norwegian Polar Institute; Laval University; Institute of Marine Research - Norway; Arctic &amp; Antarctic Research Institute; Lomonosov Moscow State University; University of Washington; University of Washington Seattle; University of California System; University of California San Diego; Scripps Institution of Oceanography; University of Bergen</t>
  </si>
  <si>
    <t>Randelhoff, A (corresponding author), Univ Tromso, Inst Arctic &amp; Marine Bb, Tromso, Norway.;Randelhoff, A (corresponding author), Norwegian Polar Res Inst, Tromso, Norway.;Randelhoff, A (corresponding author), Univ Laval, Dept Biol, Quebec Ocean &amp; Takuvik, Quebec City, PQ, Canada.</t>
  </si>
  <si>
    <t>achim.randelhoff@takuvik.ulaval.ca</t>
  </si>
  <si>
    <t>Randelhoff, Achim/AAB-5334-2020; Cape, Mattias/KCK-4444-2024; Ivanov, Vladimir/J-5979-2014; Reigstad, Marit/AFL-8306-2022</t>
  </si>
  <si>
    <t>Ivanov, Vladimir/0000-0003-2569-6027; Reigstad, Marit/0000-0002-8592-7192; Randelhoff, Achim/0000-0001-7947-9090; Sundfjord, Arild/0000-0002-6913-3368; Cape, Mattias/0000-0002-5621-1128</t>
  </si>
  <si>
    <t>Norwegian Research Council [226415]; MicroPolar (NRC) [225956/E10]; NASA Headquarters under the NASA Earth and Space Science Fellowship Program [NNX12AN48H]; US National Science Foundation [PLR-071443733]; RFBR [17-05-00558]</t>
  </si>
  <si>
    <t>Norwegian Research Council(Research Council of Norway); MicroPolar (NRC); NASA Headquarters under the NASA Earth and Space Science Fellowship Program(National Aeronautics &amp; Space Administration (NASA)); US National Science Foundation(National Science Foundation (NSF)); RFBR(Russian Foundation for Basic Research (RFBR))</t>
  </si>
  <si>
    <t>This study was funded by the Norwegian Research Council projects CARBON BRIDGE, a Polar Programme (project 226415) funded by the Norwegian Research Council, and MicroPolar (NRC no. 225956/E10).; MCa was supported by NASA Headquarters under the NASA Earth and Space Science Fellowship Program grant NNX12AN48H. We also thank funding from the US National Science Foundation award PLR-071443733 to MV. Jorun Karin Egge contributed with chlorophyll data for March and November. We are also grateful to Elena Perez and University of Tromso technician Hans Dybvik for help in the field. We thank captain and crew of R/Vs Helmer Hanssen and Lance and all scientists aboard for their help during the field campaigns. VI's contribution was supported by the RFBR grant#17-05-00558.</t>
  </si>
  <si>
    <t>10.3389/fmars.2018.00224</t>
  </si>
  <si>
    <t>HJ4TF</t>
  </si>
  <si>
    <t>WOS:000457166800002</t>
  </si>
  <si>
    <t>Coleine, C; Stajich, JE; Zucconi, L; Onofri, S; Pombubpa, N; Egidi, E; Franks, A; Buzzini, P; Selbmann, L</t>
  </si>
  <si>
    <t>Coleine, Claudia; Stajich, Jason E.; Zucconi, Laura; Onofri, Silvano; Pombubpa, Nuttapon; Egidi, Eleonora; Franks, Ashley; Buzzini, Pietro; Selbmann, Laura</t>
  </si>
  <si>
    <t>Antarctic Cryptoendolithic Fungal Communities Are Highly Adapted and Dominated by Lecanoromycetes and Dothideomycetes</t>
  </si>
  <si>
    <t>Antarctica; endolithic communities; extremophiles; fungi; ITS meta-barcoding</t>
  </si>
  <si>
    <t>MCMURDO DRY VALLEYS; MICROBIAL ENVIRONMENT; ROSS DESERT; BLACK FUNGI; SP NOV.; DIVERSITY; BIODIVERSITY; LICHENS; YEAST; SOIL</t>
  </si>
  <si>
    <t>Endolithic growth is one of the most spectacular microbial adaptations to extreme environmental constraints and the predominant life-form in the ice-free areas of Continental Antarctica. Although Antarctic endolithic microbial communities are known to host among the most resistant and extreme-adapted organisms, our knowledge on microbial diversity and composition in this peculiar niche is still limited. In this study, we investigated the diversity and structure of the fungal assemblage in the cryptoendolithic communities inhabiting sandstone using a meta-barcoding approach targeting the fungal Internal Transcribed Sequence region 1 (ITS1). Samples were collected from 14 sites in the Victoria Land, along an altitudinal gradient ranging from 1,000 to 3,300 m a.s.l. and from 29 to 96 km distance to coast. Our study revealed a clear dominance of a 'core' group of fungal taxa consistently present across all the samples, mainly composed of lichen-forming and Dothideomycetous fungi. Pareto-Lorenz curves indicated a very high degree of specialization (F-0 approximately 95%), suggesting these communities are highly adapted but have limited ability to recover after perturbations. Overall, both fungal community biodiversity and composition did not show any correlation with the considered abiotic parameters, potentially due to strong fluctuations of environmental conditions at local scales.</t>
  </si>
  <si>
    <t>[Coleine, Claudia; Zucconi, Laura; Onofri, Silvano; Selbmann, Laura] Univ Tuscia, Dept Ecol &amp; Biol Sci, Viterbo, Italy; [Coleine, Claudia; Stajich, Jason E.; Pombubpa, Nuttapon] Univ Calif Riverside, Inst Integrat Genome Biol, Dept Microbiol &amp; Plant Pathol, Riverside, CA 92521 USA; [Egidi, Eleonora] Western Sydney Univ, Hawkesbury Inst Environm, Penrith, NSW, Australia; [Franks, Ashley] La Trobe Univ, Dept Physiol Anat &amp; Microbiol, Melbourne, Vic, Australia; [Franks, Ashley] La Trobe Univ, Ctr Future Landscapes, Melbourne, Vic, Australia; [Buzzini, Pietro] Univ Perugia, Dept Agr Food &amp; Environm Sci, Ind Yeasts Collect DBVPG, Perugia, Italy; [Selbmann, Laura] Italian Natl Antarctic Museum MNA, Sect Mycol, Genoa, Italy</t>
  </si>
  <si>
    <t>Tuscia University; University of California System; University of California Riverside; Western Sydney University; Melbourne Genomics Health Alliance; La Trobe University; Melbourne Genomics Health Alliance; La Trobe University; University of Perugia</t>
  </si>
  <si>
    <t>Stajich, JE (corresponding author), Univ Calif Riverside, Inst Integrat Genome Biol, Dept Microbiol &amp; Plant Pathol, Riverside, CA 92521 USA.</t>
  </si>
  <si>
    <t>jason.stajich@ucr.edu</t>
  </si>
  <si>
    <t>Egidi, Eleonora/AAG-7513-2020; Coleine, Claudia/AAE-1889-2020; Zucconi, L./U-9781-2018; Stajich, Jason Eric/C-7297-2008; Selbmann, Laura/L-3056-2013</t>
  </si>
  <si>
    <t>Egidi, Eleonora/0000-0002-1211-2355; Coleine, Claudia/0000-0002-9289-6179; Zucconi, L./0000-0001-9793-2303; Stajich, Jason Eric/0000-0002-7591-0020; Selbmann, Laura/0000-0002-8967-3329; Buzzini, Pietro/0000-0001-6793-0606; ONOFRI, Silvano/0000-0001-8872-1440; Pombubpa, Nuttapon/0000-0003-3385-5331; Franks, Ashley/0000-0003-1664-6060</t>
  </si>
  <si>
    <t>Italian National Program for Antarctic Researches; United States Department of Agriculture - National Institute of Food and Agriculture Hatch project [CA-R-PPA-5062-H]; NSF [DBI-1429826]; NIH [S10-OD016290]; Royal Thai Government Fellowship</t>
  </si>
  <si>
    <t>Italian National Program for Antarctic Researches; United States Department of Agriculture - National Institute of Food and Agriculture Hatch project; NSF(National Science Foundation (NSF)); NIH(United States Department of Health &amp; Human ServicesNational Institutes of Health (NIH) - USA); Royal Thai Government Fellowship</t>
  </si>
  <si>
    <t>LS and LZ wish to thank the Italian National Program for Antarctic Researches for funding sampling campaigns. Fungal ITS primers were made available through the Alfred P. Sloan Foundation Built Environment Program and sequencing supported by funds through United States Department of Agriculture - National Institute of Food and Agriculture Hatch project CA-R-PPA-5062-H to JS. Data analyses were performed on the High-Performance Computing Cluster at the University of California-Riverside in the Institute of Integrative Genome Biology supported by NSF DBI-1429826 and NIH S10-OD016290. NP was supported by a Royal Thai Government Fellowship.</t>
  </si>
  <si>
    <t>10.3389/fmicb.2018.01392</t>
  </si>
  <si>
    <t>GL1FZ</t>
  </si>
  <si>
    <t>WOS:000436845900001</t>
  </si>
  <si>
    <t>Prathapan, KD; Pethiyagoda, R; Bawa, KS; Raven, PH; Rajan, PD; Acosta, LE; Adams, B; Adl, S; Ahyong, ST; Anderson, R; Arango, CP; Arnedo, MA; Armbruster, JW; Avila, LJ; Azevedo, CO; Baldo, D; Barclay, MVL; Baron-Szabo, R; Bauer, AM; Bentlage, B; Bezdek, A; Bird, G; Blagoderov, V; Bocak, L; Bonaldo, A; Bond, JE; Borkent, CJ; Branham, MA; Carranza, S; Carreno, R; de Carvalho, MR; Castroviejo-Fisher, S; Chiba, H; Ciampor, F; Clarke, DJ; Collins, AG; Constantino, R; Crespo, FA; Daly, M; Dominiak, P; Dronen, N; Dubois, A; Duda, TF; Eléaume, M; Erlacher, S; Estrela, PC; Evenhuis, N; Fehlauer-Ale, KH; Fery, H; Fritz, U; Gaimari, SD; Garrison, R; Gaubert, P; Geiger, DL; Gill, AC; Gimmel, ML; Goldschmidt, T; Goswami, R; González, AP; Gonzalez, VH; Gordon, D; Gower, DJ; Greenslade, P; Gusarov, VI; Hajdu, E; Harms, D; Heinicke, MP; Hilton, EJ; Hodgson, CJ; Hormiga, G; Hughes, LE; Hutchings, P; Jäger, P; Jennings, JT; Kadej, M; Kaila, L; Kaminski, MJ; Karaman, GS; Karanovic, T; Kathirithamby, J; Kerr, PH; Kirkendall, LR; Kitahara, MV; Klautau, M; Kondratieff, BC; Kroh, A; Labarque, FM; Leavengood, JM; Letardi, A; Liang, AP; Lima, FCT; Liu, ZW; Löbl, I; Lohrmann, V; Malchus, N; Malipatil, MB; Marques, AC; Matzke-Karasz, R; Mayer, G; Mayoral, JG; McInnes, SJ; Minelli, A; Moir, ML; Monks, S; Morrone, JJ; Muster, C; Nagy, ZT; Narayanan, KS; Nearns, EH; Nekola, J; Nihei, SS; Nützel, A; Ohler, A; Orrico, VGD; Padial, JM; Page, LM; Passos, P; Paulson, D; Perkins, PD; Pfingstl, T; Prieto, C; Pinheiro, LR; Pinto-da-Rocha, R; Prendini, L; Price, B; De Prins, J; Ramirez, M; Rasmussen, C; Rasmussen, P; Redei, D; Ribera, I; Ricarte, A; Rivera, J; Rix, MG; Rossaro, B; Roy, AD; Ruiz, GRS; Salles, FF; Sanborn, AF; Sartori, M; Schöller, M; Schmelz, RM; Schrödl, M; Segniagbeto, GH; Serrano, J; Shimano, S; Shin, MK; Sidorchuk, E; Siler, CD; Sket, B; Smith, AD; Smith, AB; Smith, R; Smith-Pardo, AH; Sparks, J; Sterrer, WE; Stroinski, A; Svavarsson, J; Toledo, M; Twomey, E; Vasudevan, K; Vences, M; de Voogd, N; Wang, Q; Watson, GW; Weiner, WM; Weksler, M; Wesener, T; Whitmore, D; Wiklund, H; Williams, PH; Winterton, SL; Wood, TS; Yen, SH; Zaher, H; Zhang, ZQ; Zhou, HZ</t>
  </si>
  <si>
    <t>Prathapan, K. Divakaran; Pethiyagoda, Rohan; Bawa, Kamaljit S.; Raven, Peter H.; Rajan, Priyadarsanan Dharma; Acosta, Luis E.; Adams, Byron; Adl, Sina; Ahyong, Shane T.; Anderson, Robert; Arango, Claudia P.; Arnedo, Miquel A.; Armbruster, Jonathan W.; Javier Avila, Luciano; Azevedo, Celso O.; Baldo, Diego; Barclay, Maxwell V. L.; Baron-Szabo, Rosemarie; Bauer, Aaron M.; Bentlage, Bastian; Bezdek, Ales; Bird, Graham; Blagoderov, Vladimir; Bocak, Ladislav; Bonaldo, Alexandre; Bond, Jason E.; Borkent, Christopher J.; Branham, Marc A.; Carranza, Salvador; Carreno, Ramon; de Carvalho, M. R.; Castroviejo-Fisher, Santiago; Chiba, Hideyuki; Ciampor, Fedor; Clarke, Dave J.; Collins, Allen G.; Constantino, Reginaldo; Crespo, Francisco A.; Daly, Marymegan; Dominiak, Patrycja; Dronen, Norm; Dubois, Alain; Duda, Thomas F., Jr.; Eleaume, Marc; Erlacher, Sven; Estrela, Pedro Cordeiro; Evenhuis, Neal; Fehlauer-Ale, Karin Hoch; Fery, Hans; Fritz, Uwe; Gaimari, Stephen D.; Garrison, Rosser; Gaubert, Philippe; Geiger, Daniel L.; Gill, Anthony C.; Gimmel, Matthew L.; Goldschmidt, Tom; Goswami, Rajkamal; Perez Gonzalez, Abel; Gonzalez, Victor H.; Gordon, Dennis; Gower, David J.; Greenslade, Penelope; Gusarov, Vladimir I.; Hajdu, Eduardo; Harms, Danilo; Heinicke, Matthew P.; Hilton, Eric J.; Hodgson, C. J.; Hormiga, Gustavo; Hughes, Lauren E.; Hutchings, Pat; Jaeger, Peter; Jennings, John T.; Kadej, Marcin; Kaila, Lauri; Kaminski, Marcin Jan; Karaman, G. S.; Karanovic, Tom; Kathirithamby, Jeyaraney; Kerr, Peter H.; Kirkendall, Lawrence R.; Kitahara, Marcelo Visentini; Klautau, Michelle; Kondratieff, Boris C.; Kroh, Andreas; Labarque, Facundo M.; Leavengood, John M., Jr.; Letardi, Agostino; Liang, Ai-Ping; Lima, Flavio C. T.; Liu, Zhiwei; Lobl, Ivan; Lohrmann, Volker; Malchus, Nikolaus; Malipatil, M. B.; Marques, Antonio C.; Matzke-Karasz, R.; Mayer, Georg; Mayoral, Jaime G.; McInnes, S. J.; Minelli, Alessandro; Moir, Melinda L.; Monks, Scott; Morrone, Juan J.; Muster, C.; Nagy, Zoltan Tamas; Narayanan, K. Seena; Nearns, Eugenio H.; Nekola, Jeff; Nihei, Silvio S.; Nuetzel, Alexander; Ohler, Annemarie; Dill Orrico, Victor Goyannes; Padial, Jose M.; Page, Lawrence M.; Passos, Paulo; Paulson, Dennis; Perkins, Philip D.; Pfingstl, Tobias; Prieto, Carlos; Pinheiro, Livia Rodrigues; Pinto-da-Rocha, Ricardo; Prendini, Lorenzo; Price, Benjamin; De Prins, Jurate; Ramirez, Martin; Rasmussen, Claus; Rasmussen, P.; Redei, David; Ribera, Ignacio; Ricarte, Antonio; Rivera, Julio; Rix, Michael G.; Rossaro, Bruno; Roy, Aniruddha Datta; Ruiz, Gustavo R. S.; Salles, Frederico F.; Sanborn, Allen F.; Sartori, Michel; Schoeller, Matthias; Schmelz, Rudiger M.; Schroedl, Michael; Segniagbeto, Gabriel Hoinsoude; Serrano, J.; Shimano, Satoshi; Shin, Mann Kyoon; Sidorchuk, Ekaterina; Siler, Cameron D.; Sket, Boris; Smith, Aaron D.; Smith, Andrew B. T.; Smith, Robin; Smith-Pardo, Allan H.; Sparks, John; Sterrer, W. E.; Stroinski, Adam; Svavarsson, Jorundur; Toledo, Mario; Twomey, Evan; Vasudevan, Karthikeyan; Vences, Miguel; de Voogd, Nicole; Wang, Qiao; Watson, Gillian W.; Weiner, Wanda M.; Weksler, Marcelo; Wesener, Thomas; Whitmore, Daniel; Wiklund, Helena; Williams, Paul H.; Winterton, Shaun L.; Wood, Timothy S.; Yen, Shen-Horn; Zaher, Hussam; Zhang, Z. -Q.; Zhou, Hong-zhang</t>
  </si>
  <si>
    <t>172 Co-Signatories 35 Countries</t>
  </si>
  <si>
    <t>When the cure kills-CBD limits biodiversity research National laws fearing biopiracy squelch taxonomy studies</t>
  </si>
  <si>
    <t>[Prathapan, K. Divakaran] Kerala Agr Univ, Thiruvananthapuram 695522, Kerala, India; [Pethiyagoda, Rohan] Australian Museum, Ichthyol Sect, Sydney, NSW, Australia; [Bawa, Kamaljit S.] Univ Massachusetts, Boston, MA 02125 USA; [Raven, Peter H.] Missouri Bot Garden, St Louis, MO 63166 USA; [Rajan, Priyadarsanan Dharma; Narayanan, K. Seena] ATREE, Bangalore 560064, Karnataka, India; [Acosta, Luis E.] Univ Nacl Cordoba, CONICET, Inst Div &amp; Ecol Anim, Cordoba, Argentina; [Adams, Byron] Brigham Young Univ, Monte L Bean Museum, Provo, UT 84602 USA; [Adl, Sina] Univ Saskatchewan, Saskatoon, SK, Canada; [Ahyong, Shane T.] Australian Museum, Sydney, NSW, Australia; [Anderson, Robert; Smith, Andrew B. T.] Canadian Museum Nat, Ottawa, ON, Canada; [Arango, Claudia P.] Queensland Museum, South Brisbane, Qld, Australia; [Arnedo, Miquel A.] Univ Barcelona, Dept Evolutionary Biol Ecol &amp; Environm Sci, Barcelona, Spain; [Arnedo, Miquel A.] Univ Barcelona, Biodiversity Res Inst, Barcelona, Spain; [Armbruster, Jonathan W.] Auburn Univ, Auburn, AL 36849 USA; [Javier Avila, Luciano] IPEEC CONICET, Puerto Madryn, Chubut, Argentina; [Azevedo, Celso O.] Univ Fed Espirito Santo, Vitoria, ES, Brazil; [Baldo, Diego] Univ Nacl Misiones, Posadas, Argentina; [Barclay, Maxwell V. L.; Gower, David J.; Hughes, Lauren E.; Price, Benjamin; Whitmore, Daniel; Wiklund, Helena; Williams, Paul H.] Nat Hist Museum, London, England; [Baron-Szabo, Rosemarie] Smithsonian Inst, Washington, DC 20560 USA; [Baron-Szabo, Rosemarie] Senckenberg Res Inst, Frankfurt, Germany; [Bauer, Aaron M.] Villanova Univ, Villanova, PA 19085 USA; [Bentlage, Bastian] Univ Guam Marine Lab, Mangilao, GU USA; [Bezdek, Ales] CAS, Biol Ctr, Inst Entomol, Ceske Budejovice 37005, Czech Republic; [Blagoderov, Vladimir] Natl Museums Scotland UK, Edinburgh, Midlothian, Scotland; [Bocak, Ladislav] Palacky Univ, Dept Zool, Fac Sci, Olomouc, Czech Republic; [Bonaldo, Alexandre] Museu Paraense Emilio Goeldi, Belem, Para, Brazil; [Bond, Jason E.] Auburn Univ, Dept Biol Sci, Auburn, AL 36849 USA; [Borkent, Christopher J.] Calif Dept Food &amp; Agr, Calif State Collect Arthropods, Sacramento, CA 95814 USA; [Branham, Marc A.] Univ Florida, Dept Entomol &amp; Nematol, Gainesville, FL USA; [Carranza, Salvador] Inst Biol Evolut, Barcelona, Spain; [Carreno, Ramon] Ohio Wesleyan Univ, Delaware, OH 43015 USA; [de Carvalho, M. R.] Amer Museum Nat Hist, Cent Park West 79th St, New York, NY 10024 USA; [Castroviejo-Fisher, Santiago] Pontificia Univ Catolica Rio Grande do Sul, Lab Sistemat Vertebrados, Rio Grande PUCRS, Av Ipiranga 6681,Predio 40,Sala 110, BR-90619900 Porto Alegre, RS, Brazil; [Chiba, Hideyuki; Evenhuis, Neal] Bernice Pauahi Bishop Museum, Honolulu, HI USA; [Ciampor, Fedor] Slovak Acad Sci, Plant Sci &amp; Biodivers Ctr, Bratislava, Slovakia; [Clarke, Dave J.] Univ Memphis, Dept Biol Sci, Memphis, TN 38152 USA; [Collins, Allen G.] Natl Museum Nat Hist, Smithsonian Inst, Washington, DC 20560 USA; [Constantino, Reginaldo] Univ Brasilia, Dept Zool, Brasilia, DF, Brazil; [Crespo, Francisco A.] Ctr Nacl Diagnost &amp; Invest Endemoepidemias, Buenos Aires, DF, Argentina; [Daly, Marymegan] Ohio State Univ, Columbus, OH 43210 USA; [Dominiak, Patrycja] Univ Gdansk, Dept Invertebrate Zool &amp; Parasitol, PL-80308 Gdansk, Poland; [Dronen, Norm] Texas A&amp;M Univ, Dept Wildlife &amp; Fisheries Sci, Parasitol Lab, College Stn, TX 77843 USA; [Dubois, Alain] Museum Natl Hist Nat, Paris, France; [Duda, Thomas F., Jr.] Univ Michigan, Museum Zool, Ann Arbor, MI 48109 USA; [Duda, Thomas F., Jr.] Univ Michigan, Dept Ecol &amp; Evolutionary Biol, Ann Arbor, MI 48109 USA; [Eleaume, Marc] Museum Natl Hist Nat, Dept Origine &amp; Evolut, CP 51,57 Rue Cuvier, F-75231 Paris 05, France; [Erlacher, Sven] Museum Nat Hist, Chemnitz, Germany; [Estrela, Pedro Cordeiro] Univ Fed Paraiba, Joao Pessoa, Paraiba, Brazil; [Fehlauer-Ale, Karin Hoch] Univ Fed Parana, Lab Bentos, Ctr Estudos Mar, Pontal Do Parana, Parana, Brazil; [Fery, Hans; Goldschmidt, Tom; Schroedl, Michael] Zoolog Staatssammlung Munchen, Munich, Germany; [Fritz, Uwe] Senckenberg Nat Hist Collect, Dresden, Germany; [Gaimari, Stephen D.; Garrison, Rosser; Kerr, Peter H.; Watson, Gillian W.; Winterton, Shaun L.] Calif Dept Food &amp; Agr, Plant Pest Diagnost Ctr, Sacramento, CA USA; [Gaubert, Philippe] Univ Montpellier, Inst Rech Dev, Inst Sci Evolut Montpellier, F-34095 Montpellier, France; [Geiger, Daniel L.; Gimmel, Matthew L.] Santa Barbara Museum Nat Hist, Santa Barbara, CA USA; [Gill, Anthony C.] Univ Sydney, Macleay Museum, A12 Macleay Bldg, Sydney, NSW 2006, Australia; [Gill, Anthony C.] Univ Sydney, Sch Life &amp; Environm Sci, A12 Macleay Bldg, Sydney, NSW 2006, Australia; [Goswami, Rajkamal] Ctr Res Ecol Dev &amp; Res CEDAR, House 201,Phase 1, Dehra Dun 248006, Uttar Pradesh, India; [Perez Gonzalez, Abel; Ramirez, Martin] Museo Argentino Ciencias Nat Bernardino Rivadavia, Buenos Aires, DF, Argentina; [Gonzalez, Victor H.] Univ Kansas, Lawrence, KS 66045 USA; [Gordon, Dennis] Natl Inst Water Atmospher Res, Private Bag, Wellington 14901, New Zealand; [Gower, David J.; Hughes, Lauren E.; Price, Benjamin] Nat Hist Museum, London, England; [Greenslade, Penelope] Federat Univ, Fac Sci, Ballarat, Vic 3353, Australia; [Gusarov, Vladimir I.] Univ Oslo, Nat Hist Museum, Oslo, Norway; [Hajdu, Eduardo] Univ Fed Rio de Janeiro, Museu Nacl, Rio De Janeiro, Brazil; [Harms, Danilo] Univ Hamburg, Zool Museum, Dept Arachnol, CeNak,Ctr Nat Hist, Martin Luther King Pl 3, D-20146 Hamburg, Germany; [Heinicke, Matthew P.] Univ Michigan, Dearborn, MI 48128 USA; [Hilton, Eric J.] Virginia Inst Marine Sci, Coll William &amp; Mary, Dept Fisheries Sci, Gloucester Point, VA 23062 USA; [Hodgson, C. J.] Natl Museum Wales, Cardiff CF10 3NP, Wales; [Hormiga, Gustavo] George Washington Univ, Washington, DC USA; [Ahyong, Shane T.; Hutchings, Pat] Australian Museum, Sydney, NSW, Australia; [Jaeger, Peter] Senckenberg Res Inst, Senckenberganlage 25, D-60325 Frankfurt, Germany; [Jennings, John T.] Univ Adelaide, Adelaide, SA, Australia; [Kadej, Marcin] Univ Wroclaw, Dept Invertebrate Biol Evolut &amp; Conservat, Wroclaw, Poland; [Kaila, Lauri] Univ Helsinki, Zool Unit, Finnish Museum Nat Hist, Helsinki, Finland; [Kaminski, Marcin Jan] Polish Acad Sci, Museum &amp; Inst Zool, Warsaw, Poland; [Karaman, G. S.] Acad Sci &amp; Arts Montenegro, Podgorica, Montenegro; [Karanovic, Tom] Univ Tasmania, Hobart, Tas, Australia; [Kathirithamby, Jeyaraney] Univ Oxford, Dept Zool, Oxford, England; [Kirkendall, Lawrence R.] Univ Bergen, Bergen, Norway; [Kitahara, Marcelo Visentini] Univ Fed Sao Paulo, Campus Baixada Santista, Santos, SP, Brazil; [Klautau, Michelle] Univ Fed Rio de Janeiro, Inst Biol, Lab Biol Porifera, Dept Zool, Av Carlos Chagas Filho 373,CCS,Bloco A,Sala A0-10, Rio De Janeiro, Brazil; [Kondratieff, Boris C.] Colorado State Univ, Dept Bioagr Sci &amp; Pest Management, Ft Collins, CO USA; [Kroh, Andreas] Nat Hist Museum Wien, Vienna, Austria; [Labarque, Facundo M.] Inst Butantan, Lab Especial Colecoes Zool, Sao Paulo, Brazil; [Leavengood, John M., Jr.] Florida Dept Agr &amp; Consumer Serv, Florida State Collect Arthropods, Gainesville, FL USA; [Letardi, Agostino] ENEA, Italian Natl Agcy New Technol Energy &amp; Sustainabl, Rome, Italy; [Liang, Ai-Ping] Chinese Acad Sci, Inst Zool, Beijing, Peoples R China; [Lima, Flavio C. T.] Univ Estadual Campinas, Inst Biol, Museu Hist Nat Prof Adao Jose Cardoso, Campinas, SP, Brazil; [Liu, Zhiwei] Eastern Illinois Univ, Charleston, IL 61920 USA; [Lobl, Ivan] Museum Hist Nat, Geneva, Switzerland; [Lohrmann, Volker] Ubersee Museum Bremen, Bremen, Germany; [Malchus, Nikolaus] Inst Catala Paleontol Miquel Crusafont, Catalunya, Spain; [Malipatil, M. B.] La Trobe Univ, Agr Victoria, AgriBio, Bundoora, Vic, Australia; [Marques, Antonio C.; Nihei, Silvio S.; Pinto-da-Rocha, Ricardo] Univ Sao Paulo, Inst Biociencias, Sao Paulo, Brazil; [Marques, Antonio C.] Univ Sao Paulo, Ctr Biol Marinha, Sao Paulo, Brazil; [Matzke-Karasz, R.] Ludwig Maximilians Univ Munchen, Munich, Germany; [Mayer, Georg] Univ Kassel, Dept Zool, D-34132 Kassel, Germany; [Mayoral, Jaime G.] Florida Int Univ, Dept Biol Sci, Miami, FL 33199 USA; [McInnes, S. J.] British Antarctic Survey, Cambridge CB3 0ET, England; [Minelli, Alessandro] Univ Padua, Padua, Italy; [Moir, Melinda L.] Dept Primary Ind &amp; Reg Dev, Agr &amp; Food, S Perth, WA 6151, Australia; [Monks, Scott] Univ Autonoma Estado de Hidalgo, Pachuca, Hidalgo, Mexico; [Morrone, Juan J.] Univ Nacl Autonoma Mexico, Fac Ciencias, Museo Zool, Mexico City, DF, Mexico; [Nagy, Zoltan Tamas; De Prins, Jurate] Royal Belgian Inst Nat Sci, Brussels, Belgium; [Nearns, Eugenio H.] Purdue Univ, W Lafayette, IN 47907 USA; [Nekola, Jeff] Univ New Mexico, Albuquerque, NM 87131 USA; [Nuetzel, Alexander] LMU, SNSB Bayer Staatssammlung Palaontol &amp; Geol, Dept Earth &amp; Environm Sci Palaeontol Geobiol, GeoBio Ctr, Richard Wagner Str 10, D-80333 Munich, Germany; [Dubois, Alain; Ohler, Annemarie] Museum Natl Hist Nat, Paris, France; [Dill Orrico, Victor Goyannes] Univ Estadual Santa Cruz, Ilheus, BA, Brazil; [de Carvalho, M. R.; Padial, Jose M.] Amer Museum Nat Hist, New York, NY 10024 USA; [Page, Lawrence M.] Univ Florida, Florida Museum Nat Hist, Gainesville, FL USA; [Passos, Paulo; Weksler, Marcelo] Museu Nacl, Dept Vertebrados, Rio De Janeiro, Brazil; [Paulson, Dennis] Slater Museum Nat Hist, Tacoma, WA USA; [Perkins, Philip D.] Harvard Univ, Dept Entomol, Museum Comparat Zool, Boston, MA 02115 USA; [Pfingstl, Tobias] Karl Franzens Univ Graz, Graz, Austria; [Prieto, Carlos] Univ Atlantico, Fac Ciencias Basicas, Dept Biol, Barranquilla, Colombia; [Pinheiro, Livia Rodrigues] Univ Sao Paulo, Museu Zool, Sao Paulo, Brazil; [Prendini, Lorenzo] Amer Museum Nat Hist, Div Invertebrate Zool, New York, NY 10024 USA; [Barclay, Maxwell V. L.; Gower, David J.; Hughes, Lauren E.; Price, Benjamin] Nat Hist Museum, London, England; [Rasmussen, Claus] Aarhus Univ, Aarhus, Denmark; [Rasmussen, P.] Michigan State Univ Museum, E Lansing, MI USA; [Redei, David] Nankai Univ, Tianjin, Peoples R China; [Ribera, Ignacio] Inst Biol Evolut, Barcelona, Spain; [Ricarte, Antonio] Univ Alicante, Ctr Iberoamer Biodiversidad CIBIO, Alicante, Spain; [Rivera, Julio] Univ San Ignacio Loyola, Lima, Peru; [Rix, Michael G.] Queensland Museum, Biodivers &amp; Geosci Program, Brisbane, Qld, Australia; [Rossaro, Bruno] Univ Milan, Milan, Italy; [Roy, Aniruddha Datta] Indian Inst Sci, Ctr Ecol Sci, Bangalore, Karnataka, India; [Ruiz, Gustavo R. S.] Univ Fed Para, Belem, Para, Brazil; [Salles, Frederico F.] Univ Fed Espirito Santo, Lab Sistemat &amp; Ecol Insetos, Sao Mateus, ES, Brazil; [Sanborn, Allen F.] Barry Univ, Miami Shores, FL USA; [Sartori, Michel] Musee Cantonal Zool, Lausanne, Switzerland; [Schoeller, Matthias] Biolog Beratung, Berlin, Germany; [Schmelz, Rudiger M.] Univ A Coruna, La Coruna, Spain; [Segniagbeto, Gabriel Hoinsoude] Univ Lome, Lome, Togo; [Serrano, J.] Univ Murcia, Murcia, Spain; [Shimano, Satoshi] Hosei Univ, Chiyoda Ku, Tokyo, Japan; [Shin, Mann Kyoon] Univ Ulsan, Ulsan, South Korea; [Sidorchuk, Ekaterina] Russian Acad Sci, Inst Paleontol, Arthropoda Lab, Moscow, Russia; [Siler, Cameron D.] Univ Oklahoma, Sam Noble Oklahoma Museum Nat Hist, Norman, OK 73019 USA; [Siler, Cameron D.] Univ Oklahoma, Dept Biol, Norman, OK 73019 USA; [Sket, Boris] Univ Ljubljani, Ljubljana, Slovenia; [Smith, Aaron D.] No Arizona Univ, Flagstaff, AZ 86011 USA; [Smith, Robin] Lake Biwa Museum, Shiga, Japan; [Smith-Pardo, Allan H.] 389 Oyster Point Blvd,Suite 2, San Francisco, CA 94080 USA; [Sparks, John] Amer Museum Nat Hist, Dept Ichthyol, New York, NY 10024 USA; [Sterrer, W. E.] Bermuda Nat Hist Museum, Flatts, Bermuda; [Stroinski, Adam] Polish Acad Sci, Museum &amp; Inst Zool, Warsaw, Poland; [Svavarsson, Jorundur] Univ Iceland, Reykjavik, Iceland; [Twomey, Evan] Pontificia Univ Catolica Rio Grande do Sul, Porto Alegre, RS, Brazil; [Vasudevan, Karthikeyan] Ctr Cellular &amp; Mol Biol, Hyderabad, Telangana, India; [Vences, Miguel] Tech Univ Carolo Wilhelmina Braunschweig, Braunschweig, Germany; [de Voogd, Nicole] Nat Biodivers Ctr, Leiden, Netherlands; [Wang, Qiao] Massey Univ, Inst Agr &amp; Environm, Palmerston North, New Zealand; [Weiner, Wanda M.] Polish Acad Sci, Inst Systemat &amp; Evolut Anim, Krakow, Poland; [Wesener, Thomas] Leibniz Inst Terr Biodivers, Zool Res Museum A Koenig, Bonn, Germany; [Wood, Timothy S.] Wright State Univ, Dept Biol Sci, Dayton, OH 45435 USA; [Yen, Shen-Horn] Natl Sun Yat Sen Univ, Kaohsiung, Taiwan; [Zaher, Hussam] Univ Sao Paulo, Museu Zool, Sao Paulo, Brazil; [Zhang, Z. -Q.] New Zealand Arthropod Collect, Landcare Res, Auckland 1072, New Zealand; [Zhou, Hong-zhang] Key Lab Zool Systemat &amp; Evolut Inst Zool, Beijing, Peoples R China</t>
  </si>
  <si>
    <t>Australian Museum; University of Massachusetts System; University of Massachusetts Boston; Missouri Botanical Gardens; National University of Cordoba; Consejo Nacional de Investigaciones Cientificas y Tecnicas (CONICET); Brigham Young University; University of Saskatchewan; Australian Museum; Queensland Museum; University of Barcelona; University of Barcelona; Auburn University System; Auburn University; Universidade Federal do Espirito Santo; Natural History Museum London; Smithsonian Institution; Senckenberg Gesellschaft fur Naturforschung (SGN); Villanova University; University of Guam; Czech Academy of Sciences; Biology Centre of the Czech Academy of Sciences; Palacky University Olomouc; Museu Paraense Emilio Goeldi; Auburn University System; Auburn University; California Department of Food &amp; Agriculture; State University System of Florida; University of Florida; Consejo Superior de Investigaciones Cientificas (CSIC); CSIC-UPF - Institut de Biologia Evolutiva (IBE); University System of Ohio; Ohio Wesleyan University; American Museum of Natural History (AMNH); Pontificia Universidade Catolica Do Rio Grande Do Sul; Slovak Academy of Sciences; University of Memphis; Smithsonian Institution; Smithsonian National Museum of Natural History; Universidade de Brasilia; University System of Ohio; Ohio State University; Fahrenheit Universities; University of Gdansk; Texas A&amp;M University System; Texas A&amp;M University College Station; Museum National d'Histoire Naturelle (MNHN); University of Michigan System; University of Michigan; University of Michigan System; University of Michigan; Museum National d'Histoire Naturelle (MNHN); Universidade Federal da Paraiba; Universidade Federal do Parana; Senckenberg Gesellschaft fur Naturforschung (SGN); California Department of Food &amp; Agriculture; Centre National de la Recherche Scientifique (CNRS); Institut de Recherche pour le Developpement (IRD); Universite de Montpellier; University of Sydney; University of Sydney; Museo Argentino de Ciencias Naturales Bernardino Rivadavia (MACN); University of Kansas; National Institute of Water &amp; Atmospheric Research (NIWA) - New Zealand; Natural History Museum London; Federation University Australia; University of Oslo; Universidade Federal do Rio de Janeiro; University of Hamburg; University of Michigan System; University of Michigan; William &amp; Mary; Virginia Institute of Marine Science; George Washington University; Australian Museum; Senckenberg Gesellschaft fur Naturforschung (SGN); University of Adelaide; University of Wroclaw; University of Helsinki; Polish Academy of Sciences; Museum &amp; Institute of Zoology of the Polish Academy of Sciences; University of Tasmania; University of Oxford; University of Bergen; Universidade Federal de Sao Paulo (UNIFESP); Universidade Federal do Rio de Janeiro; Colorado State University; Instituto Butantan; Italian National Agency New Technical Energy &amp; Sustainable Economics Development; Chinese Academy of Sciences; Institute of Zoology, CAS; Universidade Estadual de Campinas; Universidade de Sao Paulo; Eastern Illinois University; Institut Catala de Paleontologia Miquel Crusafont (ICP); La Trobe University; Universidade de Sao Paulo; Universidade de Sao Paulo; University of Munich; Universitat Kassel; State University System of Florida; Florida International University; UK Research &amp; Innovation (UKRI); Natural Environment Research Council (NERC); NERC British Antarctic Survey; University of Padua; Universidad Autonoma del Estado de Hidalgo; Universidad Nacional Autonoma de Mexico; Royal Belgian Institute of Natural Sciences; Purdue University System; Purdue University; University of New Mexico; University of Munich; Museum National d'Histoire Naturelle (MNHN); Universidade Estadual de Santa Cruz; American Museum of Natural History (AMNH); State University System of Florida; University of Florida; Harvard University; University of Graz; Universidade de Sao Paulo; American Museum of Natural History (AMNH); Natural History Museum London; Aarhus University; Michigan State University; Nankai University; Consejo Superior de Investigaciones Cientificas (CSIC); CSIC-UPF - Institut de Biologia Evolutiva (IBE); Universitat d'Alacant; Universidad San Ignacio de Loyola; Queensland Museum; University of Milan; Indian Institute of Science (IISC) - Bangalore; Universidade Federal do Para; Universidade Federal do Espirito Santo; Barry University; Universidade da Coruna; University of Lome; University of Murcia; Hosei University; University of Ulsan; Russian Academy of Sciences; University of Oklahoma System; University of Oklahoma - Norman; University of Oklahoma System; University of Oklahoma - Norman; University of Ljubljana; Northern Arizona University; American Museum of Natural History (AMNH); Polish Academy of Sciences; Museum &amp; Institute of Zoology of the Polish Academy of Sciences; University of Iceland; Pontificia Universidade Catolica Do Rio Grande Do Sul; Council of Scientific &amp; Industrial Research (CSIR) - India; CSIR - Centre for Cellular &amp; Molecular Biology (CCMB); Braunschweig University of Technology; Naturalis Biodiversity Center; Massey University; Polish Academy of Sciences; Institute of Systematics &amp; Evolution of Animals of the Polish Academy of Sciences; University System of Ohio; Wright State University Dayton; National Sun Yat Sen University; Universidade de Sao Paulo; Landcare Research - New Zealand</t>
  </si>
  <si>
    <t>Prathapan, KD (corresponding author), Kerala Agr Univ, Thiruvananthapuram 695522, Kerala, India.</t>
  </si>
  <si>
    <t>prathapankd@gmail.com; priyan@atree.org; luis.acosta@unc.edu.ar; byron_adams@byu.edu; sina.adl@usask.ca; shane.ahyong@austmus.gov.au; randerson@mus-nature.ca; claudia.arango@qm.qld.gov.au; marnedo@gmail.com; armbrjw@auburn.edu; avilacnp@gmail.com; bethylidae@gmail.com; diegobaldo@gmail.com; m.barclay@nhm.ac.uk; Rosemarie.Baron-Szabo@senckenberg.de; aaron.bauer@villanova.edu; bastian.bentlage@gmail.com; bezdek@entu.cas.cz; zeuxo@clear.net.nz; v.blagoderov@nms.ac.uk; ladislav.bocak@upol.cz; bonaldo@museu-goeldi.br; jbond@auburn.edu; chris.borkent@gmail.com; marcbran@ufl.edu; salvador.carranza@ibe.upf-csic.es; racarren@owu.edu; gogolia99@gmail.com; castroviejo.fisher@gmail.com; chiba.zootaxa@gmail.com; f.ciampor@savba.sk; djclarke@memphis.edu; tesserazoa4zt@gmail.com; termites.zootaxa@gmail.com; crespo.zootaxa@gmail.com; daly.66@osu.edu; heliocopris@gmail.com; n-dronen@tamu.edu; adubois@mnhn.fr; tfduda@umich.edu; marc.eleaume@mnhn.fr; erlacher@naturkunde-chemnitz.de; pedrocometa@gmail.com; neale@bishopmuseum.org; fehlauer.ale@gmail.com; hanfry@aol.com; Uwe.Fritz@senckenberg.de; stephen.gaimari@cdfa.ca.gov; rgarrison@cdfa.ca.gov; philippe.gaubert@umontpellier.fr; geiger@vetigastropoda.com; gill.anthony@gmail.com; mgimmel@sbnature2.org; tomgoldschmidt@web.de; rajkamalgoswami@gmail.com; abelaracno@gmail.com; vhgonza@ku.edu; Dennis.Gordon@niwa.co.nz; d.gower@nhm.ac.uk; p.greenslade@federation.edu.au; vladimir.gusarov@nhm.uio.no; eduardo.hajdu@gmail.com; danilo.harms@uni-hamburg.de; heinicke@umich.edu; ehilton@vims.edu; HodgsonCJ@cardiff.ac.uk; hormiga@gwu.edu; l.hughes@nhm.ac.uk; pat.hutchings@austmus.gov.au; Peter.jaeger@senckenberg.de; J_JENNINGS@onaustralia.com.au; marcin.kadej@uwr.edu.pl; Lauri.Kaila@Helsinki.fi; mkaminski@miiz.waw.pl; karaman@t-com.me; tomislav.karanovic@gmail.com; jeyaraney.kathirithamby@zoo.ox.ac.uk; peter.kerr@cdfa.ca.gov; lawrence.kirkendall@uib.no; mvkitahara@unifesp.br; mklautau@gmail.com; Boris.Kondratieff@Colostate.edu; andreas.kroh@nhm-wien.ac.at; facundo.labarque@gmail.com; johnshorrorcorner@gmail.com; agostino.letardi@enea.it; liangap@ioz.ac.cn; fctlima@gmail.com; zliu@eiu.edu; ivan.lobl@bluewin.ch; v.lohrmann@uebersee-museum.de; Bivalvia.Zootaxa@gmx.net; Mallik.Malipatil@ecodev.vic.gov.au; marques@ib.usp.br; r.matzke@lrz.uni-muenchen.de; gmayer@onychophora.com; mayoralj@fiu.edu; s.mcinnes@bas.ac.uk; alessandro.minelli@unipd.it; Melinda.Moir@dpird.wa.gov.au; monks.scott@gmail.com; juanmorrone2001@yahoo.com.mx; muster@rz.uni-leipzig.de; zoltan-tamas.nagy@naturalsciences.be; seena.narayanan@atree.org; gino@nearns.com; jnekola@unm.edu; silvionihei@gmail.com; a.nuetzel@lrz.uni-muenchen.de; annemarie.ohler@gmail.com; zootaxa.hylids@gmail.com; jpadial@amnh.org; lpage1@ufl.edu; ppassos@mn.ufrj.br; dpaulson@pugetsound.edu; perkins@oeb.harvard.edu; dr.tobias.pfingstl@gmail.com; prieto.zootaxa@gmail.com; lrpinheiro@gmail.com; ricrocha@usp.br; lorenzo@amnh.org; neuropterida@gmail.com; jurate.deprins@gmail.com; ramirez@macn.gov.ar; claus.rasmussen@bios.au.dk; rasmus39@msu.edu; david.redei@gmail.com; ignacio.ribera@ibe.upf-csic.es; ricarte24@gmail.com; julio.riverac@usil.pe; michael.rix@qm.qld.gov.au; bruno.rossaro@unimi.it; datta.roy82@gmail.com; gustavoruiz86@hotmail.com; ffsalles@gmail.com; asanborn@barry.edu; michel.sartori@vd.ch; schoeller@tricho.b.shuttle.de; rmschmelz@gmail.com; Michael.Schroedl@zsm.mwn.de; h_segniagbeto@yahoo.fr; jserrano@um.es; sim@hosei.ac.jp; mkshin@ulsan.ac.kr; e.a.sidorchuk@gmail.com; camsiler@ou.edu; Boris.Sket@BF.uni-lj.si; aaron.smith@nau.edu; asmith@unl.edu; smith@lbm.go.jp; Allan.H.Smith-Pardo@aphis.usda.gov; otophysic@gmail.com; westerrer@gov.bm; adam@miiz.waw.pl; jorundur@hi.is; toledo.pinguicula.mario3@gmail.com; evan.twomey@gmail.com; karthik@ccmb.res.in; m.vences@tu-braunschweig.de; nicole.devoogd@naturalis.nl; Q.Wang@massey.ac.nz; gillian.watson@cdfa.ca.gov; weiner@isez.pan.krakow.pl; mweksler@mn.ufrj.br; t.wesener@leibniz-zfmk.de; d.whitmore@nhm.ac.uk; h.wiklund@nhm.ac.uk; P.Williams@nhm.ac.uk; wintertonshaun@gmail.com; tim.wood@wright.edu; shenhornyen@gmail.com; hussam.zaher@gmail.com; zhangz@landcareresearch.co.nz; zhouhz@ioz.ac.cn</t>
  </si>
  <si>
    <t>Salles, Frederico/ACM-3303-2022; Weksler, Marcelo/A-7420-2010; Letardi, Agostino/AAO-6206-2021; Gaubert, Philippe/AGV-9979-2022; Carvalho, Murilo/AAO-5294-2020; Labarque, Facundo Martín/X-1047-2019; Zhang, Zhi-Qiang/L-6079-2019; Shin, Mann Kyoon/M-7043-2013; Weiner, Wanda Maria/AAW-3735-2020; Kroh, Andreas/AAI-3650-2020; Labarque, Facundo Martín/I-2930-2017; Muster, Christoph/AAZ-1101-2021; Erlacher, Sven/Y-7465-2019; Borkent, Christopher/F-3188-2013; Azevedo, Celso O/D-1295-2014; Kitahara, Marcelo Visentini/D-5560-2011; Ruiz, Gustavo/AAB-4928-2019; Collins, Allen G/A-7944-2008; Ricarte, Antonio/S-4483-2016; Bocak, Ladislav/AAL-9068-2021; Klautau, Michelle/I-2041-2012; Arnedo, Miquel/E-9086-2011; Shimano, Satoshi/ADY-6512-2022; Gonzalez, Victor/JKI-8252-2023; McInnes, Sandra/AAN-4773-2020; Bond, Jason E./P-1501-2017; Čiampor, Fedor/AAR-7555-2020; Bezdek, Ales/G-7360-2014; Sartori, Michel/AAT-9599-2020; Geiger, Daniel L./JXY-5894-2024; Arango, Claudia/A-5531-2008; Fritz, Uwe/AAC-4029-2019; Passos, Paulo/ABE-5351-2020; Morrone, Juan J./AAH-4325-2021; de Voogd, Nicole J/I-9280-2012; Liu, Zhiwei/AAI-7700-2020; Smith-Pardo, Allan H./ACW-8297-2022; Castroviejo-Fisher, Santiago/G-9007-2013; Whitmore, Daniel/AAB-8834-2019; Gaimari, Stephen D./E-4436-2010; Daly, Marymegan/F-9178-2011; Nihei, Silvio/D-3615-2012; Ribera, Ignacio/K-2909-2017; Lima, Flávio C.T./B-6218-2013; Marques, Antonio/E-8049-2011; Kadej, Marcin/E-5916-2018; Rasmussen, Claus/J-6714-2012; Gaimari, Stephen D./AAZ-1533-2020; Salles, Frederico Falcão/C-3439-2013; Prendini, Lorenzo/AAY-6611-2021; Divakaran, Prathapan/HTP-0725-2023; Bonaldo, Alexandre/AAU-1163-2021; Price, Benjamin/Y-5971-2019; Vences, Miguel/E-5573-2010; Rossaro, Bruno/G-4999-2015; Pérez-González, Abel/R-4999-2019; Zaher, Hussam/ABC-1701-2021; Pethiyagoda, Rohan/C-2307-2009; Nützel, Alexander/ABB-6301-2020; Orrico, Victor/G-9796-2012; Constantino, Reginaldo/J-2389-2015; G. Mayoral, Jaime/J-5392-2018; Adams, Byron/C-3808-2009; Adl, Sina/R-3187-2016; Wang, Qiao/P-3121-2018; Mayer, Georg/Y-9581-2018; Monks, Scott/B-7222-2008; Carranza, Salvador/A-2126-2012; Kirkendall, Lawrence/B-5003-2010</t>
  </si>
  <si>
    <t>Weksler, Marcelo/0000-0001-8111-4779; Letardi, Agostino/0000-0002-0223-6119; Labarque, Facundo Martín/0000-0001-9413-1949; Zhang, Zhi-Qiang/0000-0003-4172-0592; Shin, Mann Kyoon/0000-0001-6592-1204; Weiner, Wanda Maria/0000-0002-7257-3671; Kroh, Andreas/0000-0002-8566-8848; Labarque, Facundo Martín/0000-0001-9413-1949; Erlacher, Sven/0000-0002-7402-5919; Borkent, Christopher/0000-0001-9573-1663; Azevedo, Celso O/0000-0002-2423-9388; Kitahara, Marcelo Visentini/0000-0003-4011-016X; Ruiz, Gustavo/0000-0002-7326-7000; Ricarte, Antonio/0000-0003-2298-981X; Bocak, Ladislav/0000-0001-6382-8006; Arnedo, Miquel/0000-0003-1402-4727; Shimano, Satoshi/0000-0002-8672-4362; McInnes, Sandra/0000-0003-3403-9379; Bond, Jason E./0000-0001-6373-3875; Čiampor, Fedor/0000-0001-6269-3592; Sartori, Michel/0000-0003-3397-3397; Geiger, Daniel L./0000-0002-2417-8474; Fritz, Uwe/0000-0002-6740-7214; Passos, Paulo/0000-0002-1775-0970; Smith-Pardo, Allan H./0000-0003-1905-6226; Castroviejo-Fisher, Santiago/0000-0002-1048-2168; Whitmore, Daniel/0000-0002-6051-5925; Gaimari, Stephen D./0000-0002-4240-7154; Nihei, Silvio/0000-0002-6887-6282; Marques, Antonio/0000-0002-2884-0541; Kadej, Marcin/0000-0001-5983-0402; Rasmussen, Claus/0000-0003-1529-6548; Gaimari, Stephen D./0000-0002-4240-7154; Salles, Frederico Falcão/0000-0001-8331-5929; Price, Benjamin/0000-0001-5497-4087; Rossaro, Bruno/0000-0001-6154-1191; Pérez-González, Abel/0000-0002-4245-3302; Zaher, Hussam/0000-0002-6994-489X; K D, Prathapan/0000-0002-2873-5725; Smith, Aaron/0000-0002-1286-950X; Heinicke, Matthew/0000-0002-6021-8058; Orrico, Victor/0000-0002-4560-4006; Page, Larry/0000-0002-8823-0729; Constantino, Reginaldo/0000-0003-2060-6723; G. Mayoral, Jaime/0000-0002-8813-6804; Avila, Luciano Javier/0000-0003-4641-6581; Prendini, Lorenzo/0000-0001-8727-7106; Gaubert, Philippe/0000-0002-1375-9935; Gill, Anthony/0000-0002-8990-3657; Adams, Byron/0000-0002-7815-3352; Adl, Sina/0000-0001-6324-6065; Pethiyagoda, Rohan/0000-0001-7215-9617; Matzke-Karasz, Renate/0000-0002-8010-2028; Bonaldo, Alexandre/0000-0002-8216-5110; Smith, Andrew B.T./0000-0002-8059-5133; Wang, Qiao/0000-0001-6494-2097; Malchus, Nikolaus/0000-0002-7514-8670; Bezdek, Ales/0000-0002-8748-3281; Stroinski, Adam/0000-0003-0876-9263; Svavarsson, Jorundur/0000-0003-1842-7515; Harms, Danilo/0009-0006-7437-6897; Mayer, Georg/0000-0003-0737-2440; Divakaran, Prathapan/0000-0001-8493-1555; Malipatil, Mallik/0000-0002-3088-1035; Nutzel, Alexander/0000-0002-8852-7688; Monks, Scott/0000-0002-5041-8582; Carranza, Salvador/0000-0002-5378-3008; Vences, Miguel/0000-0003-0747-0817; Kirkendall, Lawrence/0000-0002-7335-6441</t>
  </si>
  <si>
    <t>10.1126/science.aat9844</t>
  </si>
  <si>
    <t>GK9TL</t>
  </si>
  <si>
    <t>WOS:000436598000028</t>
  </si>
  <si>
    <t>Hendrickx, K; Megner, L; Marsh, DR; Smith-Johnsen, C</t>
  </si>
  <si>
    <t>Hendrickx, Koen; Megner, Linda; Marsh, Daniel R.; Smith-Johnsen, Christine</t>
  </si>
  <si>
    <t>Production and transport mechanisms of NO in the polar upper mesosphere and lower thermosphere in observations and models</t>
  </si>
  <si>
    <t>ENERGETIC PARTICLE-PRECIPITATION; NITRIC-OXIDE MEASUREMENTS; CHEMISTRY CLIMATE MODEL; SOLAR PROTON EVENT; GEOMAGNETIC-ACTIVITY; MIDDLE ATMOSPHERE; UPPER-STRATOSPHERE; ICE EXPERIMENT; TEMPERATURE; APRIL</t>
  </si>
  <si>
    <t>A reservoir of nitric oxide (NO) in the lower thermosphere efficiently cools the atmosphere after periods of enhanced geomagnetic activity. Transport from this reservoir to the stratosphere within the winter polar vortex allows NO to deplete ozone levels and thereby affect the middle atmospheric heat budget. As more climate models resolve the mesosphere and lower thermosphere (MLT) region, the need for an improved representation of NO-related processes increases. This work presents a detailed comparison of NO in the Antarctic MLT region between observations made by the Solar Occultation for Ice Experiment (SOFIE) instrument on-board the Aeronomy of Ice in the Mesosphere (AIM) satellite and simulations performed by the Whole Atmosphere Community Climate Model with Specified Dynamics (SD-WACCM). We investigate 8 years of SOFIE observations, covering the period 2007-2015, and focus on the Southern Hemisphere (SH), rather than on dynamical variability in the Northern Hemisphere (NH) or a specific geomagnetic perturbed event. The morphology of the simulated NO is in agreement with observations though the long-term mean is too high and the short-term variability is too low in the thermosphere. Number densities are more similar during winter, though the altitude of peak NO density, which reaches between 102 and 106 km in WACCM and between 98 and 104 km in SOFIE, is most separated during winter. Using multiple linear regression (MLR) and superposed epoch analysis (SEA) methods, we investigate how well the NO production and transport are represented in the model. The impact of geomagnetic activity is shown to drive NO variations in the lower thermosphere similarly across both datasets. The dynamical transport from the lower thermosphere into the mesosphere during polar winter is found to agree very well with a descent rate of about 2.2 km day(-1) in the 80-110 km region in both datasets. The downward-transported NO fluxes are, however, too low in WACCM, which is likely due to medium energy electrons (MEE) and D-region ion chemistry that are not represented in the model.</t>
  </si>
  <si>
    <t>[Hendrickx, Koen; Megner, Linda] Stockholm Univ, Dept Meteorol, Stockholm, Sweden; [Marsh, Daniel R.] Natl Ctr Atmospher Res, POB 3000, Boulder, CO 80307 USA; [Smith-Johnsen, Christine] Univ Oslo, Sect Meteorol &amp; Oceanog MetOs, Oslo, Norway; [Smith-Johnsen, Christine] Univ Bergen, Birkeland Ctr Space Sci, Bergen, Norway</t>
  </si>
  <si>
    <t>Stockholm University; National Center Atmospheric Research (NCAR) - USA; University of Oslo; University of Bergen</t>
  </si>
  <si>
    <t>Hendrickx, K (corresponding author), Stockholm Univ, Dept Meteorol, Stockholm, Sweden.</t>
  </si>
  <si>
    <t>koen.hendrickx@misu.su.se</t>
  </si>
  <si>
    <t>Marsh, Daniel/A-8406-2008; Hendrickx, Koen/R-1712-2016; Megner, Linda/AAL-4454-2021</t>
  </si>
  <si>
    <t>Marsh, Daniel/0000-0001-6699-494X; Hendrickx, Koen/0000-0003-3679-6744; Megner, Linda/0000-0002-8016-1343</t>
  </si>
  <si>
    <t>Swedish Research Council [621-2012-1648]; NASA LWS [NNX14AH54G]; U.S. National Science Foundation (NSF); Norwegian Research Council [222390]</t>
  </si>
  <si>
    <t>Swedish Research Council(Swedish Research Council); NASA LWS(National Aeronautics &amp; Space Administration (NASA)); U.S. National Science Foundation (NSF)(National Science Foundation (NSF)); Norwegian Research Council(Research Council of Norway)</t>
  </si>
  <si>
    <t>Linda Megner is supported by the Swedish Research Council under contract 621-2012-1648. Daniel R. Marsh is supported in part by NASA LWS grant NNX14AH54G. The National Center for Atmospheric Research (NCAR) is sponsored by the U.S. National Science Foundation (NSF). Christine Smith-Johnsen is supported by the Norwegian Research Council under project 222390.</t>
  </si>
  <si>
    <t>JUN 28</t>
  </si>
  <si>
    <t>10.5194/acp-18-9075-2018</t>
  </si>
  <si>
    <t>GK9NW</t>
  </si>
  <si>
    <t>WOS:000436579500009</t>
  </si>
  <si>
    <t>Zhang, Y; Feng, M; Du, Y; Phillips, HE; Bindoff, NL; McPhaden, MJ</t>
  </si>
  <si>
    <t>Zhang, Ying; Feng, Ming; Du, Yan; Phillips, Helen E.; Bindoff, Nathaniel L.; McPhaden, Michael J.</t>
  </si>
  <si>
    <t>Strengthened Indonesian Throughflow Drives Decadal Warming in the Southern Indian Ocean</t>
  </si>
  <si>
    <t>heat budget; upper ocean; Indonesian Throughflow; ocean boundary current; air-sea flux; Ekman transport</t>
  </si>
  <si>
    <t>LEEUWIN CURRENT; WESTERN-AUSTRALIA; INTERANNUAL VARIABILITY; BOUNDARY CURRENT; STATE ESTIMATION; CURRENT SYSTEMS; PACIFIC; HIATUS; TEMPERATURE; EQUATORIAL</t>
  </si>
  <si>
    <t>Remarkable warming of the Southern Indian Ocean during the recent two decades is assessed using a heat budget analysis based on the Estimating the Circulation and Climate of the Ocean version 4 release 3 model results. The annual mean temperature averaged in the upper-700m Southern Indian Ocean during 1998-2015 has experienced significant warming at a rate of 1.03x10(-2)degrees C/year. A heat budget analysis indicates that the increase is mostly driven by decreased cooling from net air-sea heat flux and increased warming from heat advection. Increased Indonesian Throughflow advection is the largest contributor to warming the upper 700m of the Southern Indian Ocean, while the reduction of surface turbulent heat flux is of secondary importance. These results expand our understanding of the decadal heat balance in the Indian Ocean and of Indo-Pacific decadal climate variability. Plain Language Summary This study identified the important role of the strengthened Indonesian Throughflow volume and heat transports during the global surface warming hiatus period in warming up the Southern Indian Ocean in the past two decades. Roles of other processes, such as air-sea heat fluxes, cross-equatorial cells, and the Agulhas Current, have also been quantified using the model. It appears that the heat transport anomaly is the dominant factor that drives the Southern Indian Ocean warming. Quantifying the decadal ocean heat balance is important to understand the redistribution of the anthropogenic heat uptake in the oceans. The results are useful in assessing coupled model performance in simulating climate change impacts on the global oceans. The study may have broad implications in the climate change research field, as well as the study of broad-scale oceanography, ocean circulation, and the Indonesian Throughflow.</t>
  </si>
  <si>
    <t>[Zhang, Ying; Du, Yan] Chinese Acad Sci, South China Sea Inst Oceanol, State Key Lab Trop Oceanog, Guangzhou, Guangdong, Peoples R China; [Zhang, Ying; Du, Yan] Univ Chinese Acad Sci, Coll Earth Sci, Beijing, Peoples R China; [Zhang, Ying; Feng, Ming] CSIRO Oceans &amp; Atmosphere, Crawley, WA, Australia; [Feng, Ming] Ctr Southern Hemisphere Oceans Res, Hobart, Tas, Australia; [Phillips, Helen E.; Bindoff, Nathaniel L.] Univ Tasmania, Inst Marine &amp; Antarctic Studies, Hobart, Tas, Australia; [Phillips, Helen E.; Bindoff, Nathaniel L.] ARC Ctr Excellence Climate Syst Sci, Hobart, Tas, Australia; [Bindoff, Nathaniel L.] Antarctic Climate &amp; Ecosyst Cooperat Res Ctr, Hobart, Tas, Australia; [Bindoff, Nathaniel L.] CSIRO Oceans &amp; Atmosphere, Hobart, Tas, Australia; [McPhaden, Michael J.] NOAA, Pacific Marine Environm Lab, 7600 Sand Point Way Ne, Seattle, WA 98115 USA</t>
  </si>
  <si>
    <t>Chinese Academy of Sciences; South China Sea Institute of Oceanology, CAS; Chinese Academy of Sciences; University of Chinese Academy of Sciences, CAS; Commonwealth Scientific &amp; Industrial Research Organisation (CSIRO); University of Tasmania; ARC Centre of Excellence for Climate System Science; Antarctic Climate &amp; Ecosystems Cooperative Research Centre (ACE CRC); Commonwealth Scientific &amp; Industrial Research Organisation (CSIRO); National Oceanic Atmospheric Admin (NOAA) - USA</t>
  </si>
  <si>
    <t>Feng, M (corresponding author), CSIRO Oceans &amp; Atmosphere, Crawley, WA, Australia.;Feng, M (corresponding author), Ctr Southern Hemisphere Oceans Res, Hobart, Tas, Australia.</t>
  </si>
  <si>
    <t>ming.feng@csiro.au</t>
  </si>
  <si>
    <t>Feng, Ming/F-5411-2010; DU, Yan/C-4496-2013; Bindoff, Nathaniel Lee/C-8050-2011; DU, YAN/HZI-1091-2023; Bindoff, Nathaniel Lee/IVV-0333-2023; McPhaden, Michael J/D-9799-2016; Phillips, Helen/I-3761-2013</t>
  </si>
  <si>
    <t>DU, Yan/0000-0002-7842-0801; Bindoff, Nathaniel Lee/0000-0001-5662-9519; Bindoff, Nathaniel Lee/0000-0001-5662-9519; Phillips, Helen/0000-0002-2941-7577; Zhang, Ying/0000-0003-4351-6528</t>
  </si>
  <si>
    <t>National Natural Science Foundation of China [41525019]; State Oceanic Administration of China [GASI-IPOVAI-02]; Centre for Southern Hemisphere Oceans Research (CSHOR); China Scholarship Council; CAS/SAFEA International Partnership Program for Creative Research Teams; Australian Government Department of the Environment and Energy National Environmental Science Program</t>
  </si>
  <si>
    <t>National Natural Science Foundation of China(National Natural Science Foundation of China (NSFC)); State Oceanic Administration of China; Centre for Southern Hemisphere Oceans Research (CSHOR); China Scholarship Council(China Scholarship Council); CAS/SAFEA International Partnership Program for Creative Research Teams(Chinese Academy of Sciences); Australian Government Department of the Environment and Energy National Environmental Science Program</t>
  </si>
  <si>
    <t>This study is supported by the National Natural Science Foundation of China (41525019), the State Oceanic Administration of China (GASI-IPOVAI-02), the Centre for Southern Hemisphere Oceans Research (CSHOR), and the China Scholarship Council. CSHOR is a joint initiative between the Qingdao National Laboratory for Marine Science and Technology (QNLM), CSIRO, University of New South Wales, and University of Tasmania. This work is also supported by the CAS/SAFEA International Partnership Program for Creative Research Teams. The authors would like to thank the data providers that make this work possible. ECCO v4.3 fields can be downloaded here ftp://mit.ecco-group.org/ecco_for_las/version_4/release2/. EN4 temperature field is provided from Met Office Hadley Centre (http://www.metoffice.gov.uk/hadobs/en4/download-en4-2-0.html). IGOTv3 temperature field was obtained from Lijing Cheng's website (http://159.226.119.60/cheng/). WOA09 is available at https://www.nodc.noaa.gov/OC5/3M_HEAT_CONTENT/anomaly_data.html. H. P. and N. B. acknowledge support from the Australian Government Department of the Environment and Energy National Environmental Science Program. We thank QinYan Liu for providing the ITF transport derived from XBT data. This is PMEL contribution number 4775.</t>
  </si>
  <si>
    <t>10.1029/2018GL078265</t>
  </si>
  <si>
    <t>GM8QY</t>
  </si>
  <si>
    <t>WOS:000438499100039</t>
  </si>
  <si>
    <t>Ducklow, HW; Stukel, MR; Eveleth, R; Doney, SC; Jickells, T; Schofield, O; Baker, AR; Brindle, J; Chance, R; Cassar, N</t>
  </si>
  <si>
    <t>Ducklow, Hugh W.; Stukel, Michael R.; Eveleth, Rachel; Doney, Scott C.; Jickells, Tim; Schofield, Oscar; Baker, Alex R.; Brindle, John; Chance, Rosie; Cassar, Nicolas</t>
  </si>
  <si>
    <t>Spring-summer net community production, new production, particle export and related water column biogeochemical processes in the marginal sea ice zone of the Western Antarctic Peninsula 2012-2014</t>
  </si>
  <si>
    <t>Antarctica; ocean biogeochemistry; net community production; carbon export; thorium-234 deficiency</t>
  </si>
  <si>
    <t>IODINE SPECIATION; BIOLOGICAL PUMP; ORGANIC-MATTER; CARBON EXPORT; OCEAN; VARIABILITY; BALANCE; TH-234; FLUX</t>
  </si>
  <si>
    <t>New production (New P, the rate of net primary production (NPP) supported by exogenously supplied limiting nutrients) and net community production (NCP, gross primary production not consumed by community respiration) are closely related but mechanistically distinct processes. They set the carbon balance in the upper ocean and define an upper limit for export from the system. The relationships, relative magnitudes and variability of New P (from (NO3)-N-15- uptake), O-2: argon-based NCP and sinking particle export (based on the U-238: Th-234 disequilibrium) are increasingly well documented but still not clearly understood. This is especially true in remote regions such as polar marginal ice zones. Here we present a 3-year dataset of simultaneous measurements made at approximately 50 stations along the Western Antarctic Peninsula (WAP) continental shelf in midsummer (January) 2012-2014, Net seasonal-scale changes in water column inventories (0-150 m) of nitrate and iodide were also estimated at the same stations. The average daily rates based on inventory changes exceeded the shorter-term rate measurements. A major uncertainty in the relative magnitude of the inventory estimates is specifying the start of the growing season following sea-ice retreat. New P and NCP(O-2) did not differ significantly. New P and NCP(O-2) were significantly greater than sinking particle export from thorium-234. We suggest this is a persistent and systematic imbalance and that other processes such as vertical mixing and advection of suspended particles are important export pathways. This article is part of the theme issue 'The marine system of the west Antarctic Peninsula: status and strategy for progress in a region of rapid change'.</t>
  </si>
  <si>
    <t>[Ducklow, Hugh W.; Stukel, Michael R.] Columbia Univ, Lamont Doherty Earth Observ, Palisades, NY USA; [Eveleth, Rachel; Cassar, Nicolas] Duke Univ, Nicholas Sch Environm, Durham, NC 27708 USA; [Eveleth, Rachel; Doney, Scott C.] Univ Virginia, Dept Environm Sci, Clark Hall, Charlottesville, VA 22903 USA; [Jickells, Tim; Baker, Alex R.; Brindle, John; Chance, Rosie] Univ East Anglia, Sch Environm Sci, Norwich, Norfolk, England; [Schofield, Oscar] Rutgers State Univ, Dept Marine &amp; Coastal Sci, New Brunswick, NJ USA; [Stukel, Michael R.] Florida State Univ, Dept Earth Ocean &amp; Atmospher Sci, Tallahassee, FL 32306 USA; [Chance, Rosie] Univ York, Dept Chem, York, N Yorkshire, England</t>
  </si>
  <si>
    <t>Columbia University; Duke University; University of Virginia; University of East Anglia; Rutgers University System; Rutgers University New Brunswick; State University System of Florida; Florida State University; University of York - UK</t>
  </si>
  <si>
    <t>Ducklow, HW (corresponding author), Columbia Univ, Lamont Doherty Earth Observ, Palisades, NY USA.</t>
  </si>
  <si>
    <t>hducklow@ldeo.columbia.edu</t>
  </si>
  <si>
    <t>Baker, Alex R/D-1233-2011; Doney, Scott/F-9247-2010; Cassar, Nicolas/B-4260-2011; Stukel, Michael R/F-9029-2013; Schofield, Oscar/H-4169-2018; Eveleth, Rachel/N-1035-2017</t>
  </si>
  <si>
    <t>Doney, Scott/0000-0002-3683-2437; Schofield, Oscar/0000-0003-2359-4131; Eveleth, Rachel/0000-0003-0556-4326; Stukel, Michael/0000-0002-7696-6739; Baker, Alex/0000-0002-8365-8953</t>
  </si>
  <si>
    <t>US National Science Foundation [OPP-0823101, PLR-1440435, OPP-1340886]; UK NERC [NE/F017359/1, NE/G016585/1, NE/H00548X/1]; NSF [OPP-1043339, OPP-1643534]; National Science Foundation, Graduate Research Fellowship Program [1106401]; National Science Foundation [DMR-1644779]; State of Florida</t>
  </si>
  <si>
    <t>US National Science Foundation(National Science Foundation (NSF)); UK NERC(UK Research &amp; Innovation (UKRI)Natural Environment Research Council (NERC)); NSF(National Science Foundation (NSF)); National Science Foundation, Graduate Research Fellowship Program(National Science Foundation (NSF)); National Science Foundation(National Science Foundation (NSF)); State of Florida</t>
  </si>
  <si>
    <t>This research was supported by US National Science Foundation grants OPP-0823101 and PLR-1440435 (Palmer Long Term Ecological Research) and OPP-1340886. T.J., R.C., A.R.B. and J.B. were supported by grants from the UK NERC NE/F017359/1, NE/G016585/1 and NE/H00548X/1. N.C. was supported by NSF OPP-1043339 and NSF OPP-1643534. R.E. was supported by National Science Foundation, Graduate Research Fellowship Program under grant 1106401. A portion of this work was performed at the National High Magnetic Field Laboratory, which is supported by National Science Foundation Cooperative Agreement no. DMR-1644779 and the State of Florida. H.W.D. was supported in part by a gift from the Vetlesen Foundation.</t>
  </si>
  <si>
    <t>10.1098/rsta.2017.0177</t>
  </si>
  <si>
    <t>GF9VK</t>
  </si>
  <si>
    <t>Bronze, Green Accepted, Green Published</t>
  </si>
  <si>
    <t>WOS:000432326900012</t>
  </si>
  <si>
    <t>Sherrell, RM; Annett, AL; Fitzsimmons, JN; Roccanova, VJ; Meredith, MP</t>
  </si>
  <si>
    <t>Sherrell, Robert M.; Annett, Amber L.; Fitzsimmons, Jessica N.; Roccanova, Vincent J.; Meredith, Michael P.</t>
  </si>
  <si>
    <t>A'shallow bathtub ring'of local sedimentary iron input maintains the Palmer Deep biological hotspot on the West Antarctic Peninsula shelf</t>
  </si>
  <si>
    <t>iron; manganese; biogeochemistry; Antarctic; sediment; phytoplankton</t>
  </si>
  <si>
    <t>ICE ZONE WEST; SEA-ICE; CONTINENTAL-SHELF; PHYTOPLANKTON DYNAMICS; WATER; OCEAN; MANGANESE; BELLINGSHAUSEN; DISTRIBUTIONS; OXIDATION</t>
  </si>
  <si>
    <t>Palmer Deep (PD) is one of several regional hotspots of biological productivity along the inner shelf of the West Antarctic Peninsula, The proximity of hotspots to shelf-crossing deep troughs has led to the 'canyon hypothesis', which proposes that circumpolar deep water flowing shoreward along the canyons is upwelled on the inner shelf, carrying nutrients including iron (Fe) to surface waters, maintaining phytoplankton blooms. We present here full-depth profiles of dissolved and particulate Fe and manganese (Mn) from eight stations around PD, sampled in January and early February of 2015 and 2016, allowing the first detailed evaluation of Fe sources to the area's euphotic zone. We show that upwelling of deep water does not control Fe flux to the surface; instead, shallow sedimentsourced Fe inputs are transported horizontally from surrounding coastlines, creating strong vertical gradients of dissolved Fe within the upper 100 m that supply this limiting nutrient to the local ecosystem. The supply of bioavailable Fe is, therefore, not significantly related to the canyon transport of deep water. Near shore time-series samples reveal that local glacial meltwater appears to be an important Mn source but, surprisingly, is not a large direct Fe input to this biological hotspot. This article is part of the theme issue 'The marine system of the West Antarctic Peninsula: status and strategy for progress in a region of rapid change'.</t>
  </si>
  <si>
    <t>[Sherrell, Robert M.; Annett, Amber L.; Fitzsimmons, Jessica N.; Roccanova, Vincent J.] Rutgers State Univ, Dept Marine &amp; Coastal Sci, 71 Dudley Rd, New Brunswick, NJ 08901 USA; [Meredith, Michael P.] British Antarctic Survey, Cambridge, England; [Sherrell, Robert M.] Rutgers State Univ, Dept Earth &amp; Planetary Sci, Piscataway, NJ 08854 USA; [Annett, Amber L.] Univ Southampton, Natl Oceanog Ctr, Ocean &amp; Earth Sci, Southampton SO14 3ZH, Hants, England; [Fitzsimmons, Jessica N.] Texas A&amp;M Univ, Dept Oceanog, College Stn, TX 77843 USA</t>
  </si>
  <si>
    <t>Rutgers University System; Rutgers University New Brunswick; UK Research &amp; Innovation (UKRI); Natural Environment Research Council (NERC); NERC British Antarctic Survey; Rutgers University System; Rutgers University New Brunswick; University of Southampton; NERC National Oceanography Centre; Texas A&amp;M University System; Texas A&amp;M University College Station</t>
  </si>
  <si>
    <t>Sherrell, RM (corresponding author), Rutgers State Univ, Dept Marine &amp; Coastal Sci, 71 Dudley Rd, New Brunswick, NJ 08901 USA.;Sherrell, RM (corresponding author), Rutgers State Univ, Dept Earth &amp; Planetary Sci, Piscataway, NJ 08854 USA.</t>
  </si>
  <si>
    <t>sherrell@marine.rutgers.edu</t>
  </si>
  <si>
    <t>Fitzsimmons, Jessica N/G-1343-2011</t>
  </si>
  <si>
    <t>Fitzsimmons, Jessica/0000-0002-9829-2464; Meredith, Michael/0000-0002-7342-7756; Annett, Amber/0000-0002-3730-2438</t>
  </si>
  <si>
    <t>NSF [ANT-1142250]; Natural Environment Research Council [NE/N018095/1, NE/P003060/1]; NERC [NE/N018095/1, bas0100033, NE/P003060/1] Funding Source: UKRI</t>
  </si>
  <si>
    <t>NSF(National Science Foundation (NSF)); Natural Environment Research Council(UK Research &amp; Innovation (UKRI)Natural Environment Research Council (NERC)); NERC(UK Research &amp; Innovation (UKRI)Natural Environment Research Council (NERC))</t>
  </si>
  <si>
    <t>This work was supported by NSF ANT-1142250 to R.M.S. The participation of M.P.M. in this research was funded by the Natural Environment Research Council via awards NE/N018095/1 and NE/P003060/1.</t>
  </si>
  <si>
    <t>10.1098/rsta.2017.0171</t>
  </si>
  <si>
    <t>WOS:000432326900007</t>
  </si>
  <si>
    <t>Cartwright, J; Clarizia, MP; Cipollini, P; Banks, CJ; Srokosz, M</t>
  </si>
  <si>
    <t>Cartwright, Jessica; Clarizia, Maria Paola; Cipollini, Paolo; Banks, Christopher J.; Srokosz, Meric</t>
  </si>
  <si>
    <t>Independent DEM of Antarctica Using GNSS-R Data From TechDemoSat-1</t>
  </si>
  <si>
    <t>GNSS-R; Antarctic ice shelf; altimetry; Antarctic DEM; TechDemoSat-1</t>
  </si>
  <si>
    <t>DIGITAL ELEVATION MODEL; OCEAN ALTIMETRY; LASER DATA; ICE; RADAR; REFLECTOMETRY; SIGNALS; SYSTEM; INTERFEROMETRY; SURFACE</t>
  </si>
  <si>
    <t>The first digital elevation model (DEM) of the Antarctic ice sheet derived from Global Navigation Satellite Systems-Reflectometry (GNSS-R) data from the UK TechDemoSat-1 satellite is presented. This is obtained using 32months of data from the mission. This opportunistic and inexpensive method is shown to produce encouraging results from the technology demonstration platform of TechDemoSat-1, with median bias under 18m and root-mean-square difference under 91m when compared to the CryoSat-21-kmDEMv1.0. Discrepancies between the two data sets are explored along with possible causes of such differences and potential improvements to further optimize this technique for future GNSS-R missions. Plain Language Summary Obtaining measurements of the Antarctic ice sheet is critical for understanding the effects that climate change might be having on it and its potential future contribution to rising sea levels. The only practical way to do this is by using satellite data, and this has been done successfully previously from the CryoSat-2 satellite, which carries a radar altimeter. However, due to its orbit, it cannot measure an area near the South Pole. Here we demonstrate that measurements of the Antarctic ice sheet, including the vicinity of the South Pole, can be made by taking advantage of GPS signals that bounce off the ice sheet surface. The data are obtained from the UK's TechDemoSat-1 mission, which carries a simple low-cost receiver to pick up the reflected GPS signals. The results from this demonstration mission (which was not designed to survey ice sheets) are promising, showing the potential of this approach for measuring the ice sheet in the future with a dedicated satellite mission.</t>
  </si>
  <si>
    <t>[Cartwright, Jessica; Cipollini, Paolo; Srokosz, Meric] Natl Oceanog Ctr, Southampton, Hants, England; [Cartwright, Jessica] Univ Southampton, Natl Oceanog Ctr Southampton, Ocean &amp; Earth Sci, Southampton, Hants, England; [Clarizia, Maria Paola] Univ Southampton, Geog &amp; Environm, Southampton, Hants, England; [Clarizia, Maria Paola] Deimos Space UK, Harwell Oxford, England; [Cipollini, Paolo] Telespazio VEGA UK Ltd, European Space Agcy, ECSAT, Harwell, Berks, England; [Banks, Christopher J.] Natl Oceanog Ctr, Liverpool, Merseyside, England</t>
  </si>
  <si>
    <t>NERC National Oceanography Centre; NERC National Oceanography Centre; University of Southampton; University of Southampton; Thales Group; European Space Agency; NERC National Oceanography Centre</t>
  </si>
  <si>
    <t>Cartwright, J (corresponding author), Natl Oceanog Ctr, Southampton, Hants, England.;Cartwright, J (corresponding author), Univ Southampton, Natl Oceanog Ctr Southampton, Ocean &amp; Earth Sci, Southampton, Hants, England.</t>
  </si>
  <si>
    <t>jc1n15@noc.soton.ac.uk</t>
  </si>
  <si>
    <t>Cartwright, Jessica/AAT-8201-2020; Banks, Chris J/A-5334-2012; Cipollini, Paolo/B-5294-2012</t>
  </si>
  <si>
    <t>Cartwright, Jessica/0000-0002-7569-9974; Srokosz, Meric/0000-0002-7347-7411; Cipollini, Paolo/0000-0002-3682-5675; Banks, Christopher/0000-0003-4457-0876</t>
  </si>
  <si>
    <t>Natural Environmental Research Council [NE/L002531/1]; Natural Environment Research Council [noc010012, 1789170] Funding Source: researchfish</t>
  </si>
  <si>
    <t>Natural Environmental Research Council(UK Research &amp; Innovation (UKRI)Natural Environment Research Council (NERC)); Natural Environment Research Council(UK Research &amp; Innovation (UKRI)Natural Environment Research Council (NERC))</t>
  </si>
  <si>
    <t>The authors are grateful to the TechDemoSat-1 team at SSTL for making all collection data publicly available (www.merrbys.co.uk). Thanks are also due to the providers of all DEMs used in our comparison for making them available publicly. This is found for CryoSat-21- km DEM v1.0 at http://www.cpom.ucl.ac.uk/csopr/icesheets2/dems.html; that of Bamber et al. (2009) at http://nsidc.org/data/NSIDC-0422; and the Bedmap2 DEM at https://www.bas.ac.uk/project/bedmap-2. The authors would also like to thank the anonymous reviewers who helped improve this manuscript. This work was supported by the Natural Environmental Research Council (grant NE/L002531/1). The DEM created in this study is available at https://doi.org/10.5285/2ef1c932-1fd2-4593-a793-f37815ab6f82.</t>
  </si>
  <si>
    <t>10.1029/2018GL077429</t>
  </si>
  <si>
    <t>WOS:000438499100033</t>
  </si>
  <si>
    <t>Jerosch, K; Pehlke, H; Monien, P; Scharf, F; Weber, L; Kuhn, G; Braun, MH; Abele, D</t>
  </si>
  <si>
    <t>Jerosch, Kerstin; Pehlke, Hendrik; Monien, Patrick; Scharf, Frauke; Weber, Lukas; Kuhn, Gerhard; Braun, Matthias H.; Abele, Doris</t>
  </si>
  <si>
    <t>Benthic meltwater fjord habitats formed by rapid glacier recession on King George Island, Antarctica</t>
  </si>
  <si>
    <t>glacial discharge; radius of impact; k-means cluster analysis; meltwater fjord habitats; West Antarctic Peninsula</t>
  </si>
  <si>
    <t>SOUTH SHETLAND ISLANDS; POTTER COVE; LATERNULA-ELLIPTICA; ICE SCOUR; SEA-ICE; GEOCHEMISTRY; MARINE; PENINSULA; SEDIMENTS; CLUSTERS</t>
  </si>
  <si>
    <t>The coasts of the West Antarctic Peninsula are strongly influenced by glacier meltwater discharge. The spatial structure and biogeochemical composition of inshore habitats are shaped by large quantities of terrigenous particulate material deposited in the vicinity of the coast, which impacts the pelagic and benthic ecosystems. We used a multitude of geochemical and environmental variables to identify the radius extension of the meltwater impact from the Fourcade Glacier into the fjord system of Potter Cove, King George Island. The k-means cluster algorithm, canonical correspondence analysis, variance analysis and Tukey's post hoc multiple comparison tests were applied to define and cluster coastal meltwater habitats, A minimum of 10 clusters were needed to classify the 8 km(2) study area into meltwater fjord habitats (MFHs), ijord habitats and marine habitats. Strontium content in surface sediments is the main geochemical indicator for lithogenic creek discharge in Potter Cove, Furthermore, bathymetry, glacier distance and geomorphic positioning are the essential habitats explaining variables. The mean and maximum MFH extent amounted to 1 km and 2 km, respectively. Extrapolation of the identified meltwater impact ranges to King George Island coastlines, which are presently ice-covered bays and fjord areas, indicated an overall coverage of 200-400 km(2) MFH, underpinning the importance of better understanding the biology and biogeochemistry in terrestrial marine transition zones. This article is part of the theme issue 'The marine system of the West Antarctic Peninsula: status and strategy for progress in a region of rapid change'.</t>
  </si>
  <si>
    <t>[Jerosch, Kerstin; Pehlke, Hendrik; Scharf, Frauke; Kuhn, Gerhard; Abele, Doris] Helmholtz Ctr Polar &amp; Marine Res, Alfred Wegener Inst, Biosci Div, Handelshafen 12, D-27570 Bremerhaven, Germany; [Jerosch, Kerstin; Pehlke, Hendrik; Scharf, Frauke; Kuhn, Gerhard; Abele, Doris] Helmholtz Ctr Polar &amp; Marine Res, Alfred Wegener Inst, Geosci Div, Handelshafen 12, D-27570 Bremerhaven, Germany; [Jerosch, Kerstin; Pehlke, Hendrik] Carl von Ossietzky Univ Oldenburg, Helmholtz Inst Funct Marine Biodivers, Carl von Ossietzky Str 9-11, D-26129 Oldenburg, Germany; [Monien, Patrick] Carl von Ossietzky Univ Oldenburg, Inst Chem &amp; Biol Marine Environm ICBM, Carl von Ossietzky Str 9-11, D-26129 Oldenburg, Germany; [Monien, Patrick] Univ Bremen, Fac Geosci, Klagenfurter Str 2-4, D-28359 Bremen, Germany; [Weber, Lukas] Karlsruhe Univ Appl Sci, Informat Management &amp; Media, Moltkestr 30, D-76133 Karlsruhe, Germany; [Braun, Matthias H.] Friedrich Alexander Univ Erlangen Nurnberg, Inst Geog, Wetterkreuz 15, D-91058 Erlangen, Germany; [Jerosch, Kerstin] Helmholtz Ctr Polar &amp; Marine Res, Alfred Wegener Inst, Funct Ecol, Handelshafen 12, D-27570 Bremerhaven, Germany</t>
  </si>
  <si>
    <t>Helmholtz Association; Alfred Wegener Institute, Helmholtz Centre for Polar &amp; Marine Research; Helmholtz Association; Alfred Wegener Institute, Helmholtz Centre for Polar &amp; Marine Research; Carl von Ossietzky Universitat Oldenburg; Carl von Ossietzky Universitat Oldenburg; University of Bremen; Karlsruhe University of Applied Sciences; University of Erlangen Nuremberg; Helmholtz Association; Alfred Wegener Institute, Helmholtz Centre for Polar &amp; Marine Research</t>
  </si>
  <si>
    <t>Jerosch, K (corresponding author), Helmholtz Ctr Polar &amp; Marine Res, Alfred Wegener Inst, Biosci Div, Handelshafen 12, D-27570 Bremerhaven, Germany.;Jerosch, K (corresponding author), Helmholtz Ctr Polar &amp; Marine Res, Alfred Wegener Inst, Geosci Div, Handelshafen 12, D-27570 Bremerhaven, Germany.;Jerosch, K (corresponding author), Carl von Ossietzky Univ Oldenburg, Helmholtz Inst Funct Marine Biodivers, Carl von Ossietzky Str 9-11, D-26129 Oldenburg, Germany.;Jerosch, K (corresponding author), Helmholtz Ctr Polar &amp; Marine Res, Alfred Wegener Inst, Funct Ecol, Handelshafen 12, D-27570 Bremerhaven, Germany.</t>
  </si>
  <si>
    <t>kerstin.jerosch@awi.de</t>
  </si>
  <si>
    <t>Braun, Matthias H/S-4693-2016; Jerosch, Kerstin/ABC-8913-2020; Monien, Patrick/K-8338-2017; Braun, Matthias/A-4968-2009</t>
  </si>
  <si>
    <t>Jerosch, Kerstin/0000-0003-0728-2154; Braun, Matthias/0000-0001-5169-1567; Abele, Doris/0000-0002-5766-5017; Pehlke, Hendrik/0000-0003-1916-7831</t>
  </si>
  <si>
    <t>German Research Foundation (DFG) [JE 680/1-1, BR 775/25-1, BR 2105/13-1]; EU research network IMCONet - Marie Curie Action IRSES (FP7 IRSES) [318718]; AWI, DFG SSP [JE 680/1-1]; Marie Curie Action FP 7 IRSES [318718]; AWI; ICBM, DFG SSP [BR 775/25-1]; AWI, Marie Curie Action FP 7 IRSES [318718]; DFG [BR 2105/13-1]</t>
  </si>
  <si>
    <t>German Research Foundation (DFG)(German Research Foundation (DFG)); EU research network IMCONet - Marie Curie Action IRSES (FP7 IRSES)(European Union (EU)); AWI, DFG SSP; Marie Curie Action FP 7 IRSES(European Union (EU)); AWI; ICBM, DFG SSP; AWI, Marie Curie Action FP 7 IRSES; DFG(German Research Foundation (DFG))</t>
  </si>
  <si>
    <t>The research was funded by grants JE 680/1-1 and BR 775/25-1 from the German Research Foundation (DFG) in the SSP 1158 Priority Program Antarctic Research, DFG grant BR 2105/13-1 and the EU research network IMCONet funded by the Marie Curie Action IRSES (FP7 IRSES, action no. 318718). Source of funding for each author is as follows: AWI, DFG SSP 1158 grant JE 680/1-1; Marie Curie Action FP 7 IRSES (action no. 318718) (to K.J.); AWI (to H.P. and L.W.); ICBM, DFG SSP 1158 grant BR 775/25-1 (to P.M.); AWI, Marie Curie Action FP 7 IRSES (action no. 318718) (to F.S., G.K. and D.A.); DFG grant BR 2105/13-1 (to M.H.B.).</t>
  </si>
  <si>
    <t>10.1098/rsta.2017.0178</t>
  </si>
  <si>
    <t>WOS:000432326900013</t>
  </si>
  <si>
    <t>Goursaud, S; Masson-Delmotte, V; Favier, V; Orsi, A; Werner, M</t>
  </si>
  <si>
    <t>Goursaud, Sentia; Masson-Delmotte, Valerie; Favier, Vincent; Orsi, Anais; Werner, Martin</t>
  </si>
  <si>
    <t>Water stable isotope spatio-temporal variability in Antarctica in 1960-2013: observations and simulations from the ECHAM5-wiso atmospheric general circulation model</t>
  </si>
  <si>
    <t>SURFACE MASS-BALANCE; DEUTERIUM EXCESS SIGNAL; PRECIPITATION SEASONALITY; SOUTHERN-OSCILLATION; CLIMATE VARIABILITY; SNOW ACCUMULATION; SYNOPTIC REGIME; RECENT TRENDS; ICE CORES; SEA-ICE</t>
  </si>
  <si>
    <t>Polar ice core water isotope records are commonly used to infer past changes in Antarctic temperature, motivating an improved understanding and quantification of the temporal relationship between delta O-18 and temperature. This can be achieved using simulations performed by atmospheric general circulation models equipped with water stable isotopes. Here, we evaluate the skills of the high-resolution water-isotope-enabled atmospheric general circulation model ECHAM5-wiso (the European Centre Hamburg Model) nudged to European Centre for Medium-Range Weather Forecasts (ECMWF) reanalysis using simulations covering the period 1960-2013 over the Antarctic continent. We compare model outputs with field data, first with a focus on regional climate variables and second on water stable isotopes, using our updated dataset of water stable isotope measurements from precipitation, snow, and firn-ice core samples. ECHAM5-wiso simulates a large increase in temperature from 1978 to 1979, possibly caused by a discontinuity in the European Reanalyses (ERA) linked to the assimilation of remote sensing data starting in 1979. Although some model-data mismatches are observed, the (precipitation minus evaporation) outputs are found to be realistic products for surface mass balance. A warm model bias over central East Antarctica and a cold model bias over coastal regions explain first-order delta O-18 model biases by too-strong isotopic depletion on coastal areas and underestimated depletion inland. At the second order, despite these biases, ECHAM5-wiso correctly captures the observed spatial patterns of deuterium excess. The results of model-data comparisons for the inter-annual delta O-18 standard deviation differ when using precipitation or ice core data. Further studies should explore the importance of deposition and post-deposition processes affecting ice core signals and not resolved in the model. These results build trust in the use of ECHAM5-wiso outputs to investigate the spatial, seasonal, and inter-annual delta O-18-temperature relationships. We thus make the first Antarctica-wide synthesis of prior results. First, we show that local spatial or seasonal slopes are not a correct surrogate for inter-annual temporal slopes, leading to the conclusion that the same isotope-temperature slope cannot be applied for the climatic interpretation of Antarctic ice core for all timescales. Finally, we explore the phasing between the seasonal cycles of deuterium excess and delta O-18 as a source of information on changes in moisture sources affecting the delta O-18-temperature relationship. The few available records and ECHAM5-wiso show different phase relationships in coastal, intermediate, and central regions. This work evaluates the use of the ECHAM5-wiso model as a tool for the investigation of water stable isotopes in Antarctic precipitation and calls for extended studies to improve our understanding of such proxies.</t>
  </si>
  <si>
    <t>[Goursaud, Sentia; Masson-Delmotte, Valerie; Favier, Vincent] Univ Grenoble Alpes, IGE, CNRS, F-38000 Grenoble, France; [Goursaud, Sentia; Orsi, Anais] Univ Paris Saclay, UMR CEA CNRS UVSQ 8212, Inst Pierre Simon Laplace, LSCE, Gif Sur Yvette, France; [Werner, Martin] Helmholtz Ctr Polar &amp; Marine Res, Alfred Wegener Inst, Bremerhaven, Germany</t>
  </si>
  <si>
    <t>Centre National de la Recherche Scientifique (CNRS); Communaute Universite Grenoble Alpes; Universite Grenoble Alpes (UGA); Universite Paris Cite; Universite Paris Saclay; Centre National de la Recherche Scientifique (CNRS); CNRS - National Institute for Earth Sciences &amp; Astronomy (INSU); CEA; Helmholtz Association; Alfred Wegener Institute, Helmholtz Centre for Polar &amp; Marine Research</t>
  </si>
  <si>
    <t>Goursaud, S (corresponding author), Univ Grenoble Alpes, IGE, CNRS, F-38000 Grenoble, France.;Goursaud, S (corresponding author), Univ Paris Saclay, UMR CEA CNRS UVSQ 8212, Inst Pierre Simon Laplace, LSCE, Gif Sur Yvette, France.</t>
  </si>
  <si>
    <t>sentia.goursaud@lsce.ipsl.fr</t>
  </si>
  <si>
    <t>Masson-Delmotte, Valerie L/G-1995-2011; Werner, Martin/C-8067-2014; Favier, Vincent/T-1936-2017</t>
  </si>
  <si>
    <t>Masson-Delmotte, Valerie L/0000-0001-8296-381X; Werner, Martin/0000-0002-6473-0243; Favier, Vincent/0000-0001-6024-9498; Orsi, Anais/0000-0001-5511-3940; Goursaud Oger, Sentia/0000-0002-9990-4258</t>
  </si>
  <si>
    <t>ASUMA project - ANR (Agence Nationale de la Recherche) [ANR-14-CE01-0001]; Sentia Goursaud</t>
  </si>
  <si>
    <t>ASUMA project - ANR (Agence Nationale de la Recherche); Sentia Goursaud</t>
  </si>
  <si>
    <t>This study was supported by the ASUMA project supported by the ANR (Agence Nationale de la Recherche, project no. ANR-14-CE01-0001), which funded the PhD grant of Sentia Goursaud and the publication costs of this paper.</t>
  </si>
  <si>
    <t>10.5194/cp-14-923-2018</t>
  </si>
  <si>
    <t>GK9XW</t>
  </si>
  <si>
    <t>WOS:000436613300001</t>
  </si>
  <si>
    <t>Parras-Moltó, M; Rodríguez-Galet, A; Suárez-Rodríguez, P; López-Bueno, A</t>
  </si>
  <si>
    <t>Parras-Molto, Marcos; Rodriguez-Galet, Ana; Suarez-Rodriguez, Patricia; Lopez-Bueno, Alberto</t>
  </si>
  <si>
    <t>Evaluation of bias induced by viral enrichment and random amplification protocols in metagenomic surveys of saliva DNA viruses</t>
  </si>
  <si>
    <t>MICROBIOME</t>
  </si>
  <si>
    <t>MULTIPLE DISPLACEMENT AMPLIFICATION; WHOLE-GENOME AMPLIFICATION; HUMAN GUT VIROME; PCR AMPLIFICATION; ANTARCTIC LAKE; SINGLE CELLS; MICROBIOME; PARTICLES; COMMUNITY; POLYMERASE</t>
  </si>
  <si>
    <t>Background: Viruses are key players regulating microbial ecosystems. Exploration of viral assemblages is now possible thanks to the development of metagenomics, the most powerful tool available for studying viral ecology and discovering new viruses. Unfortunately, several sources of bias lead to the misrepresentation of certain viruses within metagenomics workflows, hindering the shift from merely descriptive studies towards quantitative comparisons of communities. Therefore, benchmark studies on virus enrichment and random amplification protocols are required to better understand the sources of bias. Results: We assessed the bias introduced by viral enrichment on mock assemblages composed of seven DNA viruses, and the bias from random amplification methods on human saliva DNA viromes, using qPCR and deep sequencing, respectively. While iodixanol cushions and 0.45 pm filtration preserved the original composition of nuclease-protected viral genomes, low-force centrifugation and 0.22 pm filtration removed large viruses. Comparison of unamplified and randomly amplified saliva viromes revealed that multiple displacement amplification (MDA) induced stochastic bias from picograms of DNA template. However, the type of bias shifted to systematic using 1 ng, with only a marginal influence by amplification time. Systematic bias consisted of over amplification of small circular genomes, and under-amplification of those with extreme GC content, a negative bias that was shared with the PCR-based sequence independent, single-primer amplification (SISPA) method. MDA based on random priming provided by a DNA primase activity slightly outperformed those based on random hexamers and SISPA, which may reflect differences in ability to handle sequences with extreme GC content. SISPA viromes showed uneven coverage profiles, with high coverage peaks in regions with low linguistic sequence complexity. Despite misrepresentation of certain viruses after random amplification, ordination plots based on dissimilarities among contig profiles showed perfect overlapping of related amplified and unamplified saliva viromes and strong separation from unrelated saliva viromes. This result suggests that random amplification bias has a minor impact on beta diversity studies. Conclusions: Benchmark analyses of mock and natural communities of viruses improve understanding and mitigate bias in metagenomics surveys. Bias induced by random amplification methods has only a minor impact on beta diversity studies of human saliva viromes.</t>
  </si>
  <si>
    <t>[Parras-Molto, Marcos; Rodriguez-Galet, Ana; Suarez-Rodriguez, Patricia; Lopez-Bueno, Alberto] Univ Autonoma Madrid, Consejo Super Invest Cient, Ctr Biol Mol Severo Ochoa, Madrid, Spain</t>
  </si>
  <si>
    <t>Autonomous University of Madrid; Consejo Superior de Investigaciones Cientificas (CSIC); CSIC - Centro de Biologia Molecular Severo Ochoa (CBM)</t>
  </si>
  <si>
    <t>López-Bueno, A (corresponding author), Univ Autonoma Madrid, Consejo Super Invest Cient, Ctr Biol Mol Severo Ochoa, Madrid, Spain.</t>
  </si>
  <si>
    <t>alopezbueno@cbm.csic.es</t>
  </si>
  <si>
    <t>, Ana Rodríguez Galet/AAM-4316-2021; Parras Moltó, Marcos/GXH-9331-2022</t>
  </si>
  <si>
    <t>, Ana Rodríguez Galet/0000-0001-9352-8063; Parras Molto, Marcos/0000-0003-0529-627X; Lopez-Bueno, Alberto/0000-0002-6324-8623</t>
  </si>
  <si>
    <t>Spanish Ministry of Economy and Competitiveness [SAF2012-38421]; Formacion de Personal Investigador Ph.D. studentship</t>
  </si>
  <si>
    <t>Spanish Ministry of Economy and Competitiveness(Spanish Government); Formacion de Personal Investigador Ph.D. studentship</t>
  </si>
  <si>
    <t>This work was supported by the Spanish Ministry of Economy and Competitiveness through grant SAF2012-38421 and a Formacion de Personal Investigador Ph.D. studentship to MP-M. The funding sources had no role in the design and any other aspect of the development of the study.</t>
  </si>
  <si>
    <t>2049-2618</t>
  </si>
  <si>
    <t>Microbiome</t>
  </si>
  <si>
    <t>10.1186/s40168-018-0507-3</t>
  </si>
  <si>
    <t>GL0RL</t>
  </si>
  <si>
    <t>WOS:000436797800003</t>
  </si>
  <si>
    <t>Passalacqua, O; Cavitte, M; Gagliardini, O; Gillet-Chaulet, F; Parrenin, F; Ritz, C; Young, D</t>
  </si>
  <si>
    <t>Passalacqua, Olivier; Cavitte, Marie; Gagliardini, Olivier; Gillet-Chaulet, Fabien; Parrenin, Frederic; Ritz, Catherine; Young, Duncan</t>
  </si>
  <si>
    <t>Brief communication: Candidate sites of 1.5 Myr old ice 37 km southwest of the Dome C summit, East Antarctica</t>
  </si>
  <si>
    <t>CORE; SHELVES; SURFACE; REGION; RADAR</t>
  </si>
  <si>
    <t>The search for ice as old as 1.5 Myr requires the identification of places that maximize our chances to retrieve old, well-resolved, undisturbed and datable ice. One of these locations is very likely southwest of the Dome C summit, where elevated bedrock makes the ice thin enough to limit basal melting. A 3-D ice flow simulation is used to calculate five selection criteria, which together delineate the areas with the most appropriate glaciological properties. These selected areas (a few square kilometers) lie on the flanks of a bedrock high, where a balance is found between risks of basal melting, stratigraphic disturbances and sufficient age resolution. Within these areas, several sites of potential 1.5 Myr old ice are proposed, situated on local bedrock summits or ridges. The trajectories of the ice particles towards these locations are short, and the ice flows over a smoothly undulating bedrock. These sites will help to choose where new high-resolution ground radar surveys should be conducted in upcoming field seasons.</t>
  </si>
  <si>
    <t>[Passalacqua, Olivier; Gagliardini, Olivier; Gillet-Chaulet, Fabien; Parrenin, Frederic; Ritz, Catherine] Univ Grenoble Alpes, CNRS, IRD, IGE, F-38000 Grenoble, France; [Cavitte, Marie; Young, Duncan] Univ Texas Austin, Jackson Sch Geosci, Univ Texas Inst Geophys, Austin, TX 78712 USA; [Cavitte, Marie] Univ Texas Austin, Jackson Sch Geosci, Dept Geol Sci, Austin, TX 78712 USA</t>
  </si>
  <si>
    <t>Centre National de la Recherche Scientifique (CNRS); Communaute Universite Grenoble Alpes; Universite Grenoble Alpes (UGA); Institut de Recherche pour le Developpement (IRD); University of Texas System; University of Texas Austin; University of Texas System; University of Texas Austin</t>
  </si>
  <si>
    <t>Passalacqua, O (corresponding author), Univ Grenoble Alpes, CNRS, IRD, IGE, F-38000 Grenoble, France.</t>
  </si>
  <si>
    <t>olivier.passalacqua@univ-grenoble-alpes.fr</t>
  </si>
  <si>
    <t>Parrenin, Frédéric/H-3054-2014; Cavitte, Marie/AAB-8533-2020; Gagliardini, Olivier/GQQ-1222-2022; Young, Duncan/G-6256-2010</t>
  </si>
  <si>
    <t>Parrenin, Frédéric/0000-0002-9489-3991; Cavitte, Marie/0000-0002-5777-0933; Gagliardini, Olivier/0000-0001-9162-3518; Young, Duncan/0000-0002-6866-8176; Ritz, Catherine/0000-0003-0785-8571</t>
  </si>
  <si>
    <t>European Union [730258]; Swiss State Secretariat for Education, Research and Innovation (SERI) [16.0144]; Australian Antarctic Division [AAS 3103, 4077, 4346]; Australian Government Cooperative Research Centres Program through the Antarctic Climate and Ecosystems Cooperative Research Centre (ACE CRC); G. Unger Vetlesen Foundation; NSF [PLR-1443690]; Universite Grenoble Alpes; H2020 Societal Challenges Programme [730258] Funding Source: H2020 Societal Challenges Programme</t>
  </si>
  <si>
    <t>European Union(European Union (EU)); Swiss State Secretariat for Education, Research and Innovation (SERI); Australian Antarctic Division; Australian Government Cooperative Research Centres Program through the Antarctic Climate and Ecosystems Cooperative Research Centre (ACE CRC)(Australian GovernmentDepartment of Industry, Innovation and ScienceCooperative Research Centres (CRC) Programme); G. Unger Vetlesen Foundation; NSF(National Science Foundation (NSF)); Universite Grenoble Alpes; H2020 Societal Challenges Programme(Horizon 2020European Union (EU)H2020 Societal Challenges Programme)</t>
  </si>
  <si>
    <t>We would like to thank Jean-Louis Tison for the editing process, and we appreciate the helpful comments of Michelle Koutnik, Tas Van Ommen and Bryn Hubbard as referees. This publication was generated in the frame of Beyond EPICA-Oldest Ice (BE-OI). The project has received funding from the European Union's Horizon 2020 research and innovation program under grant agreement no. 730258 (BE-OI CSA). It has received funding from the Swiss State Secretariat for Education, Research and Innovation (SERI) under contract no. 16.0144. It is furthermore supported by national partners and funding agencies in Belgium, Denmark, France, Germany, Italy, Norway, Sweden, Switzerland, the Netherlands and the United Kingdom. Logistic support is mainly provided by AWI, BAS, ENEA and IPEV. The opinions expressed and arguments employed herein do not necessarily reflect the official views of the European Union funding agency, the Swiss Government or other national funding bodies. This is BE-OI publication no. 4. The Australian Antarctic Division provided funding and logistical support (AAS 3103, 4077, 4346). This work was supported by the Australian Government Cooperative Research Centres Program through the Antarctic Climate and Ecosystems Cooperative Research Centre (ACE CRC); support for UTIG came from the G. Unger Vetlesen Foundation and NSF grant PLR-1443690. This paper is UTIG contribution number 3269. This work was granted access to the HPC resources of CINES under the allocation A0020106066 made by GENCI. This publication also benefitted from support by the Universite Grenoble Alpes in the framework of the proposal called Grenoble Innovation Recherche AGIR. We also thank Brice Van Liefferinge for making his datasets available.</t>
  </si>
  <si>
    <t>10.5194/tc-12-2167-2018</t>
  </si>
  <si>
    <t>GK9YC</t>
  </si>
  <si>
    <t>WOS:000436614200001</t>
  </si>
  <si>
    <t>Scambos, TA; Campbell, GG; Pope, A; Haran, T; Muto, A; Lazzara, M; Reijmer, CH; van den Broeke, MR</t>
  </si>
  <si>
    <t>Scambos, T. A.; Campbell, G. G.; Pope, A.; Haran, T.; Muto, A.; Lazzara, M.; Reijmer, C. H.; van den Broeke, M. R.</t>
  </si>
  <si>
    <t>Ultralow Surface Temperatures in East Antarctica From Satellite Thermal Infrared Mapping: The Coldest Places on Earth</t>
  </si>
  <si>
    <t>remote sensing; surface temperature; thermal mapping; air temperature inversion; snow and ice; Antarctica</t>
  </si>
  <si>
    <t>ICE; VALIDATION; INVERSION; SNOW; DISCRIMINATION; ALGORITHM; GREENLAND; PLATEAU; PRODUCT; IMPACT</t>
  </si>
  <si>
    <t>We identify areas near the East Antarctic ice divide where &lt;-90 degrees C surface snow temperatures are observed in wintertime satellite thermal-band data under clear-sky conditions. The lowest temperatures are found in small (&lt;200km(2)) topographic basins of similar to 2m depth above 3,800m elevation. Approximately 100 sites have observed minimum surface temperatures of similar to-98 degrees C during the winters of 2004-2016. Comparisons of surface snow temperatures with near-surface air temperatures at nearby weather stations indicate that similar to-98 degrees C surfaces imply similar to-944 degrees C 2-m air temperatures. Landsat 8 thermal band data and elevation data show gradients near the topographic depressions of similar to 6 degrees Ckm(-1) horizontally and similar to 4 degrees Cm-1 vertically. Ultralow temperature occurrences correlate with strong polar vortex circulation. We discuss a conceptual model of radiative surface cooling that produces an extreme inversion layer. Further cooling occurs as near-surface cold air pools in shallow high-elevation topographic basins, moderated by clear-air downwelling radiation and heat from subsurface snow. Plain Language Summary The lowest measured air temperature on Earth is -89.2 degrees C (-129F) on 23 July 1983, observed at Vostok Station in Antarctica (Turner et al., 2009, ). However, satellite data collected during the Antarctic polar night during 2004-2016 reveal a broad region of the high East Antarctic Plateau above Vostok that regularly reaches snow surface temperatures of -90 degrees C and below. These occur in shallow topographic depressions near the highest part of the ice sheet, at 3,800 to 4,050-m elevation. Comparisons with nearby automated weather stations suggest that air temperatures during these events are near -944 degrees C or about -138F. Ultracold conditions (below -90 degrees C) occur more frequently when the Antarctic polar vortex is strong. This temperature appears to be about as low as it is possible to reach, even under clear skies and very dry conditions, because heat radiating from the cold clear air is nearly equal to the heat radiating from the bitterly cold snow surface.</t>
  </si>
  <si>
    <t>[Scambos, T. A.; Campbell, G. G.; Pope, A.; Haran, T.] Univ Colorado, Natl Snow &amp; Ice Data Ctr, Boulder, CO 80309 USA; [Muto, A.] Temple Univ, Dept Earth &amp; Environm Sci, Philadelphia, PA 19122 USA; [Lazzara, M.] Univ Wisconsin, Antarctic Meteorol Res Ctr, Madison, WI USA; [Lazzara, M.] Madison Area Tech Coll, Madison, WI USA; [Reijmer, C. H.; van den Broeke, M. R.] Univ Utrecht, Inst Marine &amp; Atmospher Res, Utrecht, Netherlands</t>
  </si>
  <si>
    <t>University of Colorado System; University of Colorado Boulder; Pennsylvania Commonwealth System of Higher Education (PCSHE); Temple University; University of Wisconsin System; University of Wisconsin Madison; Utrecht University</t>
  </si>
  <si>
    <t>Scambos, TA (corresponding author), Univ Colorado, Natl Snow &amp; Ice Data Ctr, Boulder, CO 80309 USA.</t>
  </si>
  <si>
    <t>teds@nsidc.org</t>
  </si>
  <si>
    <t>Reijmer, Carleen H/G-8736-2011; Van den Broeke, Michiel R./F-7867-2011; Muto, Atsuhiro/AAJ-9558-2020</t>
  </si>
  <si>
    <t>Reijmer, Carleen H/0000-0001-8299-3883; Van den Broeke, Michiel R./0000-0003-4662-7565; Muto, Atsuhiro/0000-0002-1722-2457; Campbell, George/0000-0003-0939-0183; Lazzara, Matthew/0000-0002-4343-498X; SCAMBOS, Ted A./0000-0003-4268-6322; Pope, Allen/0000-0001-9699-7500</t>
  </si>
  <si>
    <t>USGS [G12PC00066]; NASA [NNX14AM54G, NNX14AH79G]; NSF [ANT-154335]; NASA [683635, NNX14AH79G, 678078, NNX14AM54G] Funding Source: Federal RePORTER; Office of Polar Programs (OPP); Directorate For Geosciences [1543305] Funding Source: National Science Foundation</t>
  </si>
  <si>
    <t>USGS(United States Geological Survey); NASA(National Aeronautics &amp; Space Administration (NASA)); NSF(National Science Foundation (NSF)); NASA(National Aeronautics &amp; Space Administration (NASA)); Office of Polar Programs (OPP); Directorate For Geosciences(National Science Foundation (NSF)NSF - Directorate for Geosciences (GEO))</t>
  </si>
  <si>
    <t>Land surface thermal emission data used in this study (MOD11 and MYD11 and Collection 6) are available from, for example, https://modis.gsfc.nasa.gov/data/dataprod/mod11.php. Weather station data used here are available from Institute for Marine and Atmospheric Research, Physics and Astronomy Department, Utrecht University, the National Center for Environmental Information, and the Australian Antarctic Data Centre at https://data.aad.gov.au/metadata/records/DomeA_AWS. Landsat imagery is available from https://earthexplorer.usgs.gov. This research was supported by USGS award G12PC00066 and NASA awards NNX14AM54G and NNX14AH79G to T.A.S. and NSF ANT-154335 to M.A.L. We thank Craig Kulessa and Michael Ashley for informative discussions based on their data from Ridge A in East Antarctica.</t>
  </si>
  <si>
    <t>10.1029/2018GL078133</t>
  </si>
  <si>
    <t>WOS:000438499100034</t>
  </si>
  <si>
    <t>Dotto, TS; Garabato, AN; Bacon, S; Tsamados, M; Holland, PR; Hooley, J; Frajka-Williams, E; Ridout, A; Meredith, MP</t>
  </si>
  <si>
    <t>Dotto, Tiago S.; Garabato, Alberto Naveira; Bacon, Sheldon; Tsamados, Michel; Holland, Paul R.; Hooley, Jack; Frajka-Williams, Eleanor; Ridout, Andy; Meredith, Michael P.</t>
  </si>
  <si>
    <t>Variability of the Ross Gyre, Southern Ocean: Drivers and Responses Revealed by Satellite Altimetry</t>
  </si>
  <si>
    <t>SEA-SURFACE HEIGHT; HEMISPHERE SUBPOLAR GYRES; CIRCUMPOLAR DEEP-WATER; SEASONAL VARIABILITY; DYNAMIC TOPOGRAPHY; ICE; AMUNDSEN; LEVEL; WIND; CIRCULATION</t>
  </si>
  <si>
    <t>Year-round variability in the Ross Gyre (RG), Antarctica, during 2011-2015, is derived using radar altimetry. The RG is characterized by a bounded recirculating component and a westward throughflow to the south. Two modes of variability of the sea surface height and ocean surface stress curl are revealed. The first represents a large-scale sea surface height change forced by the Antarctic Oscillation. The second represents semiannual variability in gyre area and strength, driven by fluctuations in sea level pressure associated with the Amundsen Sea Low. Variability in the throughflow is also linked to the Amundsen Sea Low. An adequate description of the oceanic circulation is achieved only when sea ice drag is accounted for in the ocean surface stress. The drivers of RG variability elucidated here have significant implications for our understanding of the oceanic forcing of Antarctic Ice Sheet melting and for the downstream propagation of its ocean freshening footprint. Plain Language Summary The Ross Gyre is one of the main current systems of the Southern Ocean and conveys heat toward the cold continental shelves of the Antarctic Pacific sector, thus impacting the stability of diverse ice shelves. Due to the seasonal sea ice cover, measurements are sparse and little is known about the variability of the gyre's circulation and its driving forces. Here we use satellite radar altimetry to generate new light on the Ross Gyre variability. Two key aspects are identified: (i) large-scale variability of the sea surface height driven by the zonal winds that flow around Antarctica and (ii) changes in area and strength of the gyre, which are linked to a regional center of low pressure that modulates the local meteorology and sea ice conditions. This same pressure system regulates the strength of the coastal currents, which potentially impacts on the distribution of key oceanic properties toward the Ross Sea. The processes identified in this study have strong implications for our understanding of the oceanic forcing of Antarctic Ice Sheet melting and for the downstream propagation of its ocean freshening footprint.</t>
  </si>
  <si>
    <t>[Dotto, Tiago S.; Garabato, Alberto Naveira; Hooley, Jack; Frajka-Williams, Eleanor] Univ Southampton, Ocean &amp; Earth Sci, Southampton, Hants, England; [Bacon, Sheldon] Natl Oceanog Ctr, Southampton, Hants, England; [Tsamados, Michel; Ridout, Andy] UCL, Ctr Polar Observat &amp; Modelling, London, England; [Holland, Paul R.; Meredith, Michael P.] British Antarctic Survey, Cambridge, England</t>
  </si>
  <si>
    <t>University of Southampton; NERC National Oceanography Centre; University of London; University College London; UK Research &amp; Innovation (UKRI); Natural Environment Research Council (NERC); NERC British Antarctic Survey</t>
  </si>
  <si>
    <t>Dotto, TS (corresponding author), Univ Southampton, Ocean &amp; Earth Sci, Southampton, Hants, England.</t>
  </si>
  <si>
    <t>tiagosdotto@gmail.com</t>
  </si>
  <si>
    <t>Tsamados, Michel/V-1962-2019; Frajka-Williams, Eleanor/H-2415-2011; Holland, Paul R/G-2796-2012; Garabato, Alberto Naveira/AAQ-1114-2020</t>
  </si>
  <si>
    <t>Tsamados, Michel/0000-0001-7034-5360; Frajka-Williams, Eleanor/0000-0001-8773-7838; Garabato, Alberto Naveira/0000-0001-6071-605X; Ridout, Andrew/0000-0003-3669-1109; Segabinazzi Dotto, Tiago/0000-0003-0565-6941; Meredith, Michael/0000-0002-7342-7756</t>
  </si>
  <si>
    <t>CNPq/Brazil PhD scholarship [232792/2014-3]; Royal Society; Wolfson Foundation; NERC [NE/N018095/1]; Natural Environment Research Council (ORCHESTRA) [NE/N018095/1]; NERC [NE/E013341/1, NE/J005711/1, NE/N018095/1, bas0100033, cpom30001, NE/M015238/1, NE/I029439/1] Funding Source: UKRI; Natural Environment Research Council [NE/I029439/1, noc010012, NE/J005711/1, NE/M015238/1, cpom30001, bas0100033, NE/N018095/1, NE/E013341/1] Funding Source: researchfish</t>
  </si>
  <si>
    <t>CNPq/Brazil PhD scholarship; Royal Society(Royal Society); Wolfson Foundation; NERC(UK Research &amp; Innovation (UKRI)Natural Environment Research Council (NERC)); Natural Environment Research Council (ORCHESTRA); NERC(UK Research &amp; Innovation (UKRI)Natural Environment Research Council (NERC)); Natural Environment Research Council(UK Research &amp; Innovation (UKRI)Natural Environment Research Council (NERC))</t>
  </si>
  <si>
    <t>The CryoSat-2 data were obtained from the European Space Agency (https:// earth.esa.int/web/guest/data-access/) and processed at CPOM (UCL). The NASA Team ice concentration and Sea Ice Drift data are available from the National Snow and Ice Data Center at http://nsidc.org/data/nsidc-0051 and http://nsidc.org/data/nsidc-0116, respectively. ERA-Interim data are available from ECMWF (http://apps.ecmwf.int/datasets/data/interim-full-daily/levtype=sfc/). The AAO index is available from NOAA/CPC (http://www.cpc.ncep.noaa.gov/products/precip/CWlink/daily_ao_index/aao/aao.shtml). GRACE data are available from CSR (http://www2.csr.utexas.edu/grace/RL05_mascons.html). The ASL index is available from http://www.antarctica.ac.uk/data/absl/. We thank T. W. K. Armitage for initial assistance with the altimetric data set. T. S. Dotto acknowledges support by the CNPq/Brazil PhD scholarship grant 232792/2014-3. The participation of A. C. Naveira Garabato was supported by the Royal Society and the Wolfson Foundation and that of M. P. Meredith by NERC via award NE/N018095/1. This work was supported by the Natural Environment Research Council (ORCHESTRA, grant NE/N018095/1) Geostrophic current data presented in this manuscript can be accessed via http://www.cpom.ucl.ac.uk/dynamic_topography.</t>
  </si>
  <si>
    <t>10.1029/2018GL078607</t>
  </si>
  <si>
    <t>WOS:000438499100042</t>
  </si>
  <si>
    <t>Proud, R; Cox, MJ; Le Guen, C; Brierley, AS</t>
  </si>
  <si>
    <t>Proud, Roland; Cox, Martin J.; Le Guen, Camille; Brierley, Andrew S.</t>
  </si>
  <si>
    <t>Fine-scale depth structure of pelagic communities throughout the global ocean based on acoustic sound scattering layers</t>
  </si>
  <si>
    <t>Biogeography; Diel vertical migration; DVM; Acoustics; Water column; Deep scattering layer; DSL; Mesopelagic</t>
  </si>
  <si>
    <t>SOUTHERN ELEPHANT SEALS; DIEL VERTICAL MIGRATION; NORTH-ATLANTIC; BIOGEOGRAPHIC CLASSIFICATION; APTENODYTES-PATAGONICUS; MARINE ECOSYSTEMS; KING PENGUINS; RED-SEA; CARBON; ZOOPLANKTON</t>
  </si>
  <si>
    <t>Most multicellular biomass in the mesopelagic zone (200-1000 m) comprises zooplankton and fish aggregated in layers known as sound scattering layers (SSLs), which scatter sound and are detectable using echosounders. Some of these animals migrate vertically to and from the near surface on a daily cycle (diel vertical migration, DVM), transporting carbon between the surface and the deep ocean (biological carbon pump, BCP). To gain insight into potential global variability in the contribution of SSLs to the BCP, and to pelagic ecology generally (SSLs are likely prey fields for numerous predators), we investigated regional-scale (90 000 km(2)) community depth structure based on the fine-scale (10s of m) vertical distribution of SSLs. We extracted SSLs from a near-global dataset of 38 kHz echosounder observations and constructed local (300 km x 300 km) SSL depth and echo intensity (a proxy for biomass) probability distributions. The probability distributions fell into 6 spatially coherent regional-scale SSL probability distribution (RSPD) groups. All but 1 RSPD exhibited clear DVM, and all RSPDs included stable night-time resident deep scattering layers (DSLs: SSLs deeper than 200 m). Analysis of DSL number and stability (probability of observation at depth) revealed 2 distinct DSL types: (1) single-shallow DSL (a single DSL at ca. 500 m) and (2) double-deep DSL (2 DSLs at ca. 600 and 850 m). By including consideration of this fine-scale depth structure in biogeographic partitions and ecosystem models, we will better understand the role of mesopelagic communities in pelagic food webs and the consequences of climate change for these communities.</t>
  </si>
  <si>
    <t>[Proud, Roland; Le Guen, Camille; Brierley, Andrew S.] Univ St Andrews, Sch Biol, Scottish Oceans Inst, Pelag Ecol Res Grp,Gatty Marine Lab, St Andrews KY16 8LB, Fife, Scotland; [Cox, Martin J.] Australian Antarctic Div, Kingston, Tas 7050, Australia</t>
  </si>
  <si>
    <t>University of St Andrews; Australian Antarctic Division</t>
  </si>
  <si>
    <t>Proud, R (corresponding author), Univ St Andrews, Sch Biol, Scottish Oceans Inst, Pelag Ecol Res Grp,Gatty Marine Lab, St Andrews KY16 8LB, Fife, Scotland.</t>
  </si>
  <si>
    <t>rp43@st-andrews.ac.uk</t>
  </si>
  <si>
    <t>Brierley, Andrew/G-8019-2011</t>
  </si>
  <si>
    <t>Brierley, Andrew/0000-0002-6438-6892; Proud, Roland/0000-0002-8647-5562</t>
  </si>
  <si>
    <t>European H2020 International Cooperation project MESOPP (Mesopelagic Southern Ocean Prey and Predators)</t>
  </si>
  <si>
    <t>We thank the British Oceanographic Data Centre, the Australian Integrated Marine Observing System, the British Antarctic Survey, and Dr. Phil Hosegood for providing echosounder data. This study received support from the European H2020 International Cooperation project MESOPP (Mesopelagic Southern Ocean Prey and Predators, www.mesopp.eu/).</t>
  </si>
  <si>
    <t>10.3354/meps12612</t>
  </si>
  <si>
    <t>GM7YT</t>
  </si>
  <si>
    <t>WOS:000438415600003</t>
  </si>
  <si>
    <t>Hunter, E; Laptikhovsky, VV; Hollyman, PR</t>
  </si>
  <si>
    <t>Hunter, Ewan; Laptikhovsky, Vladimir V.; Hollyman, Philip R.</t>
  </si>
  <si>
    <t>Innovative use of sclerochronology in marine resource management</t>
  </si>
  <si>
    <t>Sclerochronology; Otoliths; Statoliths; Scales; Beaks; Life-histories; Ageing; Fisheries management</t>
  </si>
  <si>
    <t>GROWTH INCREMENTS; FISH; INDICATORS; STATOLITHS; CHEMISTRY; OTOLITHS; AGE</t>
  </si>
  <si>
    <t>In recent years, technical and analytical developments in sclerochronology, based on the analysis of accretionary hard tissues, have improved our ability to assess the life histories of a wide range of marine organisms. This Theme Section on the innovative use of sclerochronology was motivated by the cross-disciplinary session 'Looking backwards to move ahead-how the wider application of new technologies to interpret scale, otolith, statolith and other biomineralised age-registering structures could improve management of natural resources' convened at the 2016 ICES Annual Science Conference in Riga, Latvia. The contributions to this Theme Section provide examples of applications to improve the assessment and management of populations and habitats, or showcase the potential for sclerochronology to provide a deeper understanding of the inter action between marine life and its environment, including the effects of changing climate.</t>
  </si>
  <si>
    <t>[Hunter, Ewan; Laptikhovsky, Vladimir V.] Lowestoft Lab, Ctr Environm Fisheries &amp; Aquaculture Sci, Lowestoft NR33 0HT, Suffolk, England; [Hunter, Ewan] Univ East Anglia, Sch Environm Sci, Norwich Res Pk, Norwich NR4 7TJ, Norfolk, England; [Hollyman, Philip R.] British Antarctic Survey, Madingley Rd, Cambridge CB3 0ET, England</t>
  </si>
  <si>
    <t>Centre for Environment Fisheries &amp; Aquaculture Science; University of East Anglia; UK Research &amp; Innovation (UKRI); Natural Environment Research Council (NERC); NERC British Antarctic Survey</t>
  </si>
  <si>
    <t>Hunter, E (corresponding author), Lowestoft Lab, Ctr Environm Fisheries &amp; Aquaculture Sci, Lowestoft NR33 0HT, Suffolk, England.;Hunter, E (corresponding author), Univ East Anglia, Sch Environm Sci, Norwich Res Pk, Norwich NR4 7TJ, Norfolk, England.</t>
  </si>
  <si>
    <t>ewan.hunter@cefas.co.uk</t>
  </si>
  <si>
    <t>Hollyman, Philip/AAR-9679-2020</t>
  </si>
  <si>
    <t>Hollyman, Philip/0000-0003-2665-5075; Hunter, Ewan/0000-0003-0140-2928</t>
  </si>
  <si>
    <t>10.3354/meps12664</t>
  </si>
  <si>
    <t>WOS:000438415600012</t>
  </si>
  <si>
    <t>Bown, J; van Haren, H; Meredith, MP; Venables, HJ; Laan, P; Brearley, JA; de Baar, HJW</t>
  </si>
  <si>
    <t>Bown, Johann; van Haren, Hans; Meredith, Michael P.; Venables, Hugh J.; Laan, Patrick; Brearley, J. Alexander; de Baar, Hein J. W.</t>
  </si>
  <si>
    <t>Evidences of strong sources of DFe and DMn in Ryder Bay, Western Antarctic Peninsula</t>
  </si>
  <si>
    <t>iron; manganese; GEOTRACES; trace metals; Rothera; Western Antarctic Peninsula</t>
  </si>
  <si>
    <t>SOUTHERN-OCEAN; DISSOLVED IRON; PHYTOPLANKTON BLOOMS; MARGUERITE BAY; DRAKE PASSAGE; AMUNDSEN SEA; WEDDELL SEA; ICE MELT; GREENLAND; SEDIMENTS</t>
  </si>
  <si>
    <t>The spatial distribution, biogeochemical cycling and external sources of dissolved iron and dissolved manganese (DFe and DMn) were investigated in Ryder Bay, a small coastal embayment of the West Antarctic Peninsula, during Austral summer (2013 and 2014). Dissolved concentrations were measured throughout the water column at 11 stations within Ryder Bay The concentration ranges of DFe and DMn were large, between 0.58 and 32.7 nM, and between 0.18 and 26.2nM, respectively, exhibiting strong gradients from the surface to the bottom. Surface concentrations of DFe and DMn were higher than concentrations reported for the Southern Ocean and coastal Antarctic waters, and extremely high concentrations were detected in deep water. Glacial meltwater and shallow sediments are likely to be the main sources of DFe and DMn in the euphotic zone, while lateral advection associated with local sediment resuspension and vertical mixing are significant sources for intermediate and deep waters. During summer, vertical mixing of intermediate and deep waters and sediment resuspension occurring from Marguerite Trough to Ryder Bay are thought to be amplified by a series of overflows at the sills, enhancing the input of Fe and Mn from bottom sediment and increasing their concentrations up to the euphotic layer. This article is part of the theme issue 'The marine system of the West Antarctic Peninsula: status and strategy for progress in a region of rapid change'.</t>
  </si>
  <si>
    <t>[Bown, Johann; van Haren, Hans; Laan, Patrick; de Baar, Hein J. W.] NIOZ, Royal Netherlands Inst Sea Res, POB 59, NL-1790 AB Den Burg, Texel, Netherlands; [Bown, Johann; van Haren, Hans; Laan, Patrick; de Baar, Hein J. W.] Univ Utrecht, POB 59, NL-1790 AB Den Burg, Texel, Netherlands; [Meredith, Michael P.; Venables, Hugh J.; Brearley, J. Alexander] British Antarctic Survey, Madingley Rd, Cambridge CB3 0ET, England; [de Baar, Hein J. W.] Univ Groningen, Dept Ocean Ecosyst, Groningen, Netherlands</t>
  </si>
  <si>
    <t>Utrecht University; Royal Netherlands Institute for Sea Research (NIOZ); Utrecht University; UK Research &amp; Innovation (UKRI); Natural Environment Research Council (NERC); NERC British Antarctic Survey; University of Groningen</t>
  </si>
  <si>
    <t>Bown, J (corresponding author), NIOZ, Royal Netherlands Inst Sea Res, POB 59, NL-1790 AB Den Burg, Texel, Netherlands.;Bown, J (corresponding author), Univ Utrecht, POB 59, NL-1790 AB Den Burg, Texel, Netherlands.</t>
  </si>
  <si>
    <t>joh.bown@gmail.com</t>
  </si>
  <si>
    <t>Brearley, Alexander/C-3313-2012</t>
  </si>
  <si>
    <t>Brearley, Alexander/0000-0003-3700-8017; Meredith, Michael/0000-0002-7342-7756</t>
  </si>
  <si>
    <t>Netherlands Organisation for Scientific Research (NWO) [866.20.031]; NERC [bas0100033, NE/L011166/1] Funding Source: UKRI</t>
  </si>
  <si>
    <t>Netherlands Organisation for Scientific Research (NWO)(Netherlands Organization for Scientific Research (NWO)); NERC(UK Research &amp; Innovation (UKRI)Natural Environment Research Council (NERC))</t>
  </si>
  <si>
    <t>This work is part of postdoctoral research (J. Bown) at NIOZ under the research programme 866.20.031, which was financed by the Netherlands Organisation for Scientific Research (NWO).</t>
  </si>
  <si>
    <t>10.1098/rsta.2017.0172</t>
  </si>
  <si>
    <t>WOS:000432326900008</t>
  </si>
  <si>
    <t>Hendry, KR; Meredith, MP; Ducklow, HW</t>
  </si>
  <si>
    <t>Hendry, Katharine R.; Meredith, Michael P.; Ducklow, Hugh W.</t>
  </si>
  <si>
    <t>The marine system of the West Antarctic Peninsula: status and strategy for progress</t>
  </si>
  <si>
    <t>West Antarctic Peninsula; biogeochemistry; oceanography; variability</t>
  </si>
  <si>
    <t>[Hendry, Katharine R.] Univ Bristol, Sch Earth Sci, Wills Mem Bldg,Queens Rd, Bristol BS8 1RJ, Avon, England; [Meredith, Michael P.] British Antarctic Survey, Madingley Rd, Cambridge CB3 0ET, England; [Ducklow, Hugh W.] Columbia Univ, Lamont Doherty Earth Observ, 61 US 9-W, Palisades, NY 10964 USA</t>
  </si>
  <si>
    <t>University of Bristol; UK Research &amp; Innovation (UKRI); Natural Environment Research Council (NERC); NERC British Antarctic Survey; Columbia University</t>
  </si>
  <si>
    <t>; Hendry, Katharine/E-4793-2011</t>
  </si>
  <si>
    <t>Meredith, Michael/0000-0002-7342-7756; Hendry, Katharine/0000-0002-0790-5895</t>
  </si>
  <si>
    <t>European Research Council Starting Grant; NERC [NE/M013782/1, bas0100033] Funding Source: UKRI</t>
  </si>
  <si>
    <t>European Research Council Starting Grant(European Research Council (ERC)); NERC(UK Research &amp; Innovation (UKRI)Natural Environment Research Council (NERC))</t>
  </si>
  <si>
    <t>K.R.H. is a University Research Fellow of the Royal Society and is funded by a European Research Council Starting Grant.</t>
  </si>
  <si>
    <t>10.1098/rsta.2017.0179</t>
  </si>
  <si>
    <t>Bronze, Green Published, Green Submitted</t>
  </si>
  <si>
    <t>WOS:000432326900014</t>
  </si>
  <si>
    <t>Barnes, DKA; Fleming, A; Sands, CJ; Quartino, ML; Dereqibus, D</t>
  </si>
  <si>
    <t>Barnes, David K. A.; Fleming, Andrew; Sands, Chester J.; Quartino, Maria Liliana; Dereqibus, Dolores</t>
  </si>
  <si>
    <t>Icebergs, Sea ice, blue carbon and Antarctic climate feedbacks</t>
  </si>
  <si>
    <t>blue carbon sink; Southern Ocean; iceberg A68; climate change; benthos; phytoplankton</t>
  </si>
  <si>
    <t>SOUTHERN-OCEAN; BENTHIC COMMUNITIES; SCOUR DISTURBANCE; SHELF COLLAPSE; PENINSULA; BAY; PRODUCTIVITY; VARIABILITY; ZOOBENTHOS; FREQUENCY</t>
  </si>
  <si>
    <t>Sea ice, including icebergs, has a complex relationship with the carbon held within animals (blue carbon) in the polar regions. Sea-ice losses around West Antarctica's continental shelf generate longer phytoplankton blooms but also make it a hotspot for coastal iceberg disturbance. This matters because in polar regions ice scour limits blue carbon storage ecosystem services, which work as a powerful negative feedback on climate change (less sea ice increases phytoplankton blooms, benthic growth, seabed carbon and sequestration). This resets benthic biota succession (maintaining regional biodiversity) and also fertilizes the ocean with nutrients, generating phytoplankton blooms, which cascade carbon capture into seabed storage and burial by benthos. Small icebergs scour coastal shallows, whereas giant icebergs ground deeper, offshore. Significant benthic communities establish where ice shelves have disintegrated (giant icebergs calving), and rapidly grow to accumulate blue carbon storage. When 5000 km(2) giant icebergs calve, we estimate that they generate approximately 10(6) tonnes of immobilized zoobenthic carbon per year (tCyr(-1)). However, their collisions with the seabed crush and recycle vast benthic communities, costing an estimated 4 x 10(4) tCyr(-1). We calculate that giant iceberg formation (ice shelf disintegration) has a net potential of approximately 10(6) tCyr(-1) sequestration benefits as well as more widely known negative impacts. This article is part of the theme issue 'The marine system of the West Antarctic Peninsula: status and strategy for progress in a region of rapid change'.</t>
  </si>
  <si>
    <t>[Barnes, David K. A.; Fleming, Andrew; Sands, Chester J.] British Antarctic Survey, Nat Environm Res Council, Madingley Rd, Cambridge CB3 0ET, England; [Quartino, Maria Liliana; Dereqibus, Dolores] Inst Antartico Argentino, Dept Biol Costera, 25 Mayo 1147 PC 1650, Buenos Aires, DF, Argentina; [Quartino, Maria Liliana] Museo Argentino Ciencias Nat Bernardino Rivadavia, Ave A Gallardo 470 C1405DJR, Buenos Aires, DF, Argentina</t>
  </si>
  <si>
    <t>UK Research &amp; Innovation (UKRI); Natural Environment Research Council (NERC); NERC British Antarctic Survey; Instituto Antartico Argentino; Museo Argentino de Ciencias Naturales Bernardino Rivadavia (MACN)</t>
  </si>
  <si>
    <t>Barnes, DKA (corresponding author), British Antarctic Survey, Nat Environm Res Council, Madingley Rd, Cambridge CB3 0ET, England.</t>
  </si>
  <si>
    <t>dkab@bas.ac.uk</t>
  </si>
  <si>
    <t>Sands, Chester/0000-0003-1028-0328; Barnes, David/0000-0002-9076-7867</t>
  </si>
  <si>
    <t>European Commission under the 7th Framework Programme through the Action-IMCONet (FP7 IRSES) [318718]; NERC [NE/R016038/1, bas0100036] Funding Source: UKRI</t>
  </si>
  <si>
    <t>European Commission under the 7th Framework Programme through the Action-IMCONet (FP7 IRSES); NERC(UK Research &amp; Innovation (UKRI)Natural Environment Research Council (NERC))</t>
  </si>
  <si>
    <t>The authors of this review received support from the European Commission under the 7th Framework Programme through the Action-IMCONet (FP7 IRSES, action no. 318718).</t>
  </si>
  <si>
    <t>10.1098/rsta.2017.0176</t>
  </si>
  <si>
    <t>WOS:000432326900011</t>
  </si>
  <si>
    <t>Falk, U; Silva-Busso, A; Pölcher, P</t>
  </si>
  <si>
    <t>Falk, Ulrike; Silva-Busso, Adrian; Poelcher, Pablo</t>
  </si>
  <si>
    <t>A Simplified method to estimate the run-off in Periglacial Creeks. a case study of King George Island, Antarctic Peninsula</t>
  </si>
  <si>
    <t>glacial discharge; permafrost hydrology; run-off; climatic change; Antarctic Peninsula</t>
  </si>
  <si>
    <t>LARSEN ICE SHELF; ENVIRONMENTAL-MODELS; MASS-BALANCE; MELTING CONDITIONS; GLACIER; COLLAPSE; CLIMATE; PERMAFROST; DISCHARGE; DYNAMICS</t>
  </si>
  <si>
    <t>Although the relationship between surface air temperature and glacial discharge has been studied in the Northern Hemisphere for at least a century, similar studies for Antarctica remain scarce and only for the past four decades. This data scarcity is due to the extreme meteorological conditions and terrain inaccessibility. As a result the contribution of glacial discharge in Antarctica to global sea-level rise is still attached with great uncertainties, especially from partly glaciated hydrological basins as can be found in the Antarctic Peninsula. In this paper, we propose a simplified model based on the Monte Carlo method and Fourier analysis for estimating discharge in partly glaciated and periglacial hydrological catchments with a summer melt period. Our model offers the advantage of scarce data requirements and quick recognition of periglacial environments. Discharge was found to be highly correlated with surface air temperature for the partially glaciated hydrological catchments on Potter Peninsula, King George Island (Isla 25 Mayo). The model is simple to implement and requires few variables to make most versatile simulations. We have obtained a monthly simulated maximum flow estimates between 0.74 and 1.07m(3)s(_1) for two creeks (South and North Potter) with a very good fit to field observations. The glacial mean monthly discharge during summer months was estimated to 0.44 +/- 0.02 nrr s(-1 )for South Potter Creek and 0.55 +/- 0.02 m(3) s(-1) for North Potter Creek. This article is part of the theme issue 'The marine system of the West Antarctic Peninsula: status and strategy for progress in a region of rapid change'.</t>
  </si>
  <si>
    <t>[Falk, Ulrike] Bremen Univ, Geog Dept, Climate Lab, D-28334 Bremen, Germany; [Silva-Busso, Adrian; Poelcher, Pablo] Univ Buenos Aires, Fac Cs Exactas &amp; Nat, Buenos Aires, DF, Argentina; [Silva-Busso, Adrian] INA, Buenos Aires, DF, Argentina</t>
  </si>
  <si>
    <t>University of Bremen; University of Buenos Aires</t>
  </si>
  <si>
    <t>Falk, U (corresponding author), Bremen Univ, Geog Dept, Climate Lab, D-28334 Bremen, Germany.</t>
  </si>
  <si>
    <t>ulrike.falk@gmail.com</t>
  </si>
  <si>
    <t>Falk, Ulrike/0000-0003-1586-1295</t>
  </si>
  <si>
    <t>ESF Europolar programme [AZ 03F0617B]; EU FP7-People-IRSES programme (IMCONet) [318718]</t>
  </si>
  <si>
    <t>ESF Europolar programme; EU FP7-People-IRSES programme (IMCONet)</t>
  </si>
  <si>
    <t>This research was funded by ESF Europolar programme (IMCOAST, BMBF award AZ 03F0617B) and EU FP7-People-2012-IRSES programme (IMCONet, agreement no. 318718).</t>
  </si>
  <si>
    <t>10.1098/rsta.2017.0166</t>
  </si>
  <si>
    <t>WOS:000432326900004</t>
  </si>
  <si>
    <t>Henley, SF; Jones, EM; Venables, HJ; Meredith, MP; Firing, YL; Dittrich, R; Heiser, S; Stefels, J; Dougans, J</t>
  </si>
  <si>
    <t>Henley, Sian F.; Jones, Elizabeth M.; Venables, Hugh J.; Meredith, Michael P.; Firing, Yvonne L.; Dittrich, Ribanna; Heiser, Sabrina; Stefels, Jacqueline; Dougans, Julie</t>
  </si>
  <si>
    <t>Macronutrient and carbon supply, uptake and cycling across the Antarctic Peninsi shelf during summer</t>
  </si>
  <si>
    <t>nutrients; carbon cycling; nitrate isotopes; nitrogen cycle; Antarctic Peninsula; Circumpolar Deep Water</t>
  </si>
  <si>
    <t>NORTHERN MARGUERITE BAY; SINKING ORGANIC-MATTER; CIRCUMPOLAR DEEP-WATER; SOUTHERN-OCEAN; SEA-ICE; CONTINENTAL-SHELF; MIXED-LAYER; RYDER BAY; INTERANNUAL VARIABILITY; ISOTOPE FRACTIONATION</t>
  </si>
  <si>
    <t>The West Antarctic Peninsula shelf is a region of high seasonal primary production which supports a large and productive food web, where macronutrients and inorganic carbon are sourced primarily from intrusions of warm saline Circumpolar Deep Water, We examined the cross-shelf modification of this water mass during mid-summer 2015 to understand the supply of nutrients and carbon to the productive surface ocean, and their subsequent uptake and cycling. We show that nitrate, phosphate, silicic acid and inorganic carbon are progressively enriched in subsurface waters across the shelf, contrary to cross-shelf reductions in heat, salinity and density. We use nutrient stoichiometric and isotopic approaches to invoke remineralization of organic matter, including nitrification below the euphotic surface layer, and dissolution of biogenic silica in deeper waters and potentially shelf sediment porewaters, as the primary drivers of cross-shelf enrichments. Regenerated nitrate and phosphate account for a significant proportion of the total pools of these nutrients in the upper ocean, with implications for the seasonal carbon sink. Understanding nutrient and carbon dynamics in this region now will inform predictions of future biogeochemical changes in the context of substantial variability and ongoing changes in the physical environment. This article is part of the theme issue 'The marine system of the West Antarctic Peninsula: status and strategy for progress in a region of rapid change'.</t>
  </si>
  <si>
    <t>[Henley, Sian F.; Dittrich, Ribanna] Univ Edinburgh, Sch GeoSci, James Hutton Rd, Edinburgh EH9 3FE, Midlothian, Scotland; [Jones, Elizabeth M.; Stefels, Jacqueline] Univ Groningen, POB 11103, NL-9700 CC Groningen, Netherlands; [Venables, Hugh J.; Meredith, Michael P.; Heiser, Sabrina] British Antarctic Survey, Madingley Rd, Cambridge CB3 0ET, England; [Firing, Yvonne L.] Natl Oceanog Ctr, European Way, Southampton SO14 3ZH, Hants, England; [Dougans, Julie] Scottish Univ Environm Res Ctr, Rankine Ave, E Kilbride G75 0QF, Lanark, Scotland; [Jones, Elizabeth M.] Inst Marine Res, Postboks 6404, N-9294 Tromso, Norway; [Heiser, Sabrina] Univ Alabama Birmingham, Dept Biol, Birmingham, AL 35294 USA</t>
  </si>
  <si>
    <t>University of Edinburgh; University of Groningen; UK Research &amp; Innovation (UKRI); Natural Environment Research Council (NERC); NERC British Antarctic Survey; University of Southampton; NERC National Oceanography Centre; Scottish Universities Research &amp; Reactor Center; Institute of Marine Research - Norway; University of Alabama System; University of Alabama Birmingham</t>
  </si>
  <si>
    <t>Henley, SF (corresponding author), Univ Edinburgh, Sch GeoSci, James Hutton Rd, Edinburgh EH9 3FE, Midlothian, Scotland.</t>
  </si>
  <si>
    <t>s.f.henley@ed.ac.uk</t>
  </si>
  <si>
    <t>Heiser, Sabrina/HJH-9098-2023</t>
  </si>
  <si>
    <t>Heiser, Sabrina/0000-0003-3307-3233; Firing, Yvonne/0000-0002-3640-3974; Henley, Sian Frances/0000-0003-1221-1983; Meredith, Michael/0000-0002-7342-7756</t>
  </si>
  <si>
    <t>UK Natural Environment Research Council (NERC) Independent Research Fellowship [NE/K010034/1]; Netherlands Polar Program at NWO; NERC through the British Antarctic Survey Polar Oceans program; NERC through National Capability funding; NERC through a PhD studentship of the E3 DTP at the University of Edinburgh; Natural Environment Research Council [noc010012, NE/K010034/1, bas0100033] Funding Source: researchfish; NERC [bas0100033, NE/K010034/1] Funding Source: UKRI</t>
  </si>
  <si>
    <t>UK Natural Environment Research Council (NERC) Independent Research Fellowship; Netherlands Polar Program at NWO; NERC through the British Antarctic Survey Polar Oceans program; NERC through National Capability funding; NERC through a PhD studentship of the E3 DTP at the University of Edinburgh; Natural Environment Research Council(UK Research &amp; Innovation (UKRI)Natural Environment Research Council (NERC)); NERC(UK Research &amp; Innovation (UKRI)Natural Environment Research Council (NERC))</t>
  </si>
  <si>
    <t>S.F.H. was funded by a UK Natural Environment Research Council (NERC) Independent Research Fellowship (NE/K010034/1). E.M.J. and J.S. were funded by the Netherlands Polar Program at NWO. H.J.V., M.P.M. and S.H. were funded by NERC through the British Antarctic Survey Polar Oceans program. Y.L.F. was funded by NERC through National Capability funding. R.D. was funded by NERC through a PhD studentship of the E3 DTP at the University of Edinburgh.</t>
  </si>
  <si>
    <t>10.1098/rsta.2017.0168</t>
  </si>
  <si>
    <t>WOS:000432326900005</t>
  </si>
  <si>
    <t>Kim, H; Ducklow, HW; Abele, D; Barlett, EMR; Buma, AGJ; Meredith, MP; Rozema, PD; Schofield, OM; Venables, HJ; Schloss, IR</t>
  </si>
  <si>
    <t>Kim, Hyewon; Ducklow, Hugh W.; Abele, Doris; Ruiz Barlett, Eduardo M.; Buma, Anita G. J.; Meredith, Michael P.; Rozema, Patrick D.; Schofield, Oscar M.; Venables, Hugh J.; Schloss, Irene R.</t>
  </si>
  <si>
    <t>Inter-decadal variability of phytoplankton biomass along the coastal West Antarctic Peninsula</t>
  </si>
  <si>
    <t>West Antarctic Peninsula; chlorophyll-a; phytoplankton; El Nino-Southern Oscillation; Southern Annular Mode</t>
  </si>
  <si>
    <t>KING GEORGE ISLAND; ICE ZONE WEST; INTERANNUAL VARIABILITY; POTTER COVE; SEA-ICE; MARGUERITE BAY; SOUTHERN-OCEAN; CLIMATE-CHANGE; WATERS; IRON</t>
  </si>
  <si>
    <t>The West Antarctic Peninsula (WAP) is a climatically sensitive region where periods of strong warming have caused significant changes in the marine ecosystem and food-web processes. Tight coupling between phytoplankton and higher trophic levels implies that the coastal WAP is a bottom-up controlled system, where changes in phytoplankton dynamics may largely impact other food-web components. Here, we analysed the inter-decadal time series of year-round chlorophyll-a (Chl) collected from three stations along the coastal WAP: Carlini Station at Potter Cove (PC) on King George Island, Palmer Station on Anvers Island and Rothera Station on Adelaide Island. There were trends towards increased phytoplankton biomass at Carlini Station (PC) and Palmer Station, while phytoplankton biomass declined significantly at Rothera Station over the studied period. The impacts of two relevant climate modes to the WAP, the El Nino-Southern Oscillation and the Southern Annular Mode, on winter and spring phytoplankton biomass appear to be different among the three sampling stations, suggesting an important role of local-scale forcing than large-scale forcing on phytoplankton dynamics at each station. The inter-annual variability of seasonal bloom progression derived from considering all three stations together captured ecologically meaningful, seasonally co-occurring bloom patterns which were primarily constrained by water-column stability strength. Our findings highlight a coupled link between phytoplankton and physical and climate dynamics along the coastal WAP, which may improve our understanding of overall WAP food-web responses to climate change and variability. This article is part of the theme issue 'The marine system of the West Antarctic Peninsula: status and strategy for progress in a region of rapid change'.</t>
  </si>
  <si>
    <t>[Kim, Hyewon; Ducklow, Hugh W.] Columbia Univ, Lamont Doherty Earth Observ, Palisades, NY 10964 USA; [Abele, Doris] Alfred Wegener Inst Polar &amp; Marine Res, Handelshafen 12, D-27570 Bremerhaven, Germany; [Ruiz Barlett, Eduardo M.] Inst Antartico Argentino, 25 Mayo 1143,C1064AAF, San Martin Pcia De Bueno, Argentina; [Buma, Anita G. J.; Rozema, Patrick D.] Univ Groningen, Energy &amp; Sustainabil Res Inst Groningen, Dept Ocean Ecosyst, Groningen, Netherlands; [Buma, Anita G. J.] Univ Groningen, Arctic Ctr, Groningen, Netherlands; [Meredith, Michael P.; Venables, Hugh J.] British Antarctic Survey, Madingley Rd, Cambridge, England; [Schofield, Oscar M.] Rutgers State Univ, Ctr Ocean Observing Leadership, Dept Marine &amp; Coastal Sci, Sch Environm &amp; Biol Sci, New Brunswick, NJ 08901 USA; [Schloss, Irene R.] Ctr Austral Invest Cient, Bernardo Houssay 200, RA-9410 Ushuaia, Tierra Del Fueg, Argentina; [Schloss, Irene R.] Univ Nacl Tierra del Fuego, H Yrigoyen 879, RA-9410 Ushuaia, Tierra Del Fueg, Argentina; [Kim, Hyewon] Univ Virginia, Dept Environm Sci, Charlottesville, VA 22904 USA</t>
  </si>
  <si>
    <t>Columbia University; Helmholtz Association; Alfred Wegener Institute, Helmholtz Centre for Polar &amp; Marine Research; Instituto Antartico Argentino; University of Groningen; University of Groningen; UK Research &amp; Innovation (UKRI); Natural Environment Research Council (NERC); NERC British Antarctic Survey; Rutgers University System; Rutgers University New Brunswick; University of Virginia</t>
  </si>
  <si>
    <t>Kim, H (corresponding author), Columbia Univ, Lamont Doherty Earth Observ, Palisades, NY 10964 USA.;Kim, H (corresponding author), Univ Virginia, Dept Environm Sci, Charlottesville, VA 22904 USA.</t>
  </si>
  <si>
    <t>hk8m@virginia.edu</t>
  </si>
  <si>
    <t>Schloss, Irene R./U-5411-2018; Buma, Anita GJ/E-8372-2015; Rozema, Patrick D/J-9546-2016; Kim, Heather Hyewon/M-8039-2017</t>
  </si>
  <si>
    <t>Schloss, Irene R./0000-0002-5917-8925; Kim, Heather Hyewon/0000-0002-1280-3340; Meredith, Michael/0000-0002-7342-7756; Rozema, Patrick/0000-0003-3376-7972</t>
  </si>
  <si>
    <t>US National Science Foundation [OPP-9011927, 9632763, 0217282, 0823101, GEO-PLR 1440435]; Lamont-Doherty Earth Observatory (LDEO) of Columbia University; NASA ROSES award [NNX14AL86G]; Natural Environment Research Council; EU research network IMCONet - Marie Curie Action IRSES (FP7 IRSES, Action) [318718]; NERC [bas0100033] Funding Source: UKRI</t>
  </si>
  <si>
    <t>US National Science Foundation(National Science Foundation (NSF)); Lamont-Doherty Earth Observatory (LDEO) of Columbia University; NASA ROSES award; Natural Environment Research Council(UK Research &amp; Innovation (UKRI)Natural Environment Research Council (NERC)); EU research network IMCONet - Marie Curie Action IRSES (FP7 IRSES, Action)(European Union (EU)); NERC(UK Research &amp; Innovation (UKRI)Natural Environment Research Council (NERC))</t>
  </si>
  <si>
    <t>Palmer Long Term Ecological Research (LTER) Project was supported by US National Science Foundation awards OPP-9011927, 9632763, 0217282, 0823101 and GEO-PLR 1440435. H.K. was supported as a Postdoctoral Research Scientist by Lamont-Doherty Earth Observatory (LDEO) of Columbia University and by a subcontract to LDEO from NASA ROSES award NNX14AL86G to S. Doney (Woods Hole Oceanographic Institution/University of Virginia). Rothera Time Series (RaTS) is a component of the British Antarctic Survey (BAS) Polar Oceans programme, funded by the Natural Environment Research Council. Carlini ecological long-term research is conducted in the frame of the collaboration between the Argentine Antarctic Institute (IAA) and the Alfred Wegener Institute (Germany). This work was supported by the EU research network IMCONet funded by the Marie Curie Action IRSES (FP7 IRSES, Action No. 318718).</t>
  </si>
  <si>
    <t>10.1098/rsta.2017.0174</t>
  </si>
  <si>
    <t>WOS:000432326900010</t>
  </si>
  <si>
    <t>Kohut, JT; Winsor, P; Statscewich, H; Oliver, MJ; Fredj, E; Couto, N; Bernard, K; Fraser, W</t>
  </si>
  <si>
    <t>Kohut, Josh T.; Winsor, Peter; Statscewich, Hank; Oliver, Matthew J.; Fredj, Erick; Couto, Nicole; Bernard, Kim; Fraser, William</t>
  </si>
  <si>
    <t>Variability in summer surface residence time within a West Antarctic Peninsula biological hotspot</t>
  </si>
  <si>
    <t>biological hotspot function; residence time; Lagrangian particle trajectories; high-freguency radar; West Antarctic Peninsula; circulation</t>
  </si>
  <si>
    <t>CIRCUMPOLAR DEEP-WATER; CONTINENTAL-SHELF; KRILL; TRANSPORT; AGGREGATIONS; ZOOPLANKTON; CURRENTS; CANYON</t>
  </si>
  <si>
    <t>Palmer Deep canyon along the central West Antarctic Peninsula is known to have higher phytoplankton biomass than the surrounding noncanyon regions, but the circulation mechanisms that transport and locally concentrate phytoplankton and Antarctic krill, potentially increasing prey availability to upper-trophic-level predators such as penguins and cetaceans, are currently unknown. We deployed a three-site high-frequency radar network that provided hourly surface circulation maps over the Palmer Deep hotspot. A series of particle release experiments were used to estimate surface residence time and connectivity across the canyon. The majority of residence times fell between 1.0 and 3.5 days, with a mean of 2 days and a maximum of 5 days. We found a highly significant negative relationship between wind speed and residence time. Our residence time analysis indicates that the elevated phytoplankton biomass over the central canyon is transported into and out of the hotspot on time scales much shorter than the observed phytoplankton growth rate, suggesting that the canyon may not act as an incubator of phytoplankton productivity as previously suggested. It may instead serve more as a conveyor belt of phytoplankton biomass produced elsewhere, continually replenishing the phytoplankton biomass for the local Antarctic krill community, which in turn supports numerous top predators. This article is part of the theme issue 'The marine system of the West Antarctic Peninsula: status and strategy for progress in a region of rapid change'.</t>
  </si>
  <si>
    <t>[Kohut, Josh T.] Rutgers State Univ, Dept Marine &amp; Coastal Sci, 71 Dudley Rd, New Brunswick, NJ 08901 USA; [Winsor, Peter; Statscewich, Hank] Univ Alaska, Coll Fisheries &amp; Ocean Sci, 2150 Koyukuk Dr,Suite 245 ONeill Bldg, Fairbanks, AK 99775 USA; [Oliver, Matthew J.] Univ Delaware, Coll Earth Ocean &amp; Environm, 700 Pilottown Rd, Lewes, DE 19958 USA; [Fredj, Erick] Jerusalem Coll Technol, Comp Sci Dept, 21 Havaad Haleumi St,POB 16031, IL-91160 Jerusalem, Israel; [Couto, Nicole] Univ Calif San Diego, Scripps Inst Oceanog, 9500 Gilman Dr 0213, La Jolla, CA 92093 USA; [Bernard, Kim] Oregon State Univ, Coll Earth Ocean &amp; Atmospher Sci, 104 CEOAS Admin Bldg, Corvallis, OR 97330 USA; [Fraser, William] Polar Oceans Res Grp, POB 368, Sheridan, MT 59749 USA</t>
  </si>
  <si>
    <t>Rutgers University System; Rutgers University New Brunswick; University of Alaska System; University of Alaska Fairbanks; University of Delaware; University of California System; University of California San Diego; Scripps Institution of Oceanography; Oregon State University</t>
  </si>
  <si>
    <t>Kohut, JT (corresponding author), Rutgers State Univ, Dept Marine &amp; Coastal Sci, 71 Dudley Rd, New Brunswick, NJ 08901 USA.</t>
  </si>
  <si>
    <t>kohut@marine.rutgers.edu</t>
  </si>
  <si>
    <t>Fredj, Erick/AAR-7369-2021</t>
  </si>
  <si>
    <t>Fredj, Erick/0000-0002-7991-4942</t>
  </si>
  <si>
    <t>National Science Foundation [ANT-1327248, DPP-1440435]; Office of Polar Programs (OPP); Directorate For Geosciences [1326541] Funding Source: National Science Foundation</t>
  </si>
  <si>
    <t>This project is funded through the National Science Foundation, award numbers: ANT-1327248 and DPP-1440435.</t>
  </si>
  <si>
    <t>10.1098/rsta.2017.0165</t>
  </si>
  <si>
    <t>WOS:000432326900003</t>
  </si>
  <si>
    <t>Meredith, MP; Falk, U; Bers, AV; Mackensen, A; Schloss, IR; Barlett, ER; Jerosch, K; Busso, AS; Abele, D</t>
  </si>
  <si>
    <t>Meredith, Michael P.; Falk, Ulrike; Bers, Anna Valeria; Mackensen, Andreas; Schloss, Irene R.; Barlett, Eduardo Ruiz; Jerosch, Kerstin; Silva Busso, Adrian; Abele, Doris</t>
  </si>
  <si>
    <t>Anatomy of a glacial meltwater discharge event in an Antarctic cove</t>
  </si>
  <si>
    <t>glacial discharge; Antarctica; geochemical tracers; stable isotopes</t>
  </si>
  <si>
    <t>KING GEORGE ISLAND; CLIMATE-CHANGE; ICE DISCHARGE; POTTER COVE; PENINSULA; IRON; BALANCE; FJORD; WEST; CAP</t>
  </si>
  <si>
    <t>Glacial meltwater discharge from Antarctica is a key influence on the marine environment, impacting ocean circulation, sea level and productivity of the pelagic and benthic ecosystems. The responses elicited depend strongly on the characteristics of the meltwater releases, including timing, spatial structure and geochemical composition. Here we use isotopic tracers to reveal the time-varying pattern of meltwater during a discharge event from the Fourcade Glacier into Potter Cove, northern Antarctic Peninsula. The discharge is strongly dependent on local air temperature, and accumulates into an extremely thin, buoyant layer at the surface. This layer showed evidence of elevated turbidity, and responded rapidly to changes in atmospherically driven circulation to generate a strongly pulsed outflow from the cove to the broader ocean. These characteristics contrast with those further south along the Peninsula, where strong glacial frontal ablation is driven oceanographically by intrusions of warm deep waters from offshore. The Fourcade Glacier switched very recently to being land-terminating; if retreat rates elsewhere along the Peninsula remain high and glacier termini progress strongly landward, the structure and impact of the freshwater discharges are likely to increasingly resemble the patterns elucidated here. This article is part of the theme issue 'The marine system of the West Antarctic Peninsula: status and strategy for progress in a region of rapid change'.</t>
  </si>
  <si>
    <t>[Meredith, Michael P.] British Antarctic Survey, Madingley Rd, Cambridge CB3 0ET, England; [Falk, Ulrike] Univ Bremen, Bremen, Germany; [Falk, Ulrike; Bers, Anna Valeria; Mackensen, Andreas; Jerosch, Kerstin; Abele, Doris] Helmholtz Ctr Polar &amp; Marine Res, Alfred Wegener Inst, Alten Hafen 24,Handelshafen 12, D-27570 Bremerhaven, Germany; [Schloss, Irene R.; Barlett, Eduardo Ruiz] Inst Antartico Argentino, Buenos Aires, DF, Argentina; [Schloss, Irene R.] Consejo Nacl Invest Cient &amp; Tecn, CADIC, Ushuaia, Argentina; [Schloss, Irene R.] Univ Nacl Tierra del Fuego, Ushuaia, Argentina; [Silva Busso, Adrian] Univ Buenos Aires, RA-1053 Buenos Aires, DF, Argentina; [Bers, Anna Valeria] Leibniz Ctr Trop Marine Res, Bremen, Germany</t>
  </si>
  <si>
    <t>UK Research &amp; Innovation (UKRI); Natural Environment Research Council (NERC); NERC British Antarctic Survey; University of Bremen; Helmholtz Association; Alfred Wegener Institute, Helmholtz Centre for Polar &amp; Marine Research; Instituto Antartico Argentino; Consejo Nacional de Investigaciones Cientificas y Tecnicas (CONICET); University of Buenos Aires; Leibniz Zentrum fur Marine Tropenforschung (ZMT)</t>
  </si>
  <si>
    <t>Meredith, MP (corresponding author), British Antarctic Survey, Madingley Rd, Cambridge CB3 0ET, England.</t>
  </si>
  <si>
    <t>mmm@bas.ac.uk</t>
  </si>
  <si>
    <t>Jerosch, Kerstin/ABC-8913-2020; Schloss, Irene R./U-5411-2018</t>
  </si>
  <si>
    <t>Jerosch, Kerstin/0000-0003-0728-2154; Schloss, Irene R./0000-0002-5917-8925; Meredith, Michael/0000-0002-7342-7756; Abele, Doris/0000-0002-5766-5017</t>
  </si>
  <si>
    <t>European Commission under the 7th Framework Programme through the Action-IMCONet (FP7 IRSES) [318718]; Natural Environment Research Council [NE/N018095/1, NE/P003060/1]; AWI; DFG [SSP 1158, JE 680/1-1]; Marie Curie Action FP 7 IRSES [318718]; Instituto Antartico Argentino; PICT [2011-1320-ANPCyT]; NERC [bas0100033, NE/P003060/1, NE/N018095/1] Funding Source: UKRI; Natural Environment Research Council [NE/P003060/1] Funding Source: researchfish</t>
  </si>
  <si>
    <t>European Commission under the 7th Framework Programme through the Action-IMCONet (FP7 IRSES)(European Union (EU)); Natural Environment Research Council(UK Research &amp; Innovation (UKRI)Natural Environment Research Council (NERC)); AWI; DFG(German Research Foundation (DFG)); Marie Curie Action FP 7 IRSES(European Union (EU)); Instituto Antartico Argentino; PICT(ANPCyT); NERC(UK Research &amp; Innovation (UKRI)Natural Environment Research Council (NERC)); Natural Environment Research Council(UK Research &amp; Innovation (UKRI)Natural Environment Research Council (NERC))</t>
  </si>
  <si>
    <t>This study received support from the European Commission under the 7th Framework Programme through the Action-IMCONet (FP7 IRSES, action no. 318718). The participation of Michael Meredith in this research was funded by the Natural Environment Research Council via awards NE/N018095/1 and NE/P003060/1. K.J. acknowledges funding from AWI, DFG SSP 1158 Grant JE 680/1-1; Marie Curie Action FP 7 IRSES (Action No. 318718). E.R.B. was funded by Instituto Antartico Argentino. Funding from PICT 2011-1320-ANPCyT to I.S. is acknowledged.</t>
  </si>
  <si>
    <t>10.1098/rsta.2017.0163</t>
  </si>
  <si>
    <t>Green Published, Green Submitted, Green Accepted, hybrid</t>
  </si>
  <si>
    <t>WOS:000432326900001</t>
  </si>
  <si>
    <t>Moffat, C; Meredith, M</t>
  </si>
  <si>
    <t>Moffat, C.; Meredith, M.</t>
  </si>
  <si>
    <t>Shelf-ocean exchange and hydrography west of the Antarctic Peninsula: a review</t>
  </si>
  <si>
    <t>ocean; Antarctica; West Antarctic Peninsula</t>
  </si>
  <si>
    <t>CIRCUMPOLAR DEEP-WATER; NORTHERN MARGUERITE BAY; BRANSFIELD STRAIT; CONTINENTAL-SHELF; CLIMATE-CHANGE; COASTAL CURRENT; SURFACE CURRENTS; AUSTRAL SUMMER; CROSS-SHELF; RYDER BAY</t>
  </si>
  <si>
    <t>The West Antarctic Peninsula (WAP) is a highly productive marine ecosystem where extended periods of change have been observed in the form of glacier retreat, reduction of sea-ice cover and shifts in marine populations, among others. The physical environment on the shelf is known to be strongly influenced by the Antarctic Circumpolar Current flowing along the shelf slope and carrying warm, nutrient-rich water, by cold waters flooding into the northern Bransfield Strait from the Weddell Sea, by an extensive network of glaciers and ice shelves, and by strong seasonal to inter-annual variability in sea-ice formation and air-sea interactions, with significant modulation by climate modes like El Nino-Southern Oscillation and the Southern Annular Mode. However, significant gaps have remained in understanding the exchange processes between the open ocean and the shelf, the pathways and fate of oceanic water intrusions, the shelf heat and salt budgets, and the long-term evolution of the shelf properties and circulation. Here, we review how recent advances in long-term monitoring programmes, process studies and newly developed numerical models have helped bridge these gaps and set future research challenges for the WAP system. This article is part of the theme issue 'The marine system of the West Antarctic Peninsula: status and strategy for progress in a region of rapid change'.</t>
  </si>
  <si>
    <t>[Moffat, C.] Univ Delaware, Sch Marine Sci &amp; Policy, Newark, DE 19716 USA; [Meredith, M.] British Antarctic Survey, Madingley Rd, Cambridge CB3 0ET, England</t>
  </si>
  <si>
    <t>Moffat, C (corresponding author), Univ Delaware, Sch Marine Sci &amp; Policy, Newark, DE 19716 USA.</t>
  </si>
  <si>
    <t>cmoffat@udel.edu</t>
  </si>
  <si>
    <t>Moffat, Carlos F/B-3565-2015</t>
  </si>
  <si>
    <t>Moffat, Carlos F/0000-0002-7768-8275; Meredith, Michael/0000-0002-7342-7756</t>
  </si>
  <si>
    <t>NSF-OPP [1543193]; UK Natural Environment Research Council via the British Antarctic Survey's Polar Oceans programme [NE/N018095/1, NE/P003060/1]; NERC [bas0100033, NE/N018095/1] Funding Source: UKRI; Directorate For Geosciences; Office of Polar Programs (OPP) [1543193] Funding Source: National Science Foundation; Office of Polar Programs (OPP); Directorate For Geosciences [1543012, 1703310] Funding Source: National Science Foundation</t>
  </si>
  <si>
    <t>NSF-OPP(National Science Foundation (NSF)); UK Natural Environment Research Council via the British Antarctic Survey's Polar Oceans programme; NERC(UK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t>
  </si>
  <si>
    <t>C.M. was funded by NSF-OPP grant no. 1543193. M.M. was funded by the UK Natural Environment Research Council via the British Antarctic Survey's Polar Oceans programme and via awards NE/N018095/1 and NE/P003060/1.</t>
  </si>
  <si>
    <t>10.1098/rsta.2017.0164</t>
  </si>
  <si>
    <t>WOS:000432326900002</t>
  </si>
  <si>
    <t>Schofield, O; Brown, M; Kohut, J; Nardelli, S; Saba, G; Waite, N; Ducklow, H</t>
  </si>
  <si>
    <t>Schofield, Oscar; Brown, Michael; Kohut, Josh; Nardelli, Schuyler; Saba, Grace; Waite, Nicole; Ducklow, Hugh</t>
  </si>
  <si>
    <t>Changes in the upper ocean mixed layer and phytoplankton productivity along the West Antarctic Peninsula</t>
  </si>
  <si>
    <t>West Antarctic Peninsula; chlorophyll a; phytoplankton; upper mixed layer depth</t>
  </si>
  <si>
    <t>CIRCUMPOLAR DEEP-WATER; RAPID CLIMATE-CHANGE; CONTINENTAL-SHELF; SOUTHERN-OCEAN; SEA-ICE; VARIABILITY; 20TH-CENTURY; IRRADIANCE; REGION</t>
  </si>
  <si>
    <t>The West Antarctic Peninsula (WAP) has experienced significant change over the last 50 years. Using a 24 year spatial time series collected by the Palmer Long Term Ecological Research programme, we assessed long-term patterns in the sea ice, upper mixed layer depth (MLD) and phytoplankton productivity. The number of sea ice days steadily declined from the 1980s until a recent reversal that began in 2008, Results show regional differences between the northern and southern regions sampled during regional ship surveys conducted each austral summer. In the southern WAP, upper ocean MLD has shallowed by a factor of 2. Associated with the shallower mixed layer is enhanced phytoplankton carbon fixation. In the north, significant interannual variability resulted in the mixed layer showing no trended change over time and there was no significant increase in the phytoplankton productivity. Associated with the recent increases in sea ice there has been an increase in the photosynthetic efficiency (chlorophyll a-normalized carbon fixation) in the northern and southern regions of the WAP. We hypothesize the increase in sea ice results in increased micronutrient delivery to the continental shelf which in turn leads to enhanced photosynthetic performance. This article is part of the theme issue 'The marine system of the West Antarctic Peninsula: status and strategy for progress in a region of rapid change'.</t>
  </si>
  <si>
    <t>[Schofield, Oscar; Brown, Michael; Kohut, Josh; Nardelli, Schuyler; Saba, Grace; Waite, Nicole] Rutgers State Univ, Ctr Ocean Observing Leadership, Dept Marine &amp; Coastal Sci, Sch Environm &amp; Biol Sci, New Brunswick, NJ 08901 USA; [Ducklow, Hugh] Columbia Univ, Lamont Doherty Earth Observ, Palisades, NY 10964 USA</t>
  </si>
  <si>
    <t>Rutgers University System; Rutgers University New Brunswick; Columbia University</t>
  </si>
  <si>
    <t>Schofield, O (corresponding author), Rutgers State Univ, Ctr Ocean Observing Leadership, Dept Marine &amp; Coastal Sci, Sch Environm &amp; Biol Sci, New Brunswick, NJ 08901 USA.</t>
  </si>
  <si>
    <t>oscars@marine.rutgers.edu</t>
  </si>
  <si>
    <t>; Schofield, Oscar/H-4169-2018</t>
  </si>
  <si>
    <t>Waite, Nicole/0000-0002-1107-4959; Schofield, Oscar/0000-0003-2359-4131; Nardelli, Schuyler/0000-0001-7926-9018</t>
  </si>
  <si>
    <t>US National Science Foundation [OPP-0823101]; NASA ROSES award [NNX14AL86G]; Directorate For Geosciences; Office of Polar Programs (OPP) [1440435, 1326541] Funding Source: National Science Foundation</t>
  </si>
  <si>
    <t>US National Science Foundation(National Science Foundation (NSF)); NASA ROSES award; Directorate For Geosciences; Office of Polar Programs (OPP)(National Science Foundation (NSF)NSF - Directorate for Geosciences (GEO))</t>
  </si>
  <si>
    <t>Palmer LTER was supported by the US National Science Foundation awards OPP-0823101. Also the NASA ROSES award NNX14AL86G provided support for this effort.</t>
  </si>
  <si>
    <t>10.1098/rsta.2017.0173</t>
  </si>
  <si>
    <t>WOS:000432326900009</t>
  </si>
  <si>
    <t>Stefels, J; van Leeuwe, MA; Jones, EM; Meredith, MP; Venables, HJ; Webb, AL; Henley, SF</t>
  </si>
  <si>
    <t>Stefels, Jacqueline; van Leeuwe, Maria A.; Jones, Elizabeth M.; Meredith, Michael P.; Venables, Hugh J.; Webb, Alison L.; Henley, Sian F.</t>
  </si>
  <si>
    <t>Impact of sea-ice melt on dimethyl sulfide (sulfoniopropionate) inventories in surface waters of Marguerite Bay, West Antarctic Peninsula</t>
  </si>
  <si>
    <t>dimethyl sulfide; dimethyl sulfoniopropionate; sea ice; phytoplankton community structure; haptophytes; West Antarctic Peninsula</t>
  </si>
  <si>
    <t>PHYTOPLANKTON COMMUNITY STRUCTURE; SINKING ORGANIC-MATTER; DIMETHYLSULFONIOPROPIONATE DMSP; INTERANNUAL VARIABILITY; ATLANTIC SECTOR; OCEAN; CARBON; STRATIFICATION; CHLOROPHYLL; TEMPERATURE</t>
  </si>
  <si>
    <t>The Southern Ocean is a hotspot of the climate-relevant organic sulfur compound dimethyl sulfide (DMS). Spatial and temporal variability in DMS concentration is higher than in any other oceanic region, especially in the marginal ice zone. During a one-week expedition across the continental shelf of the West Antarctic Peninsula (WAP), from the shelf break into Marguerite Bay, in January 2015, spatial heterogeneity of DMS and its precursor dimethyl sulfoniopropionate (DMSP) was studied and linked with environmental conditions, including seaice melt events. Concentrations of sulfur compounds, particulate organic carbon (POC) and chlorophyll a in the surface waters varied by a factor of 5-6 over the entire transect, DMS and DMSP concentrations were an order of magnitude higher than currently inferred in climatologies for the WAP region. Particulate DMSP concentrations were correlated most strongly with POC and the abundance of haptophyte algae within the phytoplankton community, which, in turn, was linked with sea-ice melt. The strong sea-ice signal in the distribution of DMS(P) implies that DMS(P) production is likely to decrease with ongoing reductions in sea-ice cover along the WAP. This has implications for feedback processes on the region's climate system. This article is part of the theme issue 'The marine system of the West Antarctic Peninsula: status and strategy for progress in a region of rapid change'.</t>
  </si>
  <si>
    <t>[Stefels, Jacqueline; van Leeuwe, Maria A.; Webb, Alison L.] Univ Groningen, Groningen Inst Evolutionary Life Sci, Nijenborgh 7, NL-9747 AG Groningen, Netherlands; [Jones, Elizabeth M.] Univ Groningen, Ctr Energy &amp; Environm Sci, Nijenborgh 6, NL-9747 AG Groningen, Netherlands; [Meredith, Michael P.; Venables, Hugh J.] British Antarctic Survey, Madingley Rd, Cambridge CB3 0ET, England; [Henley, Sian F.] Univ Edinburgh, Sch GeoSci, James Hutton Rd, Edinburgh EH9 3FE, Midlothian, Scotland; [Jones, Elizabeth M.] Inst Marine Res, Postboks 6606 Langnes, N-9296 Tromso, Norway</t>
  </si>
  <si>
    <t>University of Groningen; University of Groningen; UK Research &amp; Innovation (UKRI); Natural Environment Research Council (NERC); NERC British Antarctic Survey; University of Edinburgh; Institute of Marine Research - Norway</t>
  </si>
  <si>
    <t>Stefels, J (corresponding author), Univ Groningen, Groningen Inst Evolutionary Life Sci, Nijenborgh 7, NL-9747 AG Groningen, Netherlands.</t>
  </si>
  <si>
    <t>j.stefels@rug.nl</t>
  </si>
  <si>
    <t>Meredith, Michael/0000-0002-7342-7756; Henley, Sian Frances/0000-0003-1221-1983</t>
  </si>
  <si>
    <t>Dutch Science Foundation (NWO) under the Polar Program [866.10.101, 866.14.101]; Netherlands Polar Program at NWO [866.13.006]; UK Natural Environment Research Council (NERC) [NE/K010034/1]; British Antarctic Survey's Polar Oceans programme; NERC [NE/K010034/1, bas0100033] Funding Source: UKRI</t>
  </si>
  <si>
    <t>Dutch Science Foundation (NWO) under the Polar Program; Netherlands Polar Program at NWO; UK Natural Environment Research Council (NERC)(UK Research &amp; Innovation (UKRI)Natural Environment Research Council (NERC)); British Antarctic Survey's Polar Oceans programme; NERC(UK Research &amp; Innovation (UKRI)Natural Environment Research Council (NERC))</t>
  </si>
  <si>
    <t>J.S., M.A.v.L. and A.L.W. were funded through the Dutch Science Foundation (NWO) under the Polar Program, project numbers 866.10.101 and 866.14.101. E.M.J. was funded through project 866.13.006 under the Netherlands Polar Program at NWO. S.F.H. and the JR307 cruise were funded by the UK Natural Environment Research Council (NERC) through an independent research fellowship (NE/K010034/1) and the British Antarctic Survey's Polar Oceans programme.</t>
  </si>
  <si>
    <t>10.1098/rsta.2017.0169</t>
  </si>
  <si>
    <t>WOS:000432326900006</t>
  </si>
  <si>
    <t>Muller-Karger, FE; Miloslavich, P; Bax, NJ; Simmons, S; Costello, MJ; Pinto, IS; Canonico, G; Turner, W; Gill, M; Montes, E; Best, BD; Pearlman, J; Halpin, P; Dunn, D; Benson, A; Martin, CS; Weatherdon, LV; Appeltans, W; Provoost, P; Klein, E; Kelble, CR; Miller, RJ; Chavez, FP; Iken, K; Chiba, S; Obura, D; Navarro, LM; Pereira, HM; Allain, V; Batten, S; Benedetti-Checchi, L; Duffy, JE; Kudela, RM; Rebelo, LM; Shin, Y; Geller, G</t>
  </si>
  <si>
    <t>Muller-Karger, Frank E.; Miloslavich, Patricia; Bax, Nicholas J.; Simmons, Samantha; Costello, Mark J.; Pinto, Isabel Sousa; Canonico, Gabrielle; Turner, Woody; Gill, Michael; Montes, Enrique; Best, Benjamin D.; Pearlman, Jay; Halpin, Patrick; Dunn, Daniel; Benson, Abigail; Martin, Corinne S.; Weatherdon, Lauren V.; Appeltans, Ward; Provoost, Pieter; Klein, Eduardo; Kelble, Christopher R.; Miller, Robert J.; Chavez, Francisco P.; Iken, Katrin; Chiba, Sanae; Obura, David; Navarro, Laetitia M.; Pereira, Henrique M.; Allain, Valerie; Batten, Sonia; Benedetti-Checchi, Lisandro; Duffy, J. Emmett; Kudela, Raphael M.; Rebelo, Lisa-Maria; Shin, Yunne; Geller, Gary</t>
  </si>
  <si>
    <t>Advancing Marine Biological Observations and Data Requirements of the Complementary Essential Ocean Variables (EOVs) and Essential Biodiversity Variables (EBVs) Frameworks</t>
  </si>
  <si>
    <t>essential ocean variables (EOV); essential biodiversity variables (EBV); marine biodiversity observation network (MBON); global ocean observing system(GOOS); ocean biogeographic information system(OBIS); marine global earth observatory (MarineGEO); integrated marine biosphere research (IMBeR)</t>
  </si>
  <si>
    <t>TIME-SERIES; EARTH OBSERVATION; TOP-DOWN; MANAGEMENT; CLASSIFICATION; CONSERVATION; ZOOPLANKTON; PUBLICATION; PRIORITIES; DIVERSITY</t>
  </si>
  <si>
    <t>Measurements of the status and trends of key indicators for the ocean and marine life are required to inform policy and management in the context of growing human uses of marine resources, coastal development, and climate change. Two synergistic efforts identify specific priority variables for monitoring: Essential Ocean Variables (EOVs) through the Global Ocean Observing System (GOOS), and Essential Biodiversity Variables (EBVs) from the Group on Earth Observations Biodiversity Observation Network (GEO BON) (see Data Sheet 1 in Supplementary Materials for a glossary of acronyms). Both systems support reporting against internationally agreed conventions and treaties. GOOS, established under the auspices of the Intergovernmental Oceanographic Commission (IOC), plays a leading role in coordinating global monitoring of the ocean and in the definition of EOVs. GEO BON is a global biodiversity observation network that coordinates observations to enhance management of the world's biodiversity and promote both the awareness and accounting of ecosystem services. Convergence and agreement between these two efforts are required to streamline existing and new marine observation programs to advance scientific knowledge effectively and to support the sustainable use and management of ocean spaces and resources. In this context, the Marine Biodiversity Observation Network (MBON), a thematic component of GEO BON, is collaborating with GOOS, the Ocean Biogeographic Information System (OBIS), and the Integrated Marine Biosphere Research (IMBeR) project to ensure that EBVs and EOVs are complementary, representing alternative uses of a common set of scientific measurements. This work is informed by the Joint Technical Commission for Oceanography and Marine Meteorology (JCOMM), an intergovernmental body of technical experts that helps international coordination on best practices for observing, data management and services, combined with capacity development expertise. Characterizing biodiversity and understanding its drivers will require incorporation of observations from traditional and molecular taxonomy, animal tagging and tracking efforts, ocean biogeochemistry, and ocean observatory initiatives including the deep ocean and seafloor. The partnership between large-scale ocean observing and product distribution initiatives (MBON, OBIS, JCOMM, and GOOS) is an expedited, effective way to support international policy-level assessments (e.g., the Intergovernmental Science-Policy Platform on Biodiversity and Ecosystem Services or IPBES), along with the implementation of international development goals (e.g., the United Nations Sustainable Development Goals).</t>
  </si>
  <si>
    <t>[Muller-Karger, Frank E.; Montes, Enrique] Univ South Florida St Petersburg, Coll Marine Sci, St Petersburg, FL 33701 USA; [Miloslavich, Patricia; Bax, Nicholas J.] Univ Tasmania, Inst Marine &amp; Antarctic Studies, Hobart, Tas, Australia; [Miloslavich, Patricia; Klein, Eduardo] Univ Simon Bolivar, Dept Estudios Ambientales, Caracas, Venezuela; [Bax, Nicholas J.] Commonwealth Sci &amp; Ind Res Org Oceans &amp; Atmospher, Canberra, ACT, Australia; [Simmons, Samantha] US Marine Mammal Commiss, Washington, DC USA; [Costello, Mark J.] Univ Auckland, Inst Marine Sci, Auckland, New Zealand; [Pinto, Isabel Sousa] Univ Porto, Ctr Marine &amp; Environm Res, Porto, Portugal; [Canonico, Gabrielle] NOAA, US Integrated Ocean Observing Syst Program Off, Silver Spring, MD USA; [Turner, Woody] NASA, Washington, DC 20546 USA; [Gill, Michael] NatureServe, Canning, NS, Canada; [Best, Benjamin D.] EcoQuants LLC, Santa Barbara, CA USA; [Pearlman, Jay] Fourbridges, Seattle, WA USA; [Halpin, Patrick; Dunn, Daniel] Duke Univ, Nicholas Sch Environm, Durham, NC 27708 USA; [Benson, Abigail] US Geol Survey, Boulder, CO USA; [Martin, Corinne S.; Weatherdon, Lauren V.] United Nations Environm World Conservat Monitorin, Cambridge, England; [Appeltans, Ward; Provoost, Pieter; Klein, Eduardo; Chiba, Sanae] Intergovt Oceanog Commiss UNESCO, Ocean Biogeog Informat Syst, Oostende, Belgium; [Kelble, Christopher R.] NOAA, Atlantic Oceanog &amp; Meteorol Lab, Miami, FL 33149 USA; [Miller, Robert J.] Univ Calif Santa Barbara, Inst Marine Sci, Santa Barbara, CA 93106 USA; [Chavez, Francisco P.] Monterey Bay Aquarium Res Inst, Monterey, CA USA; [Iken, Katrin] Univ Alaska Fairbanks, Coll Fisheries &amp; Ocean Sci, Fairbanks, AK USA; [Chiba, Sanae] Japan Agcy Marine Earth Sci &amp; Technol JAMSTEC, Yokohama, Kanagawa, Japan; [Obura, David] Coastal Oceans Res &amp; Dev Indian Ocean CORDIO East, Mombasa, Kenya; [Navarro, Laetitia M.; Pereira, Henrique M.] Martin Luther Univ Halle Wittenberg, Inst Biol, Halle, Germany; [Navarro, Laetitia M.; Pereira, Henrique M.] German Ctr Integrat Biodivers Res iDiv, Leipzig, Germany; [Pereira, Henrique M.] Univ Porto, CIBIO InBIO, Ctr Invest Biodiversidade &amp; Recursos Genet, Catedra REFER Biodiveridade, Vairao, Portugal; [Allain, Valerie] Pacific Community, Noumea, New Caledonia; [Batten, Sonia] Marine Biol Assoc UK, CPR Survey, Nanaimo, BC, Canada; [Benedetti-Checchi, Lisandro] Univ Pisa, Dept Biol, Pisa, Italy; [Duffy, J. Emmett] Smithsonian Environm Res Ctr, POB 28, Edgewater, MD 21037 USA; [Kudela, Raphael M.] Univ Calif Santa Cruz, Inst Marine Sci, Santa Cruz, CA 95064 USA; [Rebelo, Lisa-Maria] Int Water Management Inst, Colombo, Sri Lanka; [Shin, Yunne] Inst Rech Dev, Sete, France; [Geller, Gary] CALTECH, Jet Prop Lab, Pasadena, CA USA</t>
  </si>
  <si>
    <t>State University System of Florida; University of South Florida; University of Tasmania; Simon Bolivar University; Commonwealth Scientific &amp; Industrial Research Organisation (CSIRO); University of Auckland; Universidade do Porto; National Oceanic Atmospheric Admin (NOAA) - USA; National Aeronautics &amp; Space Administration (NASA); Duke University; United States Department of the Interior; United States Geological Survey; National Oceanic Atmospheric Admin (NOAA) - USA; Atlantic Oceanographic &amp; Meteorological Laboratory (AOML); University of California System; University of California Santa Barbara; Monterey Bay Aquarium Research Institute; University of Alaska System; University of Alaska Fairbanks; Japan Agency for Marine-Earth Science &amp; Technology (JAMSTEC); Martin Luther University Halle Wittenberg; Universidade do Porto; University of Pisa; Smithsonian Institution; Smithsonian Environmental Research Center; University of California System; University of California Santa Cruz; CGIAR; International Water Management Institute (IWMI); Institut de Recherche pour le Developpement (IRD); California Institute of Technology; National Aeronautics &amp; Space Administration (NASA); NASA Jet Propulsion Laboratory (JPL)</t>
  </si>
  <si>
    <t>Muller-Karger, FE (corresponding author), Univ South Florida St Petersburg, Coll Marine Sci, St Petersburg, FL 33701 USA.</t>
  </si>
  <si>
    <t>carib@usf.edu</t>
  </si>
  <si>
    <t>Kelble, Christopher R/A-8511-2008; Pinto, Isabel Sousa/W-1591-2019; Duffy, J. Emmett/ABF-9200-2020; Benedetti-Cecchi, Lisandro/J-8225-2019; Bax, Nicholas J/A-2321-2012; Pereira, Henrique/B-3975-2009; Allain, Valerie/AAE-1449-2019; Navarro, Laetitia M./F-5461-2011; Shin, Yunne-Jai/A-7575-2012; Martin, Corinne/G-9041-2011</t>
  </si>
  <si>
    <t>Pinto, Isabel Sousa/0000-0002-9231-0553; Duffy, J. Emmett/0000-0001-8595-6391; Benedetti-Cecchi, Lisandro/0000-0001-5244-5202; Pereira, Henrique/0000-0003-1043-1675; Allain, Valerie/0000-0002-9874-3077; Navarro, Laetitia M./0000-0003-1099-5147; Weatherdon, Lauren V./0000-0002-3989-027X; Benson, Abigail/0000-0002-4391-107X; Miller, Robert/0000-0002-8350-3759; Shin, Yunne-Jai/0000-0002-7259-9265; Dunn, Daniel/0000-0001-8932-0681; Martin, Corinne/0000-0002-5428-2766; Rebelo, Lisa-Maria/0000-0002-8785-7810; Simmons, Samantha/0000-0003-0326-6990; Montes, Enrique/0000-0002-3103-4479; Geller, Gary/0000-0002-4490-6002; Miloslavich, Patricia/0000-0001-5409-1401</t>
  </si>
  <si>
    <t>Scientific Committee onOceanic Research (SCOR); Future Earth; US National Ocean Partnership Program [NOPP RFP NOAA-NOS-IOOS-2014-2003803]; NASA [NNX14AP62A, NNX14AR62A]; BOEM award [MC15AC00006]; NOPP grant [NA14NOs0120158]; BOEM; NOAA; Shell Oil Company; NSF [1723374, 1728913]; ODYSSEA - European Union's Horizon 2020 research and innovation programme [727277]; EU's H2020 ECOPOTENTIAL project [641762]; H2020 Societal Challenges Programme [727277] Funding Source: H2020 Societal Challenges Programme; Division Of Ocean Sciences; Directorate For Geosciences [1728913] Funding Source: National Science Foundation</t>
  </si>
  <si>
    <t>Scientific Committee onOceanic Research (SCOR); Future Earth; US National Ocean Partnership Program; NASA(National Aeronautics &amp; Space Administration (NASA)); BOEM award; NOPP grant; BOEM; NOAA(National Oceanic Atmospheric Admin (NOAA) - USA); Shell Oil Company(Royal Dutch Shell); NSF(National Science Foundation (NSF)); ODYSSEA - European Union's Horizon 2020 research and innovation programme; EU's H2020 ECOPOTENTIAL project; H2020 Societal Challenges Programme(Horizon 2020European Union (EU)H2020 Societal Challenges Programme); Division Of Ocean Sciences; Directorate For Geosciences(National Science Foundation (NSF)NSF - Directorate for Geosciences (GEO))</t>
  </si>
  <si>
    <t>This manuscript is a contribution to the Marine Biodiversity Observation Network (MBON) of the Group on Earth Observations Biodiversity Observation Network. It is also a contribution to the Integrated Marine Biosphere Research (IMBeR) project, which is supported by the Scientific Committee onOceanic Research (SCOR) and Future Earth. The work leading up to the manuscript was funded under the US National Ocean Partnership Program (NOPP RFP NOAA-NOS-IOOS-2014-2003803 in partnership between NOAA, BOEM, NASA, the US Integrated Ocean Observing System (IOOS) Program Office, and NSF. Specifically, the MBON work was funded through NASA grant NNX14AP62A [National Marine Sanctuaries as Sentinel Sites for a Demonstration Marine Biodiversity Observation Network (MBON)], and NASA Grant NNX14AR62A and BOEM award MC15AC00006 (The Santa Barbara Channel Biodiversity Observation Network). MBON work in the Arctic [Initiating an Arctic Marine Biodiversity Observing Network (AMBON)] was funded by NOPP grant NA14NOs0120158 with support from BOEM, NOAA, and Shell Oil Company. Funds for AMBON were also provided by NSF through Supplement grant 1723374 to NSF 1204082 (Collaborative Research: The Distributed Biological Observatory (DBO)-A Change Detection Array in the Pacific Arctic Region). Additional support was provided by NSF grant number 1728913 (Research Coordination Networks (RCN): Sustained Multidisciplinary Ocean Observations-the OceanObs RCN). Mention of trade names or commercial products does not constitute endorsement or recommendation for use by the US Government. The views expressed in this article are those of the authors and do not necessarily reflect the views or policies of US government agencies. Corinne Martin and Lauren Weatherdon are supported by ODYSSEA (http://odysseaplatform.eu/), a project funded by the European Union's Horizon 2020 research and innovation programme, under grant agreement No 727277. OBIS staff has received funding from EU's H2020 ECOPOTENTIAL project (grant agreement No 641762). The manuscript benefitted substantially from the comments and recommendations received from two reviewers (Emmanuel Devred and Maciej Telszewski) and from the editors, including Johannes Karstensen.</t>
  </si>
  <si>
    <t>JUN 27</t>
  </si>
  <si>
    <t>10.3389/fmars.2018.00211</t>
  </si>
  <si>
    <t>HJ4SP</t>
  </si>
  <si>
    <t>Green Published, Green Accepted, Green Submitted, gold</t>
  </si>
  <si>
    <t>WOS:000457164900001</t>
  </si>
  <si>
    <t>Peart, RA</t>
  </si>
  <si>
    <t>Peart, Rachael A.</t>
  </si>
  <si>
    <t>Antarctic and New Zealand Byblisoides (Amphipoda: Ampeliscidae) with a key to the world species</t>
  </si>
  <si>
    <t>Ampeliscidae; Byblisoides; New Zealand; key</t>
  </si>
  <si>
    <t>EASTERN NORTH AMERICA; ATLANTIC OCEAN; CRUSTACEA; GENUS; NORTHEASTERN; HAPLOOPS; COASTS</t>
  </si>
  <si>
    <t>The family Ampeliscidae is a species diverse family ranging from shallow waters to over 4000 m depth. Within this family, however, one genus, Byblisoides has few species and is generally found in deep water. The conservative morphology of other species of Byblisoides is also evident in the new species described here. This study extends the known species composition of the genus from seven species to nine. A key to world species is updated.</t>
  </si>
  <si>
    <t>[Peart, Rachael A.] Natl Inst Water &amp; Atmospher Res Ltd, Coasts &amp; Oceans, Private Bag 14-901, Wellington 6241, New Zealand</t>
  </si>
  <si>
    <t>National Institute of Water &amp; Atmospheric Research (NIWA) - New Zealand</t>
  </si>
  <si>
    <t>Peart, RA (corresponding author), Natl Inst Water &amp; Atmospher Res Ltd, Coasts &amp; Oceans, Private Bag 14-901, Wellington 6241, New Zealand.</t>
  </si>
  <si>
    <t>rachael.peart@niwa.co.nz</t>
  </si>
  <si>
    <t>Peart, Rachael/AAQ-5286-2021</t>
  </si>
  <si>
    <t>Peart, Rachael/0000-0001-5968-0811</t>
  </si>
  <si>
    <t>NIWA under Coasts and Oceans research core funding for Crown Research Institutes from the New Zealand Ministry of Business, Innovation and Employment's Science and Innovation Group; MBIE Smart Ideas [C01X1620]; New Zealand Ministry of Business, Innovation &amp; Employment (MBIE) [C01X1620] Funding Source: New Zealand Ministry of Business, Innovation &amp; Employment (MBIE)</t>
  </si>
  <si>
    <t>NIWA under Coasts and Oceans research core funding for Crown Research Institutes from the New Zealand Ministry of Business, Innovation and Employment's Science and Innovation Group(New Zealand Ministry of Business, Innovation and Employment (MBIE)); MBIE Smart Ideas(New Zealand Ministry of Business, Innovation and Employment (MBIE)); New Zealand Ministry of Business, Innovation &amp; Employment (MBIE)(New Zealand Ministry of Business, Innovation and Employment (MBIE))</t>
  </si>
  <si>
    <t>The author is immensely indebted to Sadie Mills who constructed the maps. Many thanks also to Sadie Mills, Caroline Chin and Diana Macpherson of the NIWA Invertebrate Collection, for curation and registering the material. Thanks to Dr Richard Wysoczanski (NIWA) and Dr Monica Handler (VUW) for the opportunity to examine the material as part of the CAIME project. Thanks also to the reviewers who have contributed their time in making this a better paper. RP was funded by NIWA under Coasts and Oceans research core funding for Crown Research Institutes from the New Zealand Ministry of Business, Innovation and Employment's Science and Innovation Group, and a MBIE Smart Ideas funded grant-Crustaceans as indicators of Marine environmental change (contract C01X1620).</t>
  </si>
  <si>
    <t>10.11646/zootaxa.4441.2.9</t>
  </si>
  <si>
    <t>GK5YE</t>
  </si>
  <si>
    <t>WOS:000436255700009</t>
  </si>
  <si>
    <t>Menviel, L; Spence, P; Yu, J; Chamberlain, MA; Matear, RJ; Meissner, KJ; England, MH</t>
  </si>
  <si>
    <t>Menviel, L.; Spence, P.; Yu, J.; Chamberlain, M. A.; Matear, R. J.; Meissner, K. J.; England, M. H.</t>
  </si>
  <si>
    <t>Southern Hemisphere westerlies as a driver of the early deglacial atmospheric CO2 rise</t>
  </si>
  <si>
    <t>AUSTRALIAN COMMUNITY CLIMATE; SYSTEM SIMULATOR ACCESS-ESM1; DEEP-WATER FORMATION; CARBON-CYCLE; OCEAN CIRCULATION; NORTH-ATLANTIC; ICE CORE; LAST; MODEL; PACIFIC</t>
  </si>
  <si>
    <t>The early part of the last deglaciation is characterised by a similar to 40 ppm atmospheric CO2 rise occurring in two abrupt phases. The underlying mechanisms driving these increases remain a subject of intense debate. Here, we successfully reproduce changes in CO2, delta C-13 and Delta C-14 as recorded by paleo-records during Heinrich stadial 1 (HS1). We show that HS1 CO2 increase can be explained by enhanced Southern Ocean upwelling of carbon-rich Pacific deep and intermediate waters, resulting from intensified Southern Ocean convection and Southern Hemisphere (SH) westerlies. While enhanced Antarctic Bottom Water formation leads to a millennial CO2 outgassing, intensified SH westerlies induce a multi-decadal atmospheric CO2 rise. A strengthening of SH westerlies in a global eddy-permitting ocean model further supports a multi-decadal CO2 outgassing from the Southern Ocean. Our results highlight the crucial role of SH westerlies in the global climate and carbon cycle system with important implications for future climate projections.</t>
  </si>
  <si>
    <t>[Menviel, L.; Spence, P.; Meissner, K. J.; England, M. H.] Univ New South Wales, Climate Change Res Ctr, Sydney, NSW 2052, Australia; [Menviel, L.; Spence, P.; Meissner, K. J.; England, M. H.] Univ New South Wales, ARC Ctr Excellence Climate Syst Sci, Sydney, NSW 2052, Australia; [Menviel, L.] Macquarie Univ, Dept Earth &amp; Planetary Sci, Sydney, NSW 2109, Australia; [Yu, J.] Australian Natl Univ, Res Sch Earth Sci, GPO Box 4, Canberra, ACT 0200, Australia; [Chamberlain, M. A.; Matear, R. J.] CSIRO Oceans &amp; Atmosphere, Hobart, Tas 7004, Australia</t>
  </si>
  <si>
    <t>University of New South Wales Sydney; ARC Centre of Excellence for Climate System Science; University of New South Wales Sydney; Macquarie University; Australian National University; Commonwealth Scientific &amp; Industrial Research Organisation (CSIRO)</t>
  </si>
  <si>
    <t>Menviel, L (corresponding author), Univ New South Wales, Climate Change Res Ctr, Sydney, NSW 2052, Australia.;Menviel, L (corresponding author), Univ New South Wales, ARC Ctr Excellence Climate Syst Sci, Sydney, NSW 2052, Australia.;Menviel, L (corresponding author), Macquarie Univ, Dept Earth &amp; Planetary Sci, Sydney, NSW 2109, Australia.</t>
  </si>
  <si>
    <t>l.menviel@unsw.edu.au</t>
  </si>
  <si>
    <t>Menviel, Laurie/O-7833-2019; England, Matthew/A-7539-2011; Chamberlain, Matthew/D-4805-2012; Spence, Paul/IZE-7366-2023; Yu, Jimin/I-7770-2012; matear, richard/C-5133-2011; Menviel, Laurie/D-6902-2013</t>
  </si>
  <si>
    <t>England, Matthew/0000-0001-9696-2930; Spence, Paul/0000-0001-5156-2204; Yu, Jimin/0000-0002-3896-1777; Meissner, Katrin/0000-0002-0716-7415; matear, richard/0000-0002-3225-0800; Chamberlain, Matthew/0000-0002-3287-3282; Menviel, Laurie/0000-0002-5068-1591</t>
  </si>
  <si>
    <t>Australian Research Council [DE150100107, DP180100048, DE150100223, FT140100993, DP140101393]; UNSW Science Goldstar award; [NSFC41676026]; Australian Research Council [DE150100107, FT140100993, DE150100223] Funding Source: Australian Research Council</t>
  </si>
  <si>
    <t>Australian Research Council(Australian Research Council); UNSW Science Goldstar award; ; Australian Research Council(Australian Research Council)</t>
  </si>
  <si>
    <t>This project was supported by the Australian Research Council. L. Menviel, K. Meissner, P. Spence and J. Yu acknowledge funding from the Australian Research Council grants DE150100107, DP180100048, DE150100223, FT140100993 and DP140101393 as well as from NSFC41676026. K. Meissner acknowledges support from the UNSW Science Goldstar award. LOVECLIM experiments were performed on a computational cluster owned by the Faculty of Science of the University of New South Wales, Sydney, Australia. MOM5 experiments were performed on the Australian NCI super computer Raijin. Figure 2 was done with the help of Dr. Alex Sen Gupta.</t>
  </si>
  <si>
    <t>10.1038/s41467-018-04876-4</t>
  </si>
  <si>
    <t>GK9DU</t>
  </si>
  <si>
    <t>WOS:000436540700021</t>
  </si>
  <si>
    <t>Cantero, ALP; Marzal, MF</t>
  </si>
  <si>
    <t>Pena Cantero, Alvaro L.; Fresneda Marzal, Marina</t>
  </si>
  <si>
    <t>Benthic hydroids (Cnidaria: Hydrozoa) from off George V Coast (East Antarctica)</t>
  </si>
  <si>
    <t>Hydrozoa; Biodiversity; Antarctica; George V Coast; new species; new records; CEAMARC</t>
  </si>
  <si>
    <t>GENUS SCHIZOTRICHA ALLMAN; OSWALDELLA STECHOW; STAUROTHECA ALLMAN; SOUTHERN-OCEAN; EXPEDITIONS; US; LEPTOTHECATA; POLARSTERN; KIRCHENPAUERIIDAE; HALOPTERIDIDAE</t>
  </si>
  <si>
    <t>Hydrozoans are one of the main and most characteristic zoological groups of Antarctic benthic communities, yet there are Antarctic areas where the hydrozoan fauna is completely unknown or scarcely known as off George V Coast (East Antarctica). Hitherto, only two studies have dealt with hydroids from this area and only 16 species have been reported. The present study contributes to increase knowledge of the benthic hydroid fauna off George V Coast by studying material collected during a sampling survey associated with the CEAMARC project. A total of 12 species of benthic hydroids were found. Anthoathecata is only represented by Bimeria corynopsis, the remaining species, including Schizotricha auroraaustralis sp. nov., belong to Leptothecata. Seven of the 12 species found in the study represent new records for the area; therefore, the number of benthic hydroids known off George V Coast is raised to 23. Staurotheca is the most speciose genus, represented by three species, followed by Schizotricha with two; the remaining genera are each represented by a single species. All species are restricted to Antarctic or Antarctic/sub-Antarctic waters. Nine species (75%) are endemic to the Antarctic region, most with a circum-Antarctic distribution (7 species); only two are endemic to East Antarctica. Three species are also distributed in sub-Antarctic waters.</t>
  </si>
  <si>
    <t>[Pena Cantero, Alvaro L.; Fresneda Marzal, Marina] Univ Valencia, Dept Zool, Inst Cavanilles Biodiversidad &amp; Biol Evolut, Apdo Correos 22085, Valencia 46071, Spain</t>
  </si>
  <si>
    <t>alvaro.l.pena@uv.es</t>
  </si>
  <si>
    <t>SYNTHESYS Project - European Community Research Infrastructure Action under the FP7 Integrating Activities Programme</t>
  </si>
  <si>
    <t>The authors want to express their gratitude to Dr. Marc Elaume and Dr. Cyril Gallut, from the Museum National d'Histoire Naturelle of Paris, for giving us the opportunity to study this hydroid material, and to Dr. Aude Andouche, from the same institution, for her help with different aspects related to the collection. This research received support from the SYNTHESYS Project http://www.synthesys.info/ which is financed by European Community Research Infrastructure Action under the FP7 Integrating Activities Programme. We also thank Borja Mercado Casares for his help with figure 1.</t>
  </si>
  <si>
    <t>JUN 26</t>
  </si>
  <si>
    <t>10.11646/zootaxa.4441.1.7</t>
  </si>
  <si>
    <t>GK3UN</t>
  </si>
  <si>
    <t>WOS:000436073900007</t>
  </si>
  <si>
    <t>Cefarelli, AO; Mascioni, M; Simonato, J; Almandoz, GO; Vernet, M</t>
  </si>
  <si>
    <t>Cefarelli, Adrian O.; Mascioni, Martina; Simonato, Julian; Almandoz, Gaston O.; Vernet, Maria</t>
  </si>
  <si>
    <t>Haslea crucigeroides var. australis, var. nov. (Bacillariophyta), a new marine diatom from southern South America and Antarctica</t>
  </si>
  <si>
    <t>Diatom; Haslea crucigeroides; Beagle Channel; Antarctica</t>
  </si>
  <si>
    <t>SPECIES BACILLARIOPHYCEAE; GYROSIGMA; BRAZIL; OCEAN; BLUE; SEA</t>
  </si>
  <si>
    <t>A new variety of the marine diatom Haslea crucigeroides, H. crucigeroides var. australis, var. nov., is described here based on phytoplankton samples collected in sub-Antarctic coastal waters of the southern South America and Antarctica. The new taxon was characterized by using light and electron microscopy, and the holotype of H. crucigeroides, the only existing material type, was analyzed with light microscopy. Haslea crucigeroides var. australis differs from the nominal variety by having acute valve apices instead of acute rostrate; furthermore, it has a different geographical distribution. The species is being recorded in the Southern Hemisphere for the first time. Cell abundance and a brief discussion on the species habitat are also presented.</t>
  </si>
  <si>
    <t>[Cefarelli, Adrian O.] Univ Nacl Patagonia San Juan Bosco, Inst Desarrollo Costero, Ruta Prov 1 Km 4, RA-9005 Comodoro Rivadavia, Argentina; [Cefarelli, Adrian O.] Consejo Nacl Invest Cient &amp; Tecn, Ctr Invest &amp; Transferencia Golfo San Jorge, Ruta Prov 1 Km 4, RA-9005 Comodoro Rivadavia, Argentina; [Mascioni, Martina; Simonato, Julian; Almandoz, Gaston O.] Univ Nacl La Plata, Div Ficol, Fac Ciencias Nat &amp; Museo, Paseo Bosque S-N, RA-1900 La Plata, Buenos Aires, Argentina; [Mascioni, Martina; Simonato, Julian; Almandoz, Gaston O.] Consejo Nacl Invest Cient &amp; Tecn, Godoy Cruz 2290,C1425FQB, Buenos Aires, DF, Argentina; [Vernet, Maria] Univ Calif San Diego, Scripps Inst Oceanog, Integrat Oceanog Div, La Jolla, CA 92093 USA</t>
  </si>
  <si>
    <t>Universidad Nacional de la Patagonia San Juan Bosco; Consejo Nacional de Investigaciones Cientificas y Tecnicas (CONICET); National University of La Plata; Museo La Plata; Consejo Nacional de Investigaciones Cientificas y Tecnicas (CONICET); University of California System; University of California San Diego; Scripps Institution of Oceanography</t>
  </si>
  <si>
    <t>Cefarelli, AO (corresponding author), Univ Nacl Patagonia San Juan Bosco, Inst Desarrollo Costero, Ruta Prov 1 Km 4, RA-9005 Comodoro Rivadavia, Argentina.;Cefarelli, AO (corresponding author), Consejo Nacl Invest Cient &amp; Tecn, Ctr Invest &amp; Transferencia Golfo San Jorge, Ruta Prov 1 Km 4, RA-9005 Comodoro Rivadavia, Argentina.</t>
  </si>
  <si>
    <t>cefarelliadrian@gmail.com</t>
  </si>
  <si>
    <t>Mascioni, Martina/ABE-4177-2020</t>
  </si>
  <si>
    <t>Mascioni, Martina/0000-0002-4994-5289; Almandoz, Gaston O./0000-0001-7931-582X</t>
  </si>
  <si>
    <t>Banco Interamericano de Desarrollo-Unidad para el Cambio Rural; US National Science Foundation [ANT-0636730]; Consejo Nacional de Investigaciones Cientificas y Tecnicas, Argentina; Consejo Interuniversitario Nacional, Argentina</t>
  </si>
  <si>
    <t>Banco Interamericano de Desarrollo-Unidad para el Cambio Rural; US National Science Foundation(National Science Foundation (NSF)); Consejo Nacional de Investigaciones Cientificas y Tecnicas, Argentina(Consejo Nacional de Investigaciones Cientificas y Tecnicas (CONICET)); Consejo Interuniversitario Nacional, Argentina</t>
  </si>
  <si>
    <t>The authors gratefully acknowledge the valuable support of Friedel Hinz and Bank Beszteri who searched the material type from the Hustedt Diatom Collection and took the photographs (Alfred Wegener Institute, Bremerhaven, Germany). We thank Patricia Sarmiento for her excellent technical assistance with SEM work in EM Service of the Museo de La Plata, Argentina. Special thanks are also given to Carina Marek and Martha Ferrario for critically reading this manuscript. This study was supported by grants from the Banco Interamericano de Desarrollo-Unidad para el Cambio Rural, and the US National Science Foundation, award ANT-0636730 to M. Vernet. A. O. Cefarelli was supported by a postdoctoral fellowship from the Consejo Nacional de Investigaciones Cientificas y Tecnicas, Argentina. M. Mascioni and J. Simonato were supported by scholarships from the Consejo Interuniversitario Nacional, Argentina.</t>
  </si>
  <si>
    <t>10.11646/phytotaxa.357.3.2</t>
  </si>
  <si>
    <t>GK4ZQ</t>
  </si>
  <si>
    <t>WOS:000436180200002</t>
  </si>
  <si>
    <t>Ishii, HA; Bradley, JP; Bechtel, HA; Brownlee, DE; Bustillo, KC; Ciston, J; Cuzzi, JN; Floss, C; Joswiak, DJ</t>
  </si>
  <si>
    <t>Ishii, Hope A.; Bradley, John P.; Bechtel, Hans A.; Brownlee, Donald E.; Bustillo, Karen C.; Ciston, James; Cuzzi, Jeffrey N.; Floss, Christine; Joswiak, David J.</t>
  </si>
  <si>
    <t>Multiple generations of grain aggregation in different environments preceded solar system body formation</t>
  </si>
  <si>
    <t>dust accretion; solar system origin; interstellar dust; cosmic dust</t>
  </si>
  <si>
    <t>INTERPLANETARY DUST PARTICLES; ULTRACARBONACEOUS ANTARCTIC MICROMETEORITES; INTERSTELLAR DUST; ORGANIC-MATTER; SIZE DISTRIBUTION; COSMIC DUST; NEBULA; ORIGIN; METEORITES; EVOLUTION</t>
  </si>
  <si>
    <t>The solar system formed from interstellar dust and gas in a molecular cloud. Astronomical observations show that typical interstellar dust consists of amorphous (a-) silicate and organic carbon. Bona fide physical samples for laboratory studies would yield unprecedented insight about solar system formation, but they were largely destroyed. The most likely repositories of surviving presolar dust are the least altered extraterrestrial materials, interplanetary dust particles (IDPs) with probable cometary origins. Cometary IDPs contain abundant submicron a-silicate grains called GEMS (glass with embedded metal and sulfides), believed to be carbon-free. Some have detectable isotopically anomalous a-silicate components from other stars, proving they are preserved dust inherited from the interstellar medium. However, it is debated whether the majority of GEMS predate the solar system or formed in the solar nebula by condensation of high-temperature (&gt;1,300 K) gas. Here, we map IDP compositions with single nanometer-scale resolution and find that GEMS contain organic carbon. Mapping reveals two generations of grain aggregation, the key process in growth from dust grains to planetesimals, mediated by carbon. GEMS grains, some with a-silicate subgrains mantled by organic carbon, comprise the earliest generation of aggregates. These aggregates (and other grains) are encapsulated in lower-density organic carbon matrix, indicating a second generation of aggregation. Since this organic carbon thermally decomposes above similar to 450 K, GEMS cannot have accreted in the hot solar nebula, and formed, instead, in the cold presolar molecular cloud and/or outer protoplanetary disk. We suggest that GEMS are consistent with surviving interstellar dust, condensed in situ, and cycled through multiple molecular clouds.</t>
  </si>
  <si>
    <t>[Ishii, Hope A.; Bradley, John P.] Univ Hawaii Manoa, Hawaii Inst Geophys &amp; Planetol, Honolulu, HI 96822 USA; [Bechtel, Hans A.] Lawrence Berkeley Natl Lab, Adv Light Source Div, Berkeley, CA 94720 USA; [Brownlee, Donald E.; Joswiak, David J.] Univ Washington, Dept Astron, Seattle, WA 98195 USA; [Bustillo, Karen C.; Ciston, James] Lawrence Berkeley Natl Lab, Natl Ctr Electron Microscopy, Mol Foundry, Berkeley, CA 94720 USA; [Cuzzi, Jeffrey N.] NASA, Ames Res Ctr, Moffett Field, CA 94035 USA; [Floss, Christine] Washington Univ, Lab Space Sci, St Louis, MO 63130 USA</t>
  </si>
  <si>
    <t>University of Hawaii System; University of Hawaii Manoa; United States Department of Energy (DOE); Lawrence Berkeley National Laboratory; University of Washington; University of Washington Seattle; United States Department of Energy (DOE); Lawrence Berkeley National Laboratory; National Aeronautics &amp; Space Administration (NASA); NASA Ames Research Center; Washington University (WUSTL)</t>
  </si>
  <si>
    <t>Ishii, HA (corresponding author), Univ Hawaii Manoa, Hawaii Inst Geophys &amp; Planetol, Honolulu, HI 96822 USA.</t>
  </si>
  <si>
    <t>hope.ishii@hawaii.edu</t>
  </si>
  <si>
    <t>McCoy, Tina/P-3402-2019; Ishii, Hope/JOZ-4512-2023; Bechtel, Hans A/I-1883-2014</t>
  </si>
  <si>
    <t>Ishii, Hope/0000-0002-7976-5078</t>
  </si>
  <si>
    <t>Office of Science, Basic Energy Sciences, US Department of Energy [DE-AC02-05CH11231]; NASA's Laboratory Analysis of Returned Samples and Emerging Worlds Programs [NNX14AH86G, NNX16AK41G]; NASA's Cosmochemistry Program [NNX14AI39G, NNX14AG25G]; NASA [NNX14AG25G, 683540, NNX14AH86G, 683484, NNX14AI39G, 681920] Funding Source: Federal RePORTER</t>
  </si>
  <si>
    <t>Office of Science, Basic Energy Sciences, US Department of Energy(United States Department of Energy (DOE)); NASA's Laboratory Analysis of Returned Samples and Emerging Worlds Programs; NASA's Cosmochemistry Program(National Aeronautics &amp; Space Administration (NASA)); NASA(National Aeronautics &amp; Space Administration (NASA))</t>
  </si>
  <si>
    <t>We acknowledge the life-long passion, talent, dedication, care, and thoughtfulness of C.F., who unfortunately passed away prior to publication of this work. We thank E. Dobrica, F. Ciesla, G. Flynn, D. Glavin, S. Sandford, S. Wirick, A. Westphal, and H. Yubata for useful discussions. We also thank the anonymous reviewers of this manuscript and of an earlier version of this manuscript. Portions of this work were performed at the Molecular Foundry and the Advanced Light Source at Lawrence Berkeley National Laboratory, which are supported by the Office of Science, Basic Energy Sciences, US Department of Energy under Contract DE-AC02-05CH11231. H.A.I. acknowledges funding by NASA's Laboratory Analysis of Returned Samples and Emerging Worlds Programs (Grants NNX14AH86G and NNX16AK41G). J.P.B. acknowledges funding by NASA's Cosmochemistry Program (Grant NNX14AI39G). C.F. acknowledges funding by NASA's Cosmochemistry Program (Grant NNX14AG25G).</t>
  </si>
  <si>
    <t>10.1073/pnas.1720167115</t>
  </si>
  <si>
    <t>GK5UZ</t>
  </si>
  <si>
    <t>WOS:000436245000053</t>
  </si>
  <si>
    <t>Jones, FM; Allen, C; Arteta, C; Arthur, J; Black, C; Emmerson, LM; Freeman, R; Hines, G; Lintott, CJ; Machácková, Z; Miller, G; Simpson, R; Southwell, C; Torsey, HR; Zisserman, A; Hart, T</t>
  </si>
  <si>
    <t>Jones, Fiona M.; Allen, Campbell; Arteta, Carlos; Arthur, Joan; Black, Caitlin; Emmerson, Louise M.; Freeman, Robin; Hines, Greg; Lintott, Chris J.; Machackova, Zuzana; Miller, Grant; Simpson, Rob; Southwell, Colin; Torsey, Holly R.; Zisserman, Andrew; Hart, Tom</t>
  </si>
  <si>
    <t>Time-lapse imagery and volunteer classifications from the Zooniverse Penguin Watch project</t>
  </si>
  <si>
    <t>CITIZEN SCIENCE; CAMERA TRAPS; BIODIVERSITY</t>
  </si>
  <si>
    <t>Automated time-lapse cameras can facilitate reliable and consistent monitoring of wild animal populations. In this report, data from 73,802 images taken by 15 different Penguin Watch cameras are presented, capturing the dynamics of penguin (Spheniscidae; Pygoscelis spp.) breeding colonies across the Antarctic Peninsula, South Shetland Islands and South Georgia (03/2012 to 01/2014). Citizen science provides a means by which large and otherwise intractable photographic data sets can be processed, and here we describe the methodology associated with the Zooniverse project Penguin Watch, and provide validation of the method. We present anonymised volunteer classifications for the 73,802 images, alongside the associated metadata (including date/time and temperature information). In addition to the benefits for ecological monitoring, such as easy detection of animal attendance patterns, this type of annotated timelapse imagery can be employed as a training tool for machine learning algorithms to automate data extraction, and we encourage the use of this data set for computer vision development.</t>
  </si>
  <si>
    <t>[Jones, Fiona M.; Black, Caitlin; Hart, Tom] Univ Oxford, Dept Zool, South Parks Rd, Oxford OX1 3PS, England; [Allen, Campbell; Arthur, Joan; Hines, Greg; Lintott, Chris J.; Machackova, Zuzana; Miller, Grant; Torsey, Holly R.] Univ Oxford, Dept Phys, Zooniverse, Denys Wilkinson Bldg,Keble Rd, Oxford OX1 3RH, England; [Arteta, Carlos; Zisserman, Andrew] Univ Oxford, Dept Engn Sci, Parks Rd, Oxford OX1 3PJ, England; [Emmerson, Louise M.; Southwell, Colin] Australian Antarctic Div, Dept Environm &amp; Energy, 203 Channel Highway, Kingston, Tas 7050, Australia; [Freeman, Robin] Inst Zool, Wellcome Bldg,Regents Pk, London NW1 4RY, England; [Simpson, Rob] Google UK, Belgrave House,76 Buckingham Palace Rd, London SW1W 9TQ, England</t>
  </si>
  <si>
    <t>University of Oxford; University of Oxford; University of Oxford; Australian Antarctic Division; Google Incorporated</t>
  </si>
  <si>
    <t>Jones, FM; Hart, T (corresponding author), Univ Oxford, Dept Zool, South Parks Rd, Oxford OX1 3PS, England.</t>
  </si>
  <si>
    <t>fiona.jones@zoo.ox.ac.uk; tom.hart@zoo.ox.ac.uk</t>
  </si>
  <si>
    <t>Freeman, Robin/JOZ-4393-2023</t>
  </si>
  <si>
    <t>Freeman, Robin/0000-0002-0560-8942; Black, Caitlin/0000-0001-9591-3571; Arteta, Carlos/0000-0002-7897-3334</t>
  </si>
  <si>
    <t>Alfred P. Sloan Foundation; Google Global Impact Award; NERC; Darwin Initiative; Citizen Science Alliance; AAS [2722, 4088]; EPSRC [EP/M013774/1] Funding Source: UKRI</t>
  </si>
  <si>
    <t>Alfred P. Sloan Foundation(Alfred P. Sloan Foundation); Google Global Impact Award(Google Incorporated); NERC(UK Research &amp; Innovation (UKRI)Natural Environment Research Council (NERC)); Darwin Initiative; Citizen Science Alliance; AAS; EPSRC(UK Research &amp; Innovation (UKRI)Engineering &amp; Physical Sciences Research Council (EPSRC))</t>
  </si>
  <si>
    <t>The authors express their gratitude to the Zooniverse team members, the Zooniverse partners (see https://www.penguinwatch.org/#/ team) and the 47,961 registered Penguin Watch volunteers. The authors also wish to thank Quark Expeditions, Cheeseman's Ecology Safaris and Oceanwide Expeditions for their assistance with fieldwork logistics, and Brooke Simmons for helpful comments on the manuscript. Zooniverse and Penguin Watch were supported by grants from the Alfred P. Sloan Foundation and a Google Global Impact Award. This work was supported by NERC, the Darwin Initiative and the Citizen Science Alliance, as well as individual contributors to Penguin Watch, particularly via donations during Quark Expeditions' voyages. Work by Australian Antarctic Division researchers to establish a camera network in East Antarctica was carried out under AAS projects 2722 and 4088. Fiona Jones and Tom Hart had full access to all the data in the study and take responsibility for the integrity of the data and the accuracy of the data analysis.</t>
  </si>
  <si>
    <t>10.1038/sdata.2018.124</t>
  </si>
  <si>
    <t>GK5ST</t>
  </si>
  <si>
    <t>WOS:000436238100002</t>
  </si>
  <si>
    <t>Stahl, MH; Kumar, A; Lambert, R; Stroud, M; Macleod, D; Bastawrous, A; Peto, T; Burton, MJ</t>
  </si>
  <si>
    <t>Stahl, Matthew H.; Kumar, Alexander; Lambert, Robert; Stroud, Michael; Macleod, David; Bastawrous, Andrew; Peto, Tunde; Burton, Matthew J.</t>
  </si>
  <si>
    <t>Antarctica eye study: a prospective study of the effects of overwintering on ocular parameters and visual function</t>
  </si>
  <si>
    <t>BMC OPHTHALMOLOGY</t>
  </si>
  <si>
    <t>Eye; Antarctica; White Mars; Altitude</t>
  </si>
  <si>
    <t>HIGH-ALTITUDE CLIMB; HEROIC AGE; EXPLORATION; RETINOPATHY; THICKNESS; INSIGHTS; EDEMA</t>
  </si>
  <si>
    <t>Background: In 2013 five polar explorers attempted to complete the first Trans-Antarctic Winter Traverse (TAWT). This study presents the ophthalmological findings for this group, who overwintered in Antarctica as part of the White Mars Human Science Protocol. Antarctic crews are exposed to extreme cold, chronic hypoxia and altered day-night cycles. Previous studies of Antarctic explorers have focused on the prolonged effect of ultraviolet radiation including the development of ultraviolet keratitis and accelerated cataract formation. This is the first study of its kind to investigate the effect of overwintering in Antarctica on the human eye. Methods: Pre and post-expedition clinical observations were made including visual acuity, contrast sensitivity, colour vision, auto-refraction, subjective refraction, retinal examination, retinal autofluoresence and retinal thickness, which were graded for comparison. During the expedition additional observations were made on a monthly basis including LogMAR visual acuity, autorefraction and intraocular pressure. Results: No significant differences between pre and post-expedition observations were found, including visual acuity, contrast sensitivity, colour vision, refraction, visual fields, intraocular pressure and retinal examination. There was a small but statistically significant decrease in retinal thickness across all regions of the retina, except for the macular and fovea, in all explorers. Intra-expedition observations remained within normal limits. Conclusion: Reassuringly, the human eye remains largely unchanged by exposure to the extreme conditions encountered during the Antarctic winter, however, further research is needed to investigate changes in retinal thickness. This may have implications for scientists who spend prolonged periods of time in the polar regions, as well as those who have prolonged exposure to the extreme cold or chronic hypoxia in other settings.</t>
  </si>
  <si>
    <t>[Stahl, Matthew H.] UCL, London, England; [Kumar, Alexander] Kings Coll London, London, England; [Kumar, Alexander] Univ Fribourg, Fribourg, Switzerland; [Lambert, Robert] Royal Infirm Edinburgh NHS Trust, Dept Trauma &amp; Orthopaed Surg, Edinburgh, Midlothian, Scotland; [Stroud, Michael] Univ Southampton, Med Sch, Southampton, Hants, England; [Macleod, David; Bastawrous, Andrew; Burton, Matthew J.] London Sch Hyg &amp; Trop Med, Int Ctr Eye Hlth, Clin Res Dept, London, England; [Peto, Tunde; Burton, Matthew J.] Moorfields Eye Hosp NHS Fdn Trust, London, England; [Peto, Tunde] Queens Univ Belfast, Belfast, Antrim, North Ireland; [Stahl, Matthew H.] Wexham Pk Hosp, Dept Med, Slough SL2 4HL, Berks, England</t>
  </si>
  <si>
    <t>University of London; University College London; University of London; King's College London; University of Fribourg; Royal Infirmary of Edinburgh; University of Edinburgh; University of Southampton; University of London; London School of Hygiene &amp; Tropical Medicine; University of London; University College London; Moorfields Eye Hospital NHS Foundation Trust; Queens University Belfast</t>
  </si>
  <si>
    <t>Stahl, MH (corresponding author), UCL, London, England.;Stahl, MH (corresponding author), Wexham Pk Hosp, Dept Med, Slough SL2 4HL, Berks, England.</t>
  </si>
  <si>
    <t>matthew.stahl.11@ucl.ac.uk</t>
  </si>
  <si>
    <t>Peto, Tunde/G-8812-2018</t>
  </si>
  <si>
    <t>MacLeod, Doug/0000-0002-8689-9453; Stahl, Matthew/0009-0004-5946-3736; Burton, Matthew/0000-0003-1872-9169; Macleod, David/0000-0002-2371-5709</t>
  </si>
  <si>
    <t>Queen Elizabeth Diamond Jubilee Trust; Wellcome Trust [098481/Z/12/Z]; MRC [G1001934] Funding Source: UKRI; Wellcome Trust [098481/Z/12/Z] Funding Source: Wellcome Trust</t>
  </si>
  <si>
    <t>Queen Elizabeth Diamond Jubilee Trust; Wellcome Trust(Wellcome Trust); MRC(UK Research &amp; Innovation (UKRI)Medical Research Council UK (MRC)); Wellcome Trust(Wellcome Trust)</t>
  </si>
  <si>
    <t>The authors would like to thank Moorfields Eye Hospital. This study is part of the White Mars Human Science Protocol designed for the TransAntarctic Winter Traverse (TAWT). We are grateful for the participation of Sir Ranulph Fiennes and the team members of The Coldest Journey expedition. AB is supported by the Queen Elizabeth Diamond Jubilee Trust; MJB is supported by the Wellcome Trust (098481/Z/12/Z).</t>
  </si>
  <si>
    <t>1471-2415</t>
  </si>
  <si>
    <t>BMC OPHTHALMOL</t>
  </si>
  <si>
    <t>BMC Ophthalmol.</t>
  </si>
  <si>
    <t>JUN 25</t>
  </si>
  <si>
    <t>10.1186/s12886-018-0816-0</t>
  </si>
  <si>
    <t>Ophthalmology</t>
  </si>
  <si>
    <t>GK8VG</t>
  </si>
  <si>
    <t>WOS:000436507700001</t>
  </si>
  <si>
    <t>Khosrawi, F; Kirner, O; Stiller, G; Höpfner, M; Santee, ML; Kellmann, S; Braesicke, P</t>
  </si>
  <si>
    <t>Khosrawi, Farahnaz; Kirner, Oliver; Stiller, Gabriele; Hoepfner, Michael; Santee, Michelle L.; Kellmann, Sylvia; Braesicke, Peter</t>
  </si>
  <si>
    <t>Comparison of ECHAM5/MESSy Atmospheric Chemistry (EMAC) simulations of the Arctic winter 2009/2010 and 2010/2011 with Envisat/MIPAS and Aura/MLS observations</t>
  </si>
  <si>
    <t>POLAR STRATOSPHERIC CLOUDS; SUBMODEL SYSTEM MESSY; COMMUNITY CLIMATE MODEL; NITRIC-ACID; OZONE LOSS; TECHNICAL NOTE; CONVECTION PARAMETERISATIONS; HETEROGENEOUS CHEMISTRY; MOUNTAIN WAVES; WATER-VAPOR</t>
  </si>
  <si>
    <t>We present model simulations with the atmospheric chemistry-climate model ECHAM5/MESSy Atmospheric Chemistry (EMAC) nudged toward European Centre for Medium-Range Weather Forecasts (ECMWF) ERA-Interim reanalyses for the Arctic winters 2009/2010 and 2010/2011. This study is the first to perform an extensive assessment of the performance of the EMAC model for Arctic winters as previous studies have only made limited evaluations of EMAC simulations which also were mainly focused on the Antarctic winter stratosphere. We have chosen the two extreme Arctic winters 2009/2010 and 2010/2011 to evaluate the formation of polar stratospheric clouds (PSCs) and the representation of the chemistry and dynamics of the polar winter stratosphere in EMAC. The EMAC simulations are compared to observations by the Michelson Interferometer for Passive Atmospheric Soundings (Envisat/MIPAS) and the observations from the Aura Microwave Limb Sounder (Aura/MLS). The Arctic winter 2010/2011 was one of the coldest stratospheric winters on record, leading to the strongest depletion of ozone measured in the Arctic. The Arctic winter 2009/2010 was, from the climatological perspective, one of the warmest stratospheric winters on record. However, it was distinguished by an exceptionally cold stratosphere (colder than the climatological mean) from mid-December 2009 to mid-January 2010, leading to prolonged PSC formation and existence. Significant denitrification, the removal of HNO3 from the stratosphere by sedimentation of HNO3-containing polar stratospheric cloud particles, occurred in that winter. In our comparison, we focus on PSC formation and denitrification. The comparisons between EMAC simulations and satellite observations show that model and measurements compare well for these two Arctic winters (differences for HNO3 generally within +/- 20 %) and thus that EMAC nudged toward ECMWF ERA-Interim reanalyses is capable of giving a realistic representation of the evolution of PSCs and associated sequestration of gas-phase HNO3 in the polar winter stratosphere. However, simulated PSC volume densities are smaller than the ones derived from Envisat/MIPAS observations by a factor of 3-7. Further, PSCs in EMAC are not simulated as high up (in altitude) as they are observed. This underestimation of PSC volume density and vertical extension of the PSCs results in an underestimation of the vertical redistribution of HNO3 due to denitrification/re-nitrification. The differences found here between model simulations and observations stipulate further improvements in the EMAC set-up for simulating PSCs.</t>
  </si>
  <si>
    <t>[Khosrawi, Farahnaz; Stiller, Gabriele; Hoepfner, Michael; Kellmann, Sylvia; Braesicke, Peter] Karlsruhe Inst Technol, Inst Meteorol &amp; Climate Res, Karlsruhe, Germany; [Kirner, Oliver] Karlsruhe Inst Technol, Steinbuch Ctr Comp, Karlsruhe, Germany; [Santee, Michelle L.] CALTECH, Jet Prop Lab, Pasadena, CA USA</t>
  </si>
  <si>
    <t>Helmholtz Association; Karlsruhe Institute of Technology; Helmholtz Association; Karlsruhe Institute of Technology; California Institute of Technology; National Aeronautics &amp; Space Administration (NASA); NASA Jet Propulsion Laboratory (JPL)</t>
  </si>
  <si>
    <t>Khosrawi, F (corresponding author), Karlsruhe Inst Technol, Inst Meteorol &amp; Climate Res, Karlsruhe, Germany.</t>
  </si>
  <si>
    <t>Stiller, Gabriele P./A-7340-2013; Santee, MIchelle/R-5762-2019; Kirner, Oliver/K-8815-2015; Braesicke, Peter/D-8330-2016; Hopfner, Michael/A-7255-2013</t>
  </si>
  <si>
    <t>Stiller, Gabriele P./0000-0003-2883-6873; Kirner, Oliver/0000-0001-5668-6177; Braesicke, Peter/0000-0003-1423-0619; Hopfner, Michael/0000-0002-4174-9531; Khosrawi, Farahnaz/0000-0002-0261-7253</t>
  </si>
  <si>
    <t>Deutsche Forschungsgemeinschaft; Karlsruhe Institute of Technology; National Aeronautics and Space Administration</t>
  </si>
  <si>
    <t>Deutsche Forschungsgemeinschaft(German Research Foundation (DFG)); Karlsruhe Institute of Technology(Helmholtz Association); National Aeronautics and Space Administration(National Aeronautics &amp; Space Administration (NASA))</t>
  </si>
  <si>
    <t>We would like to thank the European Centre for Medium-Range Weather Forecasts (ECMWF) for providing their meteorological analyses. MLS data were obtained from the NASA Goddard Earth Sciences and Information Center. Work at the Jet Propulsion Laboratory, California Institute of Technology, was done under contract with the National Aeronautics and Space Administration. We are grateful to Thomas von Clarmann for helpful discussions. EMAC simulations were performed on the Institute Cluster II at the Steinbuch Center for Computing at Karlsruhe Institute of Technology. We acknowledge support by the Deutsche Forschungsgemeinschaft and Open Access Publishing Fund of the Karlsruhe Institute of Technology.</t>
  </si>
  <si>
    <t>10.5194/acp-18-8873-2018</t>
  </si>
  <si>
    <t>GK4NB</t>
  </si>
  <si>
    <t>WOS:000436135900001</t>
  </si>
  <si>
    <t>Ramos, JE; Pecl, GT; Moltschaniwskyj, NA; Semmens, JM; Souza, CA; Strugnell, JM</t>
  </si>
  <si>
    <t>Ramos, Jorge E.; Pecl, Gretta T.; Moltschaniwskyj, Natalie A.; Semmens, Jayson M.; Souza, Carla A.; Strugnell, Jan M.</t>
  </si>
  <si>
    <t>Population genetic signatures of a climate change driven marine range extension</t>
  </si>
  <si>
    <t>OCTOPUS-VULGARIS; EMPIRICAL-EVALUATION; MICROSATELLITE LOCI; DIVERSITY; EVOLUTION; SHIFTS; SOFTWARE; NUMBER; RATES; FLOW</t>
  </si>
  <si>
    <t>Shifts in species distribution, or 'range shifts', are one of the most commonly documented responses to ocean warming, with important consequences for the function and structure of ecosystems, and for socio-economic activities. Understanding the genetic signatures of range shifts can help build our knowledge of the capacity of species to establish and persist in colonised areas. Here, seven microsatellite loci were used to examine the population connectivity, genetic structure and diversity of Octopus tetricus, which has extended its distribution several hundred kilometres polewards associated with the southwards extension of the warm East Australian Current along south-eastern Australia. The historical distribution and the range extension zones had significant genetic differences but levels of genetic diversity were comparable. The population in the range extension zone was sub-structured, contained relatively high levels of self-recruitment and was sourced by migrants from along the entire geographic distribution. Genetic bottlenecks and changes in population size were detected throughout the range extension axis. Persistent gene flow from throughout the historical zone and moderate genetic diversity may buffer the genetic bottlenecks and favour the range extension of O. tetricus. These characteristics may aid adaptation, establishment, and long-term persistence of the population in the range extension zone.</t>
  </si>
  <si>
    <t>[Ramos, Jorge E.; Pecl, Gretta T.; Semmens, Jayson M.] Univ Tasmania, Inst Marine &amp; Antarctic Studies, Hobart, Tas 7001, Australia; [Pecl, Gretta T.] Ctr Marine Socioecol, 20 Castray Esplanade, Hobart, Tas 7001, Australia; [Moltschaniwskyj, Natalie A.] Dept Primary Ind, Fisheries Res, Nelson Bay, NSW 2315, Australia; [Souza, Carla A.; Strugnell, Jan M.] La Trobe Univ, Dept Ecol Environm &amp; Evolut, Melbourne, Vic 3086, Australia; [Strugnell, Jan M.] James Cook Univ, Ctr Sustainable Trop Fisheries &amp; Aquaculture, Townsville, Qld 4811, Australia</t>
  </si>
  <si>
    <t>University of Tasmania; NSW Department of Primary Industries; La Trobe University; Melbourne Genomics Health Alliance; James Cook University</t>
  </si>
  <si>
    <t>Ramos, JE (corresponding author), Univ Tasmania, Inst Marine &amp; Antarctic Studies, Hobart, Tas 7001, Australia.</t>
  </si>
  <si>
    <t>jeramos@utas.edu.au</t>
  </si>
  <si>
    <t>Moltschaniwskyj, Natalie/AAB-7236-2019; Strugnell, Jan M/P-9921-2016; Pecl, Gretta/D-7267-2011</t>
  </si>
  <si>
    <t>Pecl, Gretta/0000-0003-0192-4339; Semmens, Jayson/0000-0003-1742-6692; Strugnell, Jan/0000-0003-2994-637X; Anjos-Souza, Carla/0000-0003-0671-7275; Moltschaniwskyj, Natalie/0000-0001-9709-9876</t>
  </si>
  <si>
    <t>CONACYT scholarship from the Mexican Government [308672]; Tasmania Graduate Research scholarship from the University of Tasmania; Jill Landsberg Trust Fund Scholarship; post-doctoral Fellowship 'Science without borders' by the Brazilian Funding Agency; Australian Research Council Future Fellowship</t>
  </si>
  <si>
    <t>CONACYT scholarship from the Mexican Government; Tasmania Graduate Research scholarship from the University of Tasmania; Jill Landsberg Trust Fund Scholarship; post-doctoral Fellowship 'Science without borders' by the Brazilian Funding Agency; Australian Research Council Future Fellowship(Australian Research Council)</t>
  </si>
  <si>
    <t>C. Silvey, M. Amor, and L. Henriquez assisted during collection of samples along the east coast of mainland Australia. K. Wood, A. Reid, and S. Geary provided samples from the east coast of mainland Australia. C. Hardy facilitated the collection of tissue at north-eastern Tasmania. E. Morgan, M. Amor, and A. Smolenski were of invaluable help during lab work and data analysis. A. Roura provided constructive comments on an early version of the manuscript. J.E. Ramos was awarded the CONACYT scholarship 308672 from the Mexican Government, a Tasmania Graduate Research scholarship from the University of Tasmania, and the 2013 Jill Landsberg Trust Fund Scholarship, which allowed the collection of samples and laboratory work. C.A. Souza was supported by the post-doctoral Fellowship 'Science without borders' by the Brazilian Funding Agency. G.T. Pecl was supported by an Australian Research Council Future Fellowship.</t>
  </si>
  <si>
    <t>JUN 22</t>
  </si>
  <si>
    <t>10.1038/s41598-018-27351-y</t>
  </si>
  <si>
    <t>GK3LN</t>
  </si>
  <si>
    <t>WOS:000436047000001</t>
  </si>
  <si>
    <t>Loose, B; Garabato, ACN; Schlosser, P; Jenkins, WJ; Vaughan, D; Heywood, KJ</t>
  </si>
  <si>
    <t>Loose, Brice; Garabato, Alberto C. Naveira; Schlosser, Peter; Jenkins, William J.; Vaughan, David; Heywood, Karen J.</t>
  </si>
  <si>
    <t>Evidence of an active volcanic heat source beneath the Pine Island Glacier</t>
  </si>
  <si>
    <t>ANTARCTIC ICE-SHEET; THWAITES GLACIER; NOBLE-GASES; WEST; OCEAN; HELIUM; WATER; SEA; TRITIUM; PLUMES</t>
  </si>
  <si>
    <t>Tectonic landforms reveal that the West Antarctic Ice Sheet (WAIS) lies atop a major volcanic rift system. However, identifying subglacial volcanism is challenging. Here we show geochemical evidence of a volcanic heat source upstream of the fast-melting Pine Island Ice Shelf, documented by seawater helium isotope ratios at the front of the Ice Shelf cavity. The localization of mantle helium to glacial meltwater reveals that volcanic heat induces melt beneath the grounded glacier and feeds the subglacial hydrological network crossing the grounding line. The observed transport of mantle helium out of the Ice Shelf cavity indicates that volcanic heat is supplied to the grounded glacier at a rate of - 2500 +/- 1700 MW, which is ca. half as large as the active Grimsvotn volcano on Iceland. Our finding of a substantial volcanic heat source beneath a major WAIS glacier highlights the need to understand subglacial volcanism, its hydrologic interaction with the marine margins, and its potential role in the future stability of the WAIS.</t>
  </si>
  <si>
    <t>[Loose, Brice] Univ Rhode Isl, Grad Sch Oceanog, Narragansett, RI 02882 USA; [Garabato, Alberto C. Naveira] Univ Southampton, Natl Oceanog Ctr, Southampton, Hants, England; [Schlosser, Peter] Arizona State Univ, Sch Earth &amp; Space Explorat, Tempe, AZ USA; [Schlosser, Peter] Columbia Univ, Lamont Doherty Earth Observ, New York, NY USA; [Jenkins, William J.] Woods Hole Oceanog Inst, Marine Chem &amp; Geochem, Woods Hole, MA 02543 USA; [Vaughan, David] British Antarctic Survey, Cambridge, England; [Heywood, Karen J.] Univ East Anglia, Norwich, Norfolk, England</t>
  </si>
  <si>
    <t>University of Rhode Island; NERC National Oceanography Centre; University of Southampton; Arizona State University; Arizona State University-Tempe; Columbia University; Woods Hole Oceanographic Institution; UK Research &amp; Innovation (UKRI); Natural Environment Research Council (NERC); NERC British Antarctic Survey; University of East Anglia</t>
  </si>
  <si>
    <t>Loose, B (corresponding author), Univ Rhode Isl, Grad Sch Oceanog, Narragansett, RI 02882 USA.</t>
  </si>
  <si>
    <t>bloose@uri.edu</t>
  </si>
  <si>
    <t>Garabato, Alberto Naveira/AAQ-1114-2020; Vaughan, David/C-8348-2011; Heywood, Karen/L-1757-2016</t>
  </si>
  <si>
    <t>Garabato, Alberto Naveira/0000-0001-6071-605X; Heywood, Karen/0000-0001-9859-0026; Vaughan, David/0000-0002-9065-0570</t>
  </si>
  <si>
    <t>NSF Antarctic program [1341630]; Office of Polar Programs (OPP); Directorate For Geosciences [1341630] Funding Source: National Science Foundation; Natural Environment Research Council [NE/J005703/1, NE/J005754/1, NE/J005711/1] Funding Source: researchfish; NERC [NE/J005754/1, NE/J005711/1, bas010011, NE/J005703/1] Funding Source: UKRI</t>
  </si>
  <si>
    <t>NSF Antarctic program; Office of Polar Programs (OPP);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</si>
  <si>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We gratefully acknowledge the insights and comments of three anonymous reviewers. We thank the officers and crew of the RRS James Clark Ross and the RVIB Nathaniel B. Palmer for two excellent scientific expeditions in the Amundsen Sea. We thank Dempsey Lott III, Kevin Cahill, and Toby Koffman for analysis of the noble gas samples. This research was supported by the NSF Antarctic program through Award #1341630.</t>
  </si>
  <si>
    <t>10.1038/s41467-018-04421-3</t>
  </si>
  <si>
    <t>GK3MG</t>
  </si>
  <si>
    <t>WOS:000436049200002</t>
  </si>
  <si>
    <t>Barletta, VR; Bevis, M; Smith, BE; Wilson, T; Brown, A; Bordoni, A; Willis, M; Khan, SA; Rovira-Navarro, M; Dalziel, I; Smalley, R; Kendrick, E; Konfal, S; Caccamise, DJ; Aster, RC; Nyblade, A; Wiens, DA</t>
  </si>
  <si>
    <t>Barletta, Valentina R.; Bevis, Michael; Smith, Benjamin E.; Wilson, Terry; Brown, Abel; Bordoni, Andrea; Willis, Michael; Khan, Shfaqat Abbas; Rovira-Navarro, Marc; Dalziel, Ian; Smalley, Robert, Jr.; Kendrick, Eric; Konfal, Stephanie; Caccamise, Dana J., II; Aster, Richard C.; Nyblade, Andy; Wiens, Douglas A.</t>
  </si>
  <si>
    <t>Observed rapid bedrock uplift in Amundsen Sea Embayment promotes ice-sheet stability</t>
  </si>
  <si>
    <t>SOLID-EARTH RESPONSE; MARIE BYRD LAND; WEST ANTARCTICA; RADAR INTERFEROMETRY; PINE ISLAND; RETREAT; BENEATH; GREENLAND; BED</t>
  </si>
  <si>
    <t>The marine portion of the West Antarctic Ice Sheet (WAIS) in the Amundsen Sea Embayment (ASE) accounts for one-fourth of the cryospheric contribution to global sea-level rise and is vulnerable to catastrophic collapse. The bedrock response to ice mass loss, glacial isostatic adjustment (GIA), was thought to occur on a time scale of 10,000 years. We used new GPS measurements, which show a rapid (41 millimeters per year) uplift of the ASE, to estimate the viscosity of themantle underneath. We found amuch lower viscosity (4 x 10(18) pascal-second) than global average, and this shortens the GIA response time scale from tens to hundreds of years. Our finding requires an upward revision of ice mass loss from gravity data of 10% and increases the potential stability of the WAIS against catastrophic collapse.</t>
  </si>
  <si>
    <t>[Barletta, Valentina R.; Khan, Shfaqat Abbas; Rovira-Navarro, Marc] Tech Univ Denmark, Natl Space Inst, Geodynam Dept, DTU Space, Lyngby, Denmark; [Barletta, Valentina R.; Bevis, Michael; Wilson, Terry; Brown, Abel; Kendrick, Eric; Konfal, Stephanie; Caccamise, Dana J., II] Ohio State Univ, Sch Earth Sci, Columbus, OH 43210 USA; [Smith, Benjamin E.] Univ Washington, Seattle, WA 98195 USA; [Bordoni, Andrea] Tech Univ Denmark, DTU Compute, Lyngby, Denmark; [Willis, Michael] Univ Colorado, Boulder, CO 80309 USA; [Rovira-Navarro, Marc] Delft Univ Technol, Delft, Netherlands; [Dalziel, Ian] Univ Texas Austin, Inst Geophys, Austin, TX USA; [Smalley, Robert, Jr.] Univ Memphis, Ctr Earthquake Res &amp; Informat, Memphis, TN 38152 USA; [Aster, Richard C.] Colorado State Univ, Ft Collins, CO 80523 USA; [Nyblade, Andy] Penn State Univ, State Coll, PA USA; [Wiens, Douglas A.] Washington Univ, St Louis, MO USA</t>
  </si>
  <si>
    <t>Technical University of Denmark; University System of Ohio; Ohio State University; University of Washington; University of Washington Seattle; Technical University of Denmark; University of Colorado System; University of Colorado Boulder; Delft University of Technology; University of Texas System; University of Texas Austin; University of Memphis; Colorado State University; Pennsylvania Commonwealth System of Higher Education (PCSHE); Pennsylvania State University; Washington University (WUSTL)</t>
  </si>
  <si>
    <t>Barletta, VR (corresponding author), Tech Univ Denmark, Natl Space Inst, Geodynam Dept, DTU Space, Lyngby, Denmark.;Barletta, VR (corresponding author), Ohio State Univ, Sch Earth Sci, Columbus, OH 43210 USA.</t>
  </si>
  <si>
    <t>vr.barletta@gmail.com</t>
  </si>
  <si>
    <t>Khan, Shfaqat Abbas/AAP-6627-2021; Aster, Richard/E-5067-2013; Barletta, Valentina R./E-9128-2012; Wiens, Douglas/J-9259-2016</t>
  </si>
  <si>
    <t>Khan, Shfaqat Abbas/0000-0002-2689-8563; Aster, Richard/0000-0002-0821-4906; Barletta, Valentina Roberta/0000-0003-4427-0830; Wiens, Douglas/0000-0002-5169-4386; Wilson, Terry/0000-0001-9371-8158; Rovira-Navarro, Marc/0000-0002-9980-5065</t>
  </si>
  <si>
    <t>European Space Agency (ESA); U.S. National Science Foundation Office of Polar Programs; U.S. Antarctic Program; [VE-CL0V3RS]; Directorate For Geosciences; Office of Polar Programs (OPP) [1249513] Funding Source: National Science Foundation</t>
  </si>
  <si>
    <t>European Space Agency (ESA)(European Space Agency); U.S. National Science Foundation Office of Polar Programs(National Science Foundation (NSF)); U.S. Antarctic Program; ; Directorate For Geosciences; Office of Polar Programs (OPP)(National Science Foundation (NSF)NSF - Directorate for Geosciences (GEO))</t>
  </si>
  <si>
    <t>This research was supported by the European Space Agency (ESA) in the framework of the project GOCE+ Antarctica - Dynamic Antarctic Lithosphere, the U.S. National Science Foundation Office of Polar Programs, and the U.S. Antarctic Program. VE-CL0V3RS was developed by V.R.B and A. Bordoni in a self-funded project.</t>
  </si>
  <si>
    <t>10.1126/science.aao1447</t>
  </si>
  <si>
    <t>GK3JP</t>
  </si>
  <si>
    <t>WOS:000436040600040</t>
  </si>
  <si>
    <t>Battistel, D; Kehrwald, NM; Zennaro, P; Pellegrino, G; Barbaro, E; Zangrando, R; Pedeli, XX; Varin, C; Spolaor, A; Vallelonga, PT; Gambaro, A; Barbante, C</t>
  </si>
  <si>
    <t>Battistel, Dario; Kehrwald, Natalie M.; Zennaro, Piero; Pellegrino, Giuseppe; Barbaro, Elena; Zangrando, Roberta; Pedeli, Xanthi X.; Varin, Cristiano; Spolaor, Andrea; Vallelonga, Paul T.; Gambaro, Andrea; Barbante, Carlo</t>
  </si>
  <si>
    <t>High-latitude Southern Hemisphere fire history during the mid-to late Holocene (6000-750 BP)</t>
  </si>
  <si>
    <t>ICE-CORE RECORDS; EAST ANTARCTICA; BLACK CARBON; AEOLIAN DUST; TALOS DOME; CHRONOLOGY AICC2012; CHARCOAL RECORDS; VICTORIA LAND; ANNULAR MODE; LONG-TERM</t>
  </si>
  <si>
    <t>We determined the specific biomass burning biomarker levoglucosan in an ice core from the TALos Dome Ice CorE drilling project (TALDICE) during the mid-to late Holocene (6000-750 BP). The levoglucosan record is characterized by a long-term increase with higher rates starting at similar to 4000 BP and peaks between 2500 and 1500 BP. The anomalous increase in levoglucosan centered at similar to 2000 BP is consistent with other Antarctic biomass burning records. Multiple atmospheric phenomena affect the coastal Antarctic Talos Dome drilling site, where the Southern Annular Mode (SAM) is the most prominent as the Southern Annular Mode Index (SAM(A)) correlates with stable isotopes in precipitation throughout the most recent 1000 years of the ice core. If this connection remains throughout the mid-to late Holocene, then our results demonstrate that changes in biomass burning, rather than changes in atmospheric transport, are the major influence on the TALDICE levoglucosan record. Comparisons with charcoal syntheses help evaluate fire sources, showing a greater contribution from southern South American fires than from Australian biomass burning. The levoglucosan peak centered at similar to 2000 BP occurs during a cool period throughout the Southern Hemisphere, yet during a time of increased fire activity in both northern and southern Patagonia. This peak in biomass burning is influenced by increased vegetation in southern South America from a preceding humid period, in which the vegetation desiccated during the following cool, dry period. The Talos Dome ice core record from 6000 to similar to 750 BP currently does not provide clear evidence that the fire record may be strongly affected by anthropogenic activities during the mid- to late Holocene, although we cannot exclude at least a partial influence.</t>
  </si>
  <si>
    <t>[Battistel, Dario; Zennaro, Piero; Pellegrino, Giuseppe; Barbaro, Elena; Pedeli, Xanthi X.; Varin, Cristiano; Gambaro, Andrea; Barbante, Carlo] Univ Ca Foscari Venice, Dept Environm Sci Informat &amp; Stat, Via Torino 155, I-30170 Venice, Italy; [Battistel, Dario; Barbaro, Elena; Zangrando, Roberta; Spolaor, Andrea; Gambaro, Andrea; Barbante, Carlo] IDPA CNR, Inst Dynam Environm Proc, Via Torino 155, I-30170 Venice, Italy; [Kehrwald, Natalie M.] US Geol Survey, Geosci &amp; Environm Change Sci Ctr, Denver, CO 80225 USA; [Vallelonga, Paul T.] Univ Copenhagen, Niels Bohr Inst, Ctr Ice &amp; Climate, Juliane Maries Vej 30, DK-2100 Copenhagen, Denmark</t>
  </si>
  <si>
    <t>Universita Ca Foscari Venezia; Consiglio Nazionale delle Ricerche (CNR); Istituto per la Dinamica dei Processi Ambientali (IDPA-CNR); United States Department of the Interior; United States Geological Survey; University of Copenhagen; Niels Bohr Institute</t>
  </si>
  <si>
    <t>Battistel, D (corresponding author), Univ Ca Foscari Venice, Dept Environm Sci Informat &amp; Stat, Via Torino 155, I-30170 Venice, Italy.;Battistel, D (corresponding author), IDPA CNR, Inst Dynam Environm Proc, Via Torino 155, I-30170 Venice, Italy.</t>
  </si>
  <si>
    <t>dario.battistel@unive.lt</t>
  </si>
  <si>
    <t>Kehrwald, Natalie M/A-3848-2013; BARBARO, ELENA/AAK-3106-2021; VARIN, CRISTIANO/E-8269-2015; Barbaro, Elena/AAX-8809-2020; Spolaor, Andrea/AAX-8808-2020; VARIN, CRISTIANO/Q-4484-2018; Barbante, Carlo/B-3195-2011; Pedeli, Xanthi/ABC-5899-2020; Vallelonga, Paul/I-9650-2016</t>
  </si>
  <si>
    <t>Kehrwald, Natalie M/0000-0002-9160-2239; Barbaro, Elena/0000-0003-2639-7475; Spolaor, Andrea/0000-0001-8635-9193; VARIN, CRISTIANO/0000-0002-5591-5705; Battistel, Dario/0000-0003-4225-4394; Barbante, Carlo/0000-0003-4177-2288; Vallelonga, Paul/0000-0003-1055-7235; Pedeli, Xanthi/0000-0002-2627-2990</t>
  </si>
  <si>
    <t>Early Human Impact ERC Advanced Grant of the European Commission's Seventh Framework Programme [267696]; Programma Nazionale di Ricerche in Antartide (PNRA) grant [PEA 2013/B2.05]; European Union Marie Curie IIF Fellowship (TDICOSO) within the Seventh Framework Programme [MIF1-CT-2006-039529]; European program</t>
  </si>
  <si>
    <t>Early Human Impact ERC Advanced Grant of the European Commission's Seventh Framework Programme(European Research Council (ERC)); Programma Nazionale di Ricerche in Antartide (PNRA) grant; European Union Marie Curie IIF Fellowship (TDICOSO) within the Seventh Framework Programme(European Union (EU)Marie Curie Actions); European program</t>
  </si>
  <si>
    <t>This work was financially supported by the Early Human Impact ERC Advanced Grant of the European Commission's Seventh Framework Programme, grant number 267696, by Programma Nazionale di Ricerche in Antartide (PNRA) grant PEA 2013/B2.05, and by European Union Marie Curie IIF Fellowship (MIF1-CT-2006-039529, TDICOSO) within the Seventh Framework Programme. The TALos Dome Ice CorE (TALDICE) project, a joint European program, is funded by national contributions from Italy, France, Germany, Switzerland and the United Kingdom. Primary logistical support was provided by PNRA at Talos Dome. The authors gratefully acknowledge the help of Elga LabWater in providing the PURELAB Pulse and PURELAB Flex that produced the ultrapure water used in these experiments. The authors thank Barbara Delmonte for providing raw Talos Dome dust data. Any use of trade, firm or product names is for descriptive purposes only and does not imply endorsement by the US Government.</t>
  </si>
  <si>
    <t>JUN 21</t>
  </si>
  <si>
    <t>10.5194/cp-14-871-2018</t>
  </si>
  <si>
    <t>GK1FC</t>
  </si>
  <si>
    <t>WOS:000435858100002</t>
  </si>
  <si>
    <t>Lyon, SW; Ploum, SW; van der Velde, Y; Rocher-Ros, G; Mörth, CM; Giesler, R</t>
  </si>
  <si>
    <t>Lyon, Steve W.; Ploum, Stefan W.; van der Velde, Ype; Rocher-Ros, Gerard; Morth, Carl-Magnus; Giesler, Reiner</t>
  </si>
  <si>
    <t>Lessons learned from monitoring the stable water isotopic variability in precipitation and streamflow across a snow-dominated subarctic catchment</t>
  </si>
  <si>
    <t>Catchment hydrology; stable water isotopes; tracers; spring flood; freshet</t>
  </si>
  <si>
    <t>TRANSIT TIMES; HYDROGRAPH SEPARATION; GROUNDWATER RECHARGE; SEASONAL SNOWPACK; CLIMATE-CHANGE; LATERAL FLOW; CARBON; RUNOFF; EVOLUTION; TRENDS</t>
  </si>
  <si>
    <t>This empirical study explores shifts in stable water isotopic composition for a subarctic catchment located in northern Sweden as it transitions from spring freshet to summer low flows. Relative changes in the isotopic composition of streamflow across the main catchment and fifteen nested subcatchments are characterized in relation to the isotopic composition of precipitation. With our sampling campaign, we explore the variability in stream-water isotopic composition that originates from precipitation as the input shifts from snow to rain and as landscape flow pathways change across scales. The isotopic similarity of high-elevation snowpack water and early season rainfall water seen through our sampling scheme made it difficult to truly isolate the impact of seasonal precipitation phase change on stream-water isotopic response. This highlights the need to explicitly consider the complexity of arctic and alpine landscapes when designing sampling strategies to characterize hydrological variability via stable water isotopes. Results show a potential influence of evaporation and source water mixing both spatially (variations with elevation) and temporally (variations from post-freshet to summer flows) on the composition of stream water across Miellajokka. As such, the data collected in this empirical study allow for initial conceptualization of the relative importance of, for example, hydrological connectivity within this mountainous, subarctic landscape.</t>
  </si>
  <si>
    <t>[Lyon, Steve W.] Stockholm Univ, Dept Phys Geog, Stockholm, Sweden; [Lyon, Steve W.] Nature Conservancy, Delmont, NJ USA; [Ploum, Stefan W.] SLU, Dept Forest Ecol &amp; Management, Umea, Sweden; [Ploum, Stefan W.] Wageningen Univ, Dept Hydrol &amp; Quantitat Water Management, Wageningen, Netherlands; [van der Velde, Ype] Vrije Univ Amsterdam, Dept Earth Sci, Amsterdam, Netherlands; [Rocher-Ros, Gerard; Giesler, Reiner] Umea Univ, Dept Ecol &amp; Environm Sci, Climate Impact Res Ctr, Abisko, Sweden; [Morth, Carl-Magnus] Stockholm Univ, Dept Geol &amp; Geochem, Stockholm, Sweden</t>
  </si>
  <si>
    <t>Stockholm University; Nature Conservancy; Swedish University of Agricultural Sciences; Wageningen University &amp; Research; Vrije Universiteit Amsterdam; Umea University; Stockholm University</t>
  </si>
  <si>
    <t>Lyon, SW (corresponding author), Stockholm Univ, Dept Phys Geog, Stockholm, Sweden.</t>
  </si>
  <si>
    <t>steve.lyon@natgeo.su.se</t>
  </si>
  <si>
    <t>Rocher-Ros, Gerard/K-4236-2019; Lyon, Steve/AAL-9358-2021; Van der Velde, Ype/L-5953-2013; Rocher-Ros, Gerard/AAV-3058-2021; Ploum, Stefan/V-1107-2019</t>
  </si>
  <si>
    <t>Rocher-Ros, Gerard/0000-0001-7853-2531; Lyon, Steve/0000-0002-1137-648X; Rocher-Ros, Gerard/0000-0001-7853-2531; Ploum, Stefan/0000-0003-1131-7153; van der Velde, Ype/0000-0002-2183-2573</t>
  </si>
  <si>
    <t>Swedish Research Council (VR) [2013-5001]; Swedish Research Council for Environment, Agricultural Sciences, and Spatial Planning (FORMAS) [2014-970]; Netherlands Polar Programme (NWO) [15.60.00]; Hendrik Muller Fonds</t>
  </si>
  <si>
    <t>Swedish Research Council (VR)(Swedish Research Council); Swedish Research Council for Environment, Agricultural Sciences, and Spatial Planning (FORMAS)(Swedish Research Council Formas); Netherlands Polar Programme (NWO); Hendrik Muller Fonds</t>
  </si>
  <si>
    <t>This study was supported by the Swedish Research Council (VR;2013-5001) and the Swedish Research Council for Environment, Agricultural Sciences, and Spatial Planning (FORMAS;2014-970). Additional support was provided through the Netherlands Polar Programme (NWO Project 15.60.00) and the Hendrik Muller Fonds. For help in the field we acknowledge Albin Bjarhall, Belen Diaz Collante, and Max Schuchardt.</t>
  </si>
  <si>
    <t>e1454778</t>
  </si>
  <si>
    <t>10.1080/15230430.2018.1454778</t>
  </si>
  <si>
    <t>GN1HG</t>
  </si>
  <si>
    <t>WOS:000438738900001</t>
  </si>
  <si>
    <t>Galaiduk, R; Radford, BT; Harvey, ES</t>
  </si>
  <si>
    <t>Galaiduk, Ronen; Radford, Ben T.; Harvey, Euan S.</t>
  </si>
  <si>
    <t>Utilizing individual fish biomass and relative abundance models to map environmental niche associations of adult and juvenile targeted fishes</t>
  </si>
  <si>
    <t>SPECIES DISTRIBUTION MODELS; UNDERWATER VIDEO STATIONS; TEMPERATE REEF FISH; STEREO-VIDEO; MARINE RESERVES; SIZE STRUCTURE; HABITAT; DISTRIBUTIONS; ASSEMBLAGES; REGRESSION</t>
  </si>
  <si>
    <t>Many fishes undergo ontogenetic habitat shifts to meet their energy and resource needs as they grow. Habitat resource partitioning and patterns of habitat connectivity between conspecific fishes at different life-history stages is a significant knowledge gap. Species distribution models were used to examine patterns in the relative abundance, individual biomass estimates and environmental niche associations of different life stages of three iconic West Australian fishes. Continuous predictive maps describing the spatial distribution of abundance and individual biomass of the study species were created as well predictive hotspot maps that identify possible areas for aggregation of individuals of similar life stages of multiple species (i.e. spawning grounds, fisheries refugia or nursery areas). The models and maps indicate that processes driving the abundance patterns could be different from the body size associated demographic processes throughout an individual's life cycle. Incorporating life-history in the spatially explicit management plans can ensure that critical habitat of the vulnerable stages (e.g. juvenile fish, spawning stock) is included within proposed protected areas and can enhance connectivity between various functional areas (e.g. nursery areas and adult populations) which, in turn, can improve the abundance of targeted species as well as other fish species relying on healthy ecosystem functioning.</t>
  </si>
  <si>
    <t>[Galaiduk, Ronen; Radford, Ben T.] Univ Western Australia, Australian Inst Marine Sci, 39 Fairway, Crawley 6009, Australia; [Galaiduk, Ronen; Harvey, Euan S.] Curtin Univ, Sch Mol &amp; Life Sci, Kent St, Bentley, WA 6845, Australia; [Radford, Ben T.] Univ Western Australia, UWA Oceans Inst, Fairway, Crawley 6009, Australia; [Radford, Ben T.] Univ Western Australia, Sch Earth &amp; Environm, 35 Stirling Highway, Crawley 6009, Australia</t>
  </si>
  <si>
    <t>Australian Institute of Marine Science; University of Western Australia; Curtin University; University of Western Australia; University of Western Australia</t>
  </si>
  <si>
    <t>Galaiduk, R (corresponding author), Univ Western Australia, Australian Inst Marine Sci, 39 Fairway, Crawley 6009, Australia.;Galaiduk, R (corresponding author), Curtin Univ, Sch Mol &amp; Life Sci, Kent St, Bentley, WA 6845, Australia.</t>
  </si>
  <si>
    <t>r.galaiduk@aims.gov.au</t>
  </si>
  <si>
    <t>Harvey, Euan/B-2896-2011</t>
  </si>
  <si>
    <t>Harvey, Euan/0000-0002-9069-4581</t>
  </si>
  <si>
    <t>Australian Government's National Environmental Research Program (NERP)</t>
  </si>
  <si>
    <t>Australian Government's National Environmental Research Program (NERP)(Australian Government)</t>
  </si>
  <si>
    <t>We thank the crew of fishing vessel 'Hannah Lee' (Robert and Jason Stone) for support in the field. We also grateful to the staff and volunteers of the Fish Ecology Lab at Curtin University for their help with data collection and video analysis. In particular Damon Driessen, Laura Fullwood, Elizabeth Myers, Lauren Munks, Elica Pereira Carvalho, Jamie Mcwilliam. A special thank you to Emma Lawrence for commenting on drafts of the manuscript and Xenia Gonzalez for proofreading the final version. Part of the data used in this research was collected for the Marine Biodiversity Hub a collaborative partnership supported through funding from the Australian Government's National Environmental Research Program (NERP), administered by the Department of the Environment. NERP Marine Biodiversity Hub partners include the Institute for Marine and Antarctic Studies, University of Tasmania; CSIRO, Geoscience Australia, Australian Institute of Marine Science, Museum Victoria, Charles Darwin University and the University of Western Australia.</t>
  </si>
  <si>
    <t>10.1038/s41598-018-27774-7</t>
  </si>
  <si>
    <t>GK0HP</t>
  </si>
  <si>
    <t>WOS:000435790500036</t>
  </si>
  <si>
    <t>Kingslake, J; Scherer, RP; Albrecht, T; Coenen, J; Powell, RD; Reese, R; Stansell, ND; Tulaczyk, S; Wearing, MG; Whitehouse, PL</t>
  </si>
  <si>
    <t>Kingslake, J.; Scherer, R. P.; Albrecht, T.; Coenen, J.; Powell, R. D.; Reese, R.; Stansell, N. D.; Tulaczyk, S.; Wearing, M. G.; Whitehouse, P. L.</t>
  </si>
  <si>
    <t>Extensive retreat and re-advance of the West Antarctic Ice Sheet during the Holocene</t>
  </si>
  <si>
    <t>LAST GLACIAL MAXIMUM; WEDDELL SEA SECTOR; BASAL MELT RATES; GROUNDING-LINE; ROSS SEA; PENSACOLA MOUNTAINS; ORGANIC-CARBON; MASS-BALANCE; LEVEL CHANGE; POLAR ICE</t>
  </si>
  <si>
    <t>To predict the future contributions of the Antarctic ice sheets to sea-level rise, numerical models use reconstructions of past ice-sheet retreat after the Last Glacial Maximum to tune model parameters(1). Reconstructions of the West Antarctic Ice Sheet have assumed that it retreated progressively throughout the Holocene epoch (the past 11,500 years or so)(2-4). Here we show, however, that over this period the grounding line of the West Antarctic Ice Sheet (which marks the point at which it is no longer in contact with the ground and becomes a floating ice shelf) retreated several hundred kilometres inland of today's grounding line, before isostatic rebound caused it to re-advance to its present position. Our evidence includes, first, radiocarbon dating of sediment cores recovered from beneath the ice streams of the Ross Sea sector, indicating widespread Holocene marine exposure; and second, ice-penetrating radar observations of englacial structure in the Weddell Sea sector, indicating ice shelf grounding. We explore the implications of these findings with an ice-sheet model. Modelled re-advance of the grounding line in the Holocene requires ice-shelf grounding caused by isostatic rebound. Our findings overturn the assumption of progressive retreat of the grounding line during the Holocene in West Antarctica, and corroborate previous suggestions of ice-sheet re-advance'. Rebound-driven stabilizing processes were apparently able to halt and reverse climate-initiated ice loss. Whether these processes can reverse present-day ice loss(6) on millennial time-scales will depend on bedrock topography and mantle viscosity-parameters that are difficult to measure and to incorporate into ice-sheet models.</t>
  </si>
  <si>
    <t>[Kingslake, J.; Wearing, M. G.] Columbia Univ, Lamont Doherty Earth Observ, New York, NY 10027 USA; [Scherer, R. P.; Coenen, J.; Powell, R. D.; Stansell, N. D.] Northern Illinois Univ, Dept Geol &amp; Environm Geosci, De Kalb, IL USA; [Albrecht, T.; Reese, R.] Potsdam Inst Climate Impact Res PIK, Leibniz Assoc, Potsdam, Germany; [Tulaczyk, S.] Univ Calif Santa Cruz, Earth &amp; Planetary Sci Dept, Santa Cruz, CA 95064 USA; [Whitehouse, P. L.] Univ Durham, Dept Geog, Durham, England</t>
  </si>
  <si>
    <t>Columbia University; Northern Illinois University; Potsdam Institut fur Klimafolgenforschung; University of California System; University of California Santa Cruz; Durham University</t>
  </si>
  <si>
    <t>Kingslake, J (corresponding author), Columbia Univ, Lamont Doherty Earth Observ, New York, NY 10027 USA.</t>
  </si>
  <si>
    <t>jkingslake@columbia.edu</t>
  </si>
  <si>
    <t>albrecht, torsten/J-8259-2019; Tulaczyk, Slawek/O-7375-2018</t>
  </si>
  <si>
    <t>albrecht, torsten/0000-0001-7459-2860; Whitehouse, Pippa/0000-0002-9092-3444; Coenen, Jason/0000-0001-5848-5424; Wearing, Martin/0000-0002-8927-8564; Tulaczyk, Slawek/0000-0002-9711-4332; Reese, Ronja/0000-0001-7625-040X</t>
  </si>
  <si>
    <t>Natural Environmental Research Council (NERC) [NE/J008087/1]; NASA [NNX13AM16G, NNX13AK27G]; Deutsche Forschungsgemeinschaft (DFG) [LE1448/6-1, LE1448/7-1]; National Science Foundation (NSF) WISSARD Project [ANT-0839107, ANT-0839142, ANT-0838947, ANT-0839059]; NERC Independent Research Fellowship [NE/K009958/1]; [pr94ga]; Natural Environment Research Council [NE/K009958/1] Funding Source: researchfish; NERC [NE/J008087/1, NE/K009958/1] Funding Source: UKRI</t>
  </si>
  <si>
    <t>Natural Environmental Research Council (NERC)(UK Research &amp; Innovation (UKRI)Natural Environment Research Council (NERC)); NASA(National Aeronautics &amp; Space Administration (NASA)); Deutsche Forschungsgemeinschaft (DFG)(German Research Foundation (DFG)); National Science Foundation (NSF) WISSARD Project(National Science Foundation (NSF)); NERC Independent Research Fellowship(UK Research &amp; Innovation (UKRI)Natural Environment Research Council (NERC)); ; Natural Environment Research Council(UK Research &amp; Innovation (UKRI)Natural Environment Research Council (NERC)); NERC(UK Research &amp; Innovation (UKRI)Natural Environment Research Council (NERC))</t>
  </si>
  <si>
    <t>J.K. and the Weddell Sea fieldwork were funded by Natural Environmental Research Council (NERC) grant NE/J008087/1, led by R. Hindmarsh. Logistical support was provided by many members of the British Antarctic Survey's air unit and field operations team. We particularly thank I. Rudkin and S. Webster for assistance in the field. We also thank H. Pritchard for supplying bed elevation data and Schlumberger Limited for a software donation. PISM development is supported by NASA grants NNX13AM16G and NNX13AK27G. T.A. is supported by the Deutsche Forschungsgemeinschaft (DFG) in the framework of the priority program Antarctic Research with comparative investigations in Arctic ice areas' through grants LE1448/6-1 and LE1448/7-1. We acknowledge the European Regional Development Fund, the German Federal Ministry of Education and Research, and the Land Brandenburg for providing high-performance computer resources at the Potsdam Institute for Climate Impact Research. We also thank the Gauss Centre for Supercomputing e.V. (http://www.gauss-centre.eu) for providing computing time on the GCS Supercomputer SuperMUC at Leibniz Supercomputing Centre (http://www.lrz.de; project code pr94ga). We thank C. Buizert for providing ice-core temperature reconstructions; D. Peltier for access to eustatic sea-level reconstructions; J. Lenaerts for surface mass balance data from the RACMO climate model; and S. Jamieson for providing the RAISED consortium's grounding-line reconstructions. R.P.S., J.C., R.D.P. and S.T. were funded by National Science Foundation (NSF) WISSARD Project grants ANT-0839107, ANT-0839142, ANT-0838947 and ANT-0839059. Collection of subglacial sediment samples at Subglacial Lake Whillans and the Whillans Grounding Zone was facilitated by the US Antarctic Program and the efforts of multiple field support teams, including the drilling team from the University of Nebraska-Lincoln and WISSARD traverse personnel, as well as by Air National Guard and Kenn Borek Air who provided air support. WIS, KIS and BIS samples were recovered by B. Kamb's program at the California Institute of Technology (1988-2001), which included R.P.S. and S.T.; samples from the US Antarctic Program's Ross Ice Shelf Project (1977-1979) cores were made available for study by the US Antarctic Sediment Core Repository, Florida State University. P.L.W. is funded by a NERC Independent Research Fellowship (NE/K009958/1). This research is a contribution to the Scientific Committee on Antarctic Research (SCAR) Solid Earth Response and Influence on Cryosphere Evolution (SERCE) program. We thank R. Arthern, R. Bell, R. Hindmarsh, C. Martin, J. Southon and K. Tinto for discussions that contributed to this study. We particularly thank D. Pollard for sharing ideas and unpublished Penn State model outputs for discussion.</t>
  </si>
  <si>
    <t>10.1038/s41586-018-0208-x</t>
  </si>
  <si>
    <t>GK3IU</t>
  </si>
  <si>
    <t>WOS:000436037800047</t>
  </si>
  <si>
    <t>Rae, JWB; Broecker, W</t>
  </si>
  <si>
    <t>Rae, James W. B.; Broecker, Wally</t>
  </si>
  <si>
    <t>What fraction of the Pacific and Indian oceans' deep water is formed in the Southern Ocean?</t>
  </si>
  <si>
    <t>GLOBAL OCEAN; OVERTURNING CIRCULATION; RADIOCARBON; SEA; DISTRIBUTIONS; VENTILATION; PHOSPHATE; TRANSPORT; CLOSURE; FLOW</t>
  </si>
  <si>
    <t>In this contribution we explore constraints on the fractions of deep water present in the Indian and Pacific oceans which originated in the northern Atlantic and in the Southern Ocean. Based on PO4* we show that if ventilated Antarctic shelf waters characterize the Southern contribution, then the proportions could be close to 50-50. If instead a Southern Ocean bottom water value is used, the Southern contribution is increased to 75 %. While this larger estimate may best characterize the volume of water entering the Indo-Pacific from the Southern Ocean, it contains a significant portion of entrained northern water. We also note that ventilation may be highly tracer dependent: for instance Southern Ocean waters may contribute only 35% of the deep radiocarbon budget, even if their volumetric contribution is 75 %. In our estimation, the most promising approaches involve using CFC-11 to constrain the amount of deep water formed in the Southern Ocean. Finally, we highlight the broad utility of PO4* as a tracer of deep water masses, including descending plumes of Antarctic Bottom Water and large-scale patterns of deep ocean mixing, and as a tracer of the efficiency of the biological pump.</t>
  </si>
  <si>
    <t>[Rae, James W. B.] Univ St Andrews, Sch Earth &amp; Environm Sci, Irvine Bldg, St Andrews KY16 9AL, Fife, Scotland; [Broecker, Wally] Columbia Univ, Lamont Doherty Earth Observ, 61 Route 9W,POB 1000, Palisades, NY 10964 USA</t>
  </si>
  <si>
    <t>University of St Andrews; Columbia University</t>
  </si>
  <si>
    <t>Rae, JWB (corresponding author), Univ St Andrews, Sch Earth &amp; Environm Sci, Irvine Bldg, St Andrews KY16 9AL, Fife, Scotland.;Broecker, W (corresponding author), Columbia Univ, Lamont Doherty Earth Observ, 61 Route 9W,POB 1000, Palisades, NY 10964 USA.</t>
  </si>
  <si>
    <t>jwbr@st-andrews.ac.uk; broecker@ldeo.columbia.edu</t>
  </si>
  <si>
    <t>Rae, James/R-3812-2017</t>
  </si>
  <si>
    <t>Rae, James/0000-0003-3904-2526</t>
  </si>
  <si>
    <t>Comer Science and Education Foundation; NERC [NE/N003861/1, NE/N011716/1]; School of Earth and Environmental Sciences at the University of St Andrews; NERC [NE/N003861/1, NE/N011716/1] Funding Source: UKRI</t>
  </si>
  <si>
    <t>Comer Science and Education Foundation; NERC(UK Research &amp; Innovation (UKRI)Natural Environment Research Council (NERC)); School of Earth and Environmental Sciences at the University of St Andrews; NERC(UK Research &amp; Innovation (UKRI)Natural Environment Research Council (NERC))</t>
  </si>
  <si>
    <t>We thank Jake Gebbie and Jean Lynch-Steiglitz for their thoughtful reviews, and Jake Gebbie, Greg Johnson, and Jess Adkins for helpful discussions, all of which substantially improved this paper. We also thank Matthew Mazloff for making PO4* available as part of the B-SOSE product (http://sose.ucsd.edu/BSOSE_iter105_solution.html, last access: 13 June 2018). Wally Broecker acknowledges funding from the Comer Science and Education Foundation. James W. B. Rae acknowledges funding from NERC standard grants NE/N003861/1 and NE/N011716/1, and support from the School of Earth and Environmental Sciences at the University of St Andrews during Wally Broecker's visit, which sparked the discussions that led to this paper.</t>
  </si>
  <si>
    <t>10.5194/bg-15-3779-2018</t>
  </si>
  <si>
    <t>GK1EZ</t>
  </si>
  <si>
    <t>WOS:000435857800001</t>
  </si>
  <si>
    <t>Massom, RA; Scambos, TA; Bennetts, LG; Reid, P; Squire, VA; Stammerjohn, SE</t>
  </si>
  <si>
    <t>Massom, Robert A.; Scambos, Theodore A.; Bennetts, Luke G.; Reid, Phillip; Squire, Vernon A.; Stammerjohn, Sharon E.</t>
  </si>
  <si>
    <t>Antarctic ice shelf disintegration triggered by sea ice loss and ocean swell</t>
  </si>
  <si>
    <t>MERTZ GLACIER; FLEXURAL WAVES; MCMURDO-SOUND; LARSEN; PENINSULA; COLLAPSE; STABILITY; SUMMER; TONGUE; TRANSECTS</t>
  </si>
  <si>
    <t>Understanding the causes of recent catastrophic ice shelf disintegrations is a crucial step towards improving coupled models of the Antarctic Ice Sheet and predicting its future state and contribution to sea-level rise. An overlooked climate related causal factor is regional sea ice loss. Here we show that for the disintegration events observed (the collapse of the Larsen A and B and Wilkins ice shelves), the increased seasonal absence of a protective sea ice buffer enabled increased flexure of vulnerable outer ice shelf margins by ocean swells that probably weakened them to the;point of calving. This outer-margin calving triggered wider-scale disintegration of ice shelves compromised by multiple factors in preceding years, with key prerequisites being extensive flooding and miter-margin fracturing. Wave-induced flexure is particularly effective in outermost ice shelf regions thinned by bottom crevassing. Our analysis of satellite and ocean-wave data and modelling of combined ice shelf, sea ice and wave properties, highlights the need for ice sheet models to account for sea ice and ocean waves.</t>
  </si>
  <si>
    <t>[Massom, Robert A.] Australian Antarctic Div, Kingston, Tas, Australia; [Massom, Robert A.; Reid, Phillip] Antarctic Climate &amp; Ecosyst CRC, Hobart, Tas, Australia; [Scambos, Theodore A.] Univ Colorado, Natl Snow &amp; Ice Data Ctr, Boulder, CO 80309 USA; [Bennetts, Luke G.] Univ Adelaide, Sch Math Sci, Adelaide, SA, Australia; [Reid, Phillip] Australian Bur Meteorol, Hobart, Tas, Australia; [Squire, Vernon A.] Univ Otago, Dunedin, New Zealand; [Stammerjohn, Sharon E.] Univ Colorado, Inst Arctic &amp; Alpine Res, Boulder, CO 80309 USA</t>
  </si>
  <si>
    <t>Australian Antarctic Division; University of Tasmania; University of Colorado System; University of Colorado Boulder; University of Adelaide; Bureau of Meteorology - Australia; University of Otago; University of Colorado System; University of Colorado Boulder</t>
  </si>
  <si>
    <t>Massom, RA (corresponding author), Australian Antarctic Div, Kingston, Tas, Australia.;Massom, RA (corresponding author), Antarctic Climate &amp; Ecosyst CRC, Hobart, Tas, Australia.</t>
  </si>
  <si>
    <t>rob.massom@aad.gov.au</t>
  </si>
  <si>
    <t>Scambos, Ted A/B-1856-2009; Bennetts, Luke/N-1448-2019</t>
  </si>
  <si>
    <t>Bennetts, Luke/0000-0001-9386-7882; Squire, Vernon/0000-0002-5570-3446; SCAMBOS, Ted A./0000-0003-4268-6322; Massom, Robert/0000-0003-1533-5084</t>
  </si>
  <si>
    <t>Australian Government's Cooperative Research Centres Programme through the Antarctic Climate and Ecosystems Cooperative Research Centre [4116]; NSF [PLR 17-020175, PLR 1440435]; US Office of Naval Research Departmental Research Initiative Sea State and Boundary Layer Physics of the Emerging Arctic Ocean [N00014-131-0279]</t>
  </si>
  <si>
    <t>Australian Government's Cooperative Research Centres Programme through the Antarctic Climate and Ecosystems Cooperative Research Centre(Australian GovernmentDepartment of Industry, Innovation and ScienceCooperative Research Centres (CRC) Programme); NSF(National Science Foundation (NSF)); US Office of Naval Research Departmental Research Initiative Sea State and Boundary Layer Physics of the Emerging Arctic Ocean(Office of Naval Research)</t>
  </si>
  <si>
    <t>This work contributes to Australian Antarctic Science project 4116, and was supported by the Australian Government's Cooperative Research Centres Programme through the Antarctic Climate and Ecosystems Cooperative Research Centre. It also contributes to the World Climate Research Programme (WCRP) Climate and Cryosphere (CIiC) project Targeted Activity Linkages Between Cryosphere Elements. T.A.S. acknowledges NSF PLR 17-020175 and S.E.S. acknowledges NSF PLR 1440435. V.A.S. acknowledges the US Office of Naval Research Departmental Research Initiative Sea State and Boundary Layer Physics of the Emerging Arctic Ocean (award number N00014-131-0279) and the University of Otago. We appreciate the assistance of N. Glasser for Fig. 6b, c illustrating shelf fractures. We thank referees J. Hutchings, E. Rogers and R. Shen for their comments, which undoubtedly strengthened the paper.</t>
  </si>
  <si>
    <t>10.1038/s41586-018-0212-1</t>
  </si>
  <si>
    <t>WOS:000436037800038</t>
  </si>
  <si>
    <t>Allison, P; Banerjee, O; Beatty, JJ; Connolly, A; Deaconu, C; Gordon, J; Gorham, PW; Kovacevich, M; Miki, C; Oberla, E; Roberts, J; Rotter, B; Stafford, S; Tatem, K; Batten, L; Belov, K; Besson, DZ; Binns, WR; Bugaev, V; Cao, P; Chen, C; Chen, P; Chen, Y; Clem, JM; Cremonesi, L; Dailey, B; Dowkontt, PF; Hsu, S; Huang, J; Hupe, R; Israel, MH; Kowalski, J; Lam, J; Learned, JG; Liewer, KM; Liu, TC; Ludwig, AB; Matsuno, S; Mulrey, K; Nam, J; Nichol, RJ; Novikov, A; Prohira, S; Rauch, BF; Ripa, J; Romero-Wolf, A; Russell, J; Saltzberg, D; Seckel, D; Shiao, J; Stockham, J; Stockham, M; Strutt, B; Varner, GS; Vieregg, AG; Wang, S; Wissel, SA; Wu, F; Young, R</t>
  </si>
  <si>
    <t>Allison, P.; Banerjee, O.; Beatty, J. J.; Connolly, A.; Deaconu, C.; Gordon, J.; Gorham, P. W.; Kovacevich, M.; Miki, C.; Oberla, E.; Roberts, J.; Rotter, B.; Stafford, S.; Tatem, K.; Batten, L.; Belov, K.; Besson, D. Z.; Binns, W. R.; Bugaev, V.; Cao, P.; Chen, C.; Chen, P.; Chen, Y.; Clem, J. M.; Cremonesi, L.; Dailey, B.; Dowkontt, P. F.; Hsu, S.; Huang, J.; Hupe, R.; Israel, M. H.; Kowalski, J.; Lam, J.; Learned, J. G.; Liewer, K. M.; Liu, T. C.; Ludwig, A. B.; Matsuno, S.; Mulrey, K.; Nam, J.; Nichol, R. J.; Novikov, A.; Prohira, S.; Rauch, B. F.; Ripa, J.; Romero-Wolf, A.; Russell, J.; Saltzberg, D.; Seckel, D.; Shiao, J.; Stockham, J.; Stockham, M.; Strutt, B.; Varner, G. S.; Vieregg, A. G.; Wang, S.; Wissel, S. A.; Wu, F.; Young, R.</t>
  </si>
  <si>
    <t>Dynamic tunable notch filters for the Antarctic Impulsive Transient Antenna (ANITA)</t>
  </si>
  <si>
    <t>NUCLEAR INSTRUMENTS &amp; METHODS IN PHYSICS RESEARCH SECTION A-ACCELERATORS SPECTROMETERS DETECTORS AND ASSOCIATED EQUIPMENT</t>
  </si>
  <si>
    <t>Neutrino radio detection; Ultra-high-energy; Notch filtering; Military communications satellites</t>
  </si>
  <si>
    <t>The Antarctic Impulsive Transient Antenna (ANITA) is a NASA long-duration balloon experiment with the primary goal of detecting ultra-high-energy (&gt; 10(18) eV) neutrinos via the Askaryan Effect. The fourth ANITA mission, ANITA-IV, recently flew from Dec 2 to Dec 29, 2016. For the first time, the Tunable Universal Filter Frontend (TUFF) boards were deployed for mitigation of narrow-band, anthropogenic noise with tunable, switchable notch filters. The TUFF boards also performed second-stage amplification by approximately 45 dB to boost the similar to mu V-level radio frequency (RF) signals to similar to mV-level for digitization, and supplied power via bias tees to the first-stage, antenna-mounted amplifiers. The other major change in signal processing in ANITA-IV is the resurrection of the 90. hybrids deployed previously in ANITA-I, in the trigger system, although in this paper we focus on the TUFF boards. During the ANITA-IV mission, the TUFF boards were successfully operated throughout the flight. They contributed to a factor of 2.8 higher total instrument livetime on average in ANITA-IV compared to ANITA-III due to reduction of narrow-band, anthropogenic noise before a trigger decision is made.</t>
  </si>
  <si>
    <t>[Allison, P.; Banerjee, O.; Beatty, J. J.; Connolly, A.; Gordon, J.; Kovacevich, M.; Stafford, S.; Dailey, B.; Hupe, R.] Ohio State Univ, Dept Phys, Columbus, OH 43210 USA; [Banerjee, O.] Ctr Cosmol &amp; Astroparticle Phys, Columbus, OH USA; [Batten, L.; Cremonesi, L.; Nichol, R. J.; Novikov, A.; Prohira, S.] UCL, Dept Phys &amp; Astron, London, England; [Belov, K.; Liewer, K. M.; Romero-Wolf, A.] Jet Prop Lab, Pasadena, CA 91109 USA; [Besson, D. Z.; Stockham, J.; Stockham, M.; Young, R.] Univ Kansas, Dept Phys &amp; Astron, Lawrence, KS 66045 USA; [Binns, W. R.; Bugaev, V.; Israel, M. H.; Rauch, B. F.] Washington Univ, Dept Phys, St Louis, MO 63130 USA; [Cao, P.; Seckel, D.] Univ Delaware, Dept Phys, Newark, DE 19716 USA; [Deaconu, C.; Oberla, E.; Vieregg, A. G.] Univ Chicago, Kavli Inst Cosmol Phys, Enrico Fermi Inst, Dept Phys, Chicago, IL 60637 USA; [Gorham, P. W.; Miki, C.; Roberts, J.; Rotter, B.; Tatem, K.; Kowalski, J.; Learned, J. G.; Matsuno, S.; Varner, G. S.] Univ Hawaii, Dept Phys &amp; Astron, Manoa, HI 96822 USA; [Chen, C.; Chen, P.; Chen, Y.; Hsu, S.; Huang, J.; Liu, T. C.; Ripa, J.] Natl Taiwan Univ, Leung Ctr Cosmol &amp; Particle Astrophys, Grad Inst Astrophys, Dept Phys, Taipei, Taiwan; [Dowkontt, P. F.; Lam, J.; Saltzberg, D.; Strutt, B.; Wu, F.] Univ Calif Los Angeles, Dept Phys &amp; Astron, Los Angeles, CA 90095 USA; [Besson, D. Z.] Natl Res Nucl Univ, Moscow Engn Phys Inst, 31 Kashirskoye Highway, Moscow, Russia; [Wissel, S. A.] Calif Polytech State Univ San Luis Obispo, Dept Phys, San Luis Obispo, CA 93407 USA</t>
  </si>
  <si>
    <t>University System of Ohio; Ohio State University; University of London; University College London; National Aeronautics &amp; Space Administration (NASA); NASA Jet Propulsion Laboratory (JPL); University of Kansas; Washington University (WUSTL); University of Delaware; University of Chicago; University of Hawaii System; University of Hawaii Manoa; National Taiwan University; University of California System; University of California Los Angeles; National Research Nuclear University MEPhI (Moscow Engineering Physics Institute); California State University System; California Polytechnic State University San Luis Obispo</t>
  </si>
  <si>
    <t>Banerjee, O (corresponding author), Ohio State Univ, Dept Phys, Columbus, OH 43210 USA.</t>
  </si>
  <si>
    <t>banerjee.104@osu.edu</t>
  </si>
  <si>
    <t>Nichol, Ryan/C-1645-2008; Chen, Pisin/IAO-8769-2023; Beatty, James/D-9310-2011; Belov, Konstantin V/D-2520-2013; Jakub, Ripa/F-7526-2017; Novikov, Alexander S/L-7538-2016</t>
  </si>
  <si>
    <t>Nichol, Ryan/0000-0003-0557-0443; Chen, Pisin/0000-0001-5251-7210; Beatty, James/0000-0003-0481-4952; Belov, Konstantin V/0000-0002-8861-110X; Jakub, Ripa/0000-0003-3994-7528; Wissel, Stephanie/0000-0003-0569-6978; Deaconu, Cosmin/0000-0002-4953-6397; Novikov, Alexander/0000-0002-1086-7252; Gorham, Peter/0000-0002-0923-9363; Ludwig, Andrew/0000-0001-9038-4375; Mulrey, Katharine/0000-0001-8026-8020; Cremonesi, Linda/0000-0003-0711-1056; Tatem, Kathleen V./0000-0002-3097-6018; Allison, Patrick/0000-0001-8141-2653</t>
  </si>
  <si>
    <t>NASA [NNX15AC20G]; National Science Foundation [1255557]; Cosmology and Astroparticle Student and Postdoc Exchange Network (CASPEN); STFC [ST/N000285/1, PP/E006876/1] Funding Source: UKRI; NASA [809082, NNX15AC20G] Funding Source: Federal RePORTER</t>
  </si>
  <si>
    <t>NASA(National Aeronautics &amp; Space Administration (NASA)); National Science Foundation(National Science Foundation (NSF)); Cosmology and Astroparticle Student and Postdoc Exchange Network (CASPEN); STFC(UK Research &amp; Innovation (UKRI)Science &amp; Technology Facilities Council (STFC)); NASA(National Aeronautics &amp; Space Administration (NASA))</t>
  </si>
  <si>
    <t>We are grateful to NASA for their support for ANITA through Grant NNX15AC20G. We thank the U.S. National Science Foundation-Office of Polar Programs. A. Connolly would like to thank the National Science Foundation for their support through CAREER award 1255557. This work was also supported by collaborative visits funded by the Cosmology and Astroparticle Student and Postdoc Exchange Network (CASPEN). Lastly, we thank Brian Clark, Ian Best and Suren Gourapura for their valuable feedback.</t>
  </si>
  <si>
    <t>0168-9002</t>
  </si>
  <si>
    <t>1872-9576</t>
  </si>
  <si>
    <t>NUCL INSTRUM METH A</t>
  </si>
  <si>
    <t>Nucl. Instrum. Methods Phys. Res. Sect. A-Accel. Spectrom. Dect. Assoc. Equip.</t>
  </si>
  <si>
    <t>10.1016/j.nima.2018.03.059</t>
  </si>
  <si>
    <t>Instruments &amp; Instrumentation; Nuclear Science &amp; Technology; Physics, Nuclear; Physics, Particles &amp; Fields</t>
  </si>
  <si>
    <t>Instruments &amp; Instrumentation; Nuclear Science &amp; Technology; Physics</t>
  </si>
  <si>
    <t>GD7PO</t>
  </si>
  <si>
    <t>WOS:000430704600007</t>
  </si>
  <si>
    <t>Kudo, G; Aoshima, Y; Miyata, R; Winkler, DE</t>
  </si>
  <si>
    <t>Kudo, Gaku; Aoshima, Yuta; Miyata, Rie; Winkler, Daniel E.</t>
  </si>
  <si>
    <t>Altered morphologies and physiological compensation in a rapidly expanding dwarf bamboo in alpine ecosystems</t>
  </si>
  <si>
    <t>Altitude; biomass allocation; carbon fixation; range expansion; Sasa kurilensis</t>
  </si>
  <si>
    <t>SOIL-MOISTURE; SHRUB EXPANSION; CLIMATE-CHANGE; FOREST; TUNDRA; PLANT; INVASION; RANGE; TREE; PHOTOSYNTHESIS</t>
  </si>
  <si>
    <t>Dwarf bamboos are evergreen woody grasses that produce large clonal patches and dominate the understories of the montane to subalpine zones of northern Japan. Recently, dwarf bamboos have expanded their distribution to above the treeline and into alpine meadows. To clarify the mechanism of rapid invasion into the alpine, we compared the morphological performance, biomass allocation, photosynthetic activity, CO2 fixation ability, and sensitivity to temperature of dwarf bamboos in their native montane and expanding alpine sites in the Taisetsu Mountains. Alpine bamboo produced shorter but denser aboveground structures, where leaves were smaller and branching was more frequent. The total biomass of alpine bamboo was nearly half of that produced by montane bamboo. Montane bamboo produced more stems, while alpine bamboo invested more carbon in belowground structures. CO2 fixation per land area by alpine bamboo was 1.3 times higher than rates observed in montane bamboo. Optimal temperatures for photosynthesis were lower in alpine bamboo (15-20 degrees C) than in montane bamboo (20-25 degrees C), probably because of the rapid decrease in stomatal conductance at higher temperatures (&gt;20 degrees C) observed in the alpine site. Overall, leaf transpiration rates were higher in alpine bamboo, but water-use efficiency was similar between sites. A high flexibility in both morphological and physiological characteristics enabled dwarf bamboos to expand into alpine environments in response to recent climate change.</t>
  </si>
  <si>
    <t>[Kudo, Gaku; Aoshima, Yuta] Hokkaido Univ, Fac Environm Earth Sci, Sapporo, Hokkaido, Japan; [Miyata, Rie] Kobe Coll Jr &amp; Senior High Sch, Nishinomiya, Hyogo, Japan; [Winkler, Daniel E.] Univ Calif Irvine, Dept Ecol &amp; Evolutionary Biol, Irvine, CA 92717 USA</t>
  </si>
  <si>
    <t>Hokkaido University; University of California System; University of California Irvine</t>
  </si>
  <si>
    <t>Kudo, G (corresponding author), Hokkaido Univ, Fac Environm Earth Sci, Sapporo, Hokkaido, Japan.</t>
  </si>
  <si>
    <t>gaku@ees.hokudai.ac.jp</t>
  </si>
  <si>
    <t>Winkler, Daniel E./C-5710-2019; Kudo, Gaku/A-2733-2015</t>
  </si>
  <si>
    <t>Winkler, Daniel E./0000-0003-4825-9073; Kudo, Gaku/0000-0002-6488-818X</t>
  </si>
  <si>
    <t>JSPS KAKENHI [24570015, 15K00524]; National Science Foundation [IIA-1414603]; JSPS summer program; Grants-in-Aid for Scientific Research [24570015, 15K00524] Funding Source: KAKEN</t>
  </si>
  <si>
    <t>JSPS KAKENHI(Ministry of Education, Culture, Sports, Science and Technology, Japan (MEXT)Japan Society for the Promotion of ScienceGrants-in-Aid for Scientific Research (KAKENHI)); National Science Foundation(National Science Foundation (NSF)); JSPS summer program; Grants-in-Aid for Scientific Research(Ministry of Education, Culture, Sports, Science and Technology, Japan (MEXT)Japan Society for the Promotion of ScienceGrants-in-Aid for Scientific Research (KAKENHI))</t>
  </si>
  <si>
    <t>This study was supported by JSPS KAKENHI Grant Nos. 24570015 and 15K00524 to GK and JSPS summer program and National Science Foundation Grant No. IIA-1414603 to DEW.</t>
  </si>
  <si>
    <t>JUN 20</t>
  </si>
  <si>
    <t>e1463733</t>
  </si>
  <si>
    <t>10.1080/15230430.2018.1463733</t>
  </si>
  <si>
    <t>GN1HY</t>
  </si>
  <si>
    <t>WOS:000438741100001</t>
  </si>
  <si>
    <t>Genovese, C; Grotti, M; Pittaluga, J; Ardini, F; Janssens, J; Wuttig, K; Moreau, S; Lannuzel, D</t>
  </si>
  <si>
    <t>Genovese, Cristina; Grotti, Marco; Pittaluga, Jessica; Ardini, Francisco; Janssens, Julie; Wuttig, Kathrin; Moreau, Sebastien; Lannuzel, Delphine</t>
  </si>
  <si>
    <t>Influence of organic complexation on dissolved iron distribution in East Antarctic pack ice</t>
  </si>
  <si>
    <t>Iron speciation; Sea ice; Pack ice; Organic ligands; Southern Ocean</t>
  </si>
  <si>
    <t>LIMITS PHYTOPLANKTON GROWTH; SEA-ICE; SOUTHERN-OCEAN; HUMIC SUBSTANCES; NATURAL-WATERS; TRACE-METALS; EXOPOLYMERIC SUBSTANCES; PRIMARY PRODUCTIVITY; EQUATORIAL PACIFIC; COMPLEXING LIGANDS</t>
  </si>
  <si>
    <t>Since Antarctic sea ice covers an area larger than the Antarctic continent itself, the discovery that it can fertilize the Southern Ocean with iron (Fe) has fostered a new breadth of research in recent years. In order to test the hypothesis that Fe-binding organic ligands control the distribution of dissolved iron (DFe) in Antarctic pack ice, iron organic speciation was investigated in samples collected during the Sea Ice Physics and Ecosystem eXperiment-2 (SIPEX-2) voyage in Austral winter/spring 2012. Dissolved Fe was measured using sector field inductively coupled plasma mass spectrometry, and iron organic speciation parameters were determined by competitive ligand equilibration - adsorptive cathodic stripping voltammetry method, using 1-nitroso-2-naphthol (NN) as the added ligand. The concentration of Fe-binding organic ligands (Lt) ranged from 4.9 nM to 41 nM (average of 14.9 +/- 8.4 nM, n = 34), and was always higher than the corresponding DFe (average of 7.5 +/- 4.5 nM, n = 34). Conditional stability constants (log K'(Fe'L) = 11.7-13.0) were similar to those previously observed in land-fast ice. Concentrations of DFe and Lt displayed similar depth profiles; their strong correlation (Spearman's rho = 0.80, p &lt; 0.001) suggested that Fe-binding organic ligands control DFe distribution in Antarctic pack ice. Unlike results previously obtained for land-fast ice, Fe-binding organic ligands in pack ice were never saturated with iron (Lt/DFe &gt; 1). Estimates showed that pack ice would have released 0.45 mu mol/m(2)/d of Lt during spring melt, 0.21 mu mol/m(2)/d of which are free from Fe binding, and hence available for further complexation. Therefore, it is suggested that this excess of Fe-free ligands may play a key role in controlling the solubility of free or newly formed Fe in surface waters before the peak of primary production, outcompeting the Fe-binding organic ligands already present in seawater.</t>
  </si>
  <si>
    <t>[Genovese, Cristina; Janssens, Julie; Moreau, Sebastien; Lannuzel, Delphine] Univ Tasmania, Inst Marine &amp; Antarctic Studies, Locked Bag 129, Hobart, Tas 7001, Australia; [Grotti, Marco; Pittaluga, Jessica; Ardini, Francisco] Univ Genoa, Dept Chem &amp; Ind Chem, Via Dodecaneso 31, I-16146 Genoa, Italy; [Janssens, Julie; Wuttig, Kathrin; Lannuzel, Delphine] Antarctic Climate &amp; Ecosyst CRC, Private Bag 80, Hobart, Tas 7001, Australia; [Janssens, Julie] Dept Environm &amp; Energy, Australian Antarctic Div, 2013 Channel Highway, Kingston, Tas 7050, Australia</t>
  </si>
  <si>
    <t>University of Tasmania; University of Genoa; University of Tasmania; Australian Antarctic Division</t>
  </si>
  <si>
    <t>Ardini, F (corresponding author), Univ Genoa, Dept Chem &amp; Ind Chem, Via Dodecaneso 31, I-16146 Genoa, Italy.</t>
  </si>
  <si>
    <t>ardini@chimica.unige.it</t>
  </si>
  <si>
    <t>Grotti, Marco/HGU-3949-2022; Wuttig, Kathrin/O-2888-2019; Ardini, Francisco/Q-1965-2017; lannuzel, delphine/J-7937-2014</t>
  </si>
  <si>
    <t>Grotti, Marco/0000-0001-6956-5761; Wuttig, Kathrin/0000-0003-4010-5918; Ardini, Francisco/0000-0003-0094-9227; lannuzel, delphine/0000-0001-6154-1837; Moreau, Sebastien/0000-0001-9446-812X; Janssens, Julie/0000-0003-1789-9940; Genovese, Cristina/0000-0002-9015-020X</t>
  </si>
  <si>
    <t>Australian Research Council [LE0989539, DE120100030]; Australian Government Cooperative Research Centres Programme through the Antarctic Climate &amp; Ecosystems (ACE CRC, ACE-Carbon 2.1); Australian Antarctic Science (AAS) [4051]; Australian Research Council's Special Research Initiative [SR140300001]; Australian Antarctic Science program; Australian Research Council [LE0989539, DE120100030] Funding Source: Australian Research Council</t>
  </si>
  <si>
    <t>Australian Research Council(Australian Research Council); Australian Government Cooperative Research Centres Programme through the Antarctic Climate &amp; Ecosystems (ACE CRC, ACE-Carbon 2.1)(Australian GovernmentDepartment of Industry, Innovation and ScienceCooperative Research Centres (CRC) Programme); Australian Antarctic Science (AAS); Australian Research Council's Special Research Initiative(Australian Research Council); Australian Antarctic Science program; Australian Research Council(Australian Research Council)</t>
  </si>
  <si>
    <t>This work was co-funded by the Australian Research Council (LE0989539 and DE120100030), the Australian Government Cooperative Research Centres Programme through the Antarctic Climate &amp; Ecosystems (ACE CRC, ACE-Carbon 2.1) and the Australian Antarctic Science (AAS) project no. 4051. C. Genovese and S. Moreau are supported by the Australian Research Council's Special Research Initiative for Antarctic Gateway Partnership (Project ID SR140300001). J. Janssens was supported by the Australian Antarctic Science program jointly led by the University of Tasmania and the Australian Antarctic Division. The authors would like to thank the officers and crew of the RV Aurora Australis for their logistic support during the SIPEX-2 voyage and Dr. Fanny Chever who helped in the collection of the trace metal ice cores. The authors thank Manon Tonnard, Pamela Quayle and the two reviewers for their comments which tremendously improved the manuscript.</t>
  </si>
  <si>
    <t>10.1016/j.marchem.2018.04.005</t>
  </si>
  <si>
    <t>GM6WY</t>
  </si>
  <si>
    <t>WOS:000438320900004</t>
  </si>
  <si>
    <t>Pallin, L; Robbins, J; Kellar, N; Bérubé, M; Friedlaender, A</t>
  </si>
  <si>
    <t>Pallin, Logan; Robbins, Jooke; Kellar, Nicholas; Berube, Martine; Friedlaender, Ari</t>
  </si>
  <si>
    <t>Validation of a blubber-based endocrine pregnancy test for humpback whales</t>
  </si>
  <si>
    <t>CONSERVATION PHYSIOLOGY</t>
  </si>
  <si>
    <t>Biopsy; blubber; humpback whale; life history; pregnancy; progesterone</t>
  </si>
  <si>
    <t>KILLER WHALES; PROGESTERONE; CETACEANS; MORTALITY; HORMONE; SAMPLES; CALVES; SEX</t>
  </si>
  <si>
    <t>Baleen whales have few identifiable external indicators of pregnancy state, making it challenging to study essential aspects of their biology and population dynamics. Pregnancy status in other marine mammals has been determined by measuring progesterone concentrations from a variety of sample matrices, but logistical constraints have limited such studies in free-swimming baleen whales. We use an extensive blubber sample archive and associated calving history data to retrospectively identify samples that correspond to pregnant females and develop a progesterone-based pregnancy test for humpback whales. The lowest pregnant blubber progesterone concentration was 54.97 ng g(-1), and the mean for the known-pregnant group was 198.74 +/- 180.65 ng g(-1). Conversely, females known to be below the minimum age of sexual maturity (juvenile females) had an overall low mean progesterone concentration (0.59 +/- 0.25 ng g(-1)), well below the known-pregnant range. Of the mature females that did not return with a calf (n = 11), three fell within the known-pregnant range (320.79 +/- 209.34 ng g(-1)), while the levels for the remaining eight were two orders of magnitude below the lowest known-pregnant level (1.63 +/- 1.15 ng g(-1)). The proportion of females that did not return with a calf but had values similar to known-pregnant females are consistent with rates of calf mortality, but other potential explanations were considered. Our findings support a validated blubber endocrine assignment of pregnancy corroborated with field life history information, a first for any baleen whale species. The progesterone values we measured were similar to those found in different pregnancy states of other cetaceans and support using blubber biopsy samples for assigning pregnancy in humpback whales. This method can be applied to existing archives or new samples to better study life history and population demography broadly across species and populations.</t>
  </si>
  <si>
    <t>[Pallin, Logan; Friedlaender, Ari] Oregon State Univ, Marine Mammal Inst, Fisheries &amp; Wildlife Dept, Hatfield Marine Sci Stn, Newport, OR 97365 USA; [Robbins, Jooke; Berube, Martine] Ctr Coastal Studies, 5 Holway Ave, Provincetown, MA 02657 USA; [Kellar, Nicholas] NOAA, Marine Mammal &amp; Turtle Div, Southwest Fisheries Sci Ctr, Natl Marine Fisheries Serv, 8901 La Jolla Shores Dr, La Jolla, CA 92037 USA; [Berube, Martine] Univ Groningen, Groningen Inst Evolutionary Life Sci, Nijenborgh 7, NL-9747 AG Groningen, Netherlands; [Friedlaender, Ari] Univ Calif Santa Cruz, Inst Marine Sci, Dept Ecol &amp; Evolutionary Biol, 115 McAllister Way, Santa Cruz, CA 95060 USA</t>
  </si>
  <si>
    <t>Oregon State University; National Oceanic Atmospheric Admin (NOAA) - USA; University of Groningen; University of California System; University of California Santa Cruz</t>
  </si>
  <si>
    <t>Pallin, L (corresponding author), Univ Calif Santa Cruz, Dept Ecol &amp; Evolutionary Biol, Coastal Biol Bldg,130 McAllister Way, Santa Cruz, CA 95060 USA.</t>
  </si>
  <si>
    <t>lpallin@ucsc.edu</t>
  </si>
  <si>
    <t>Berube, Martine/IWU-4585-2023; Kellar, Nicholas/AAA-4606-2021</t>
  </si>
  <si>
    <t>Robbins, Jooke/0000-0002-6382-722X; Pallin, Logan/0000-0001-8024-9663; Berube, Martine/0000-0002-1831-2657</t>
  </si>
  <si>
    <t>National Science Foundation Office of Polar Programs award [ANT-0823101]; National Science Foundation Graduate Research Fellowship [DGE1339067]; Oregon State University Marine Mammal Institute</t>
  </si>
  <si>
    <t>National Science Foundation Office of Polar Programs award; National Science Foundation Graduate Research Fellowship(National Science Foundation (NSF)); Oregon State University Marine Mammal Institute</t>
  </si>
  <si>
    <t>Antarctic field work was supported by a National Science Foundation Office of Polar Programs award to A.F. [ANT-0823101] and a National Science Foundation Graduate Research Fellowship awarded to L.P. [Grant no. DGE1339067]. This work was also supported by the Oregon State University Marine Mammal Institute.</t>
  </si>
  <si>
    <t>2051-1434</t>
  </si>
  <si>
    <t>CONSERV PHYSIOL</t>
  </si>
  <si>
    <t>Conserv. Physiol.</t>
  </si>
  <si>
    <t>coy031</t>
  </si>
  <si>
    <t>10.1093/conphys/coy031</t>
  </si>
  <si>
    <t>Biodiversity Conservation; Ecology; Environmental Sciences; Physiology</t>
  </si>
  <si>
    <t>Biodiversity &amp; Conservation; Environmental Sciences &amp; Ecology; Physiology</t>
  </si>
  <si>
    <t>GM6QT</t>
  </si>
  <si>
    <t>WOS:000438297500001</t>
  </si>
  <si>
    <t>Eggleston, S; Galbraith, ED</t>
  </si>
  <si>
    <t>Eggleston, Sarah; Galbraith, Eric D.</t>
  </si>
  <si>
    <t>The devil's in the disequilibrium: multi-component analysis of dissolved carbon and oxygen changes under a broad range of forcings in a general circulation model</t>
  </si>
  <si>
    <t>SOFT-TISSUE PUMP; ATMOSPHERIC CO2; OCEAN VENTILATION; DIOXIDE; CLIMATE; AIR; RESPIRATION; VARIABILITY; SENSITIVITY; PHOSPHATE</t>
  </si>
  <si>
    <t>The complexity of dissolved gas cycling in the ocean presents a challenge for mechanistic understanding and can hinder model intercomparison. One helpful approach is the conceptualization of dissolved gases as the sum of multiple, strictly defined components. Here we decompose dissolved inorganic carbon (DIC) into four components: saturation (DICsat), disequilibrium (DICdis), carbonate (DICcarb), and soft tissue (DICsoft). The cycling of dissolved oxygen is simpler, but can still be aided by considering O-2, O-2sat, and O-2dis. We explore changes in these components within a large suite of simulations with a complex coupled climate-biogeochemical model, driven by changes in astronomical parameters, ice sheets, and radiative forcing, in order to explore the potential importance of the different components to ocean carbon storage on long timescales. We find that both DICsoft and DICdis vary over a range of 40 mu mol kg(-1) in response to the climate forcing, equivalent to changes in atmospheric pCO(2) on the order of 50 ppm for each. The most extreme values occur at the coldest and intermediate climate states. We also find significant changes in O-2 disequilibrium, with large increases under cold climate states. We find that, despite the broad range of climate states represented, changes in global DICsoft can be quantitatively approximated by the product of deep ocean ideal age and the global export production flux. In contrast, global DICdis is dominantly controlled by the fraction of the ocean filled by Antarctic Bottom Water (AABW). Because the AABW fraction and ideal age are inversely correlated among the simulations, DICdis and DICsoft are also inversely correlated, dampening the overall changes in DIC. This inverse correlation could be decoupled if changes in deep ocean mixing were to alter ideal age independently of AABW fraction, or if independent ecosystem changes were to alter export and remineralization, thereby modifying DICsoft. As an example of the latter, we show that iron fertilization causes both DICsoft and DICdis to increase and that the relationship between these two components depends on the climate state. We propose a simple framework to consider the global contribution of DICsoft + DICdis to ocean carbon storage as a function of the surface preformed nitrate and DICdis of dense water formation regions, the global volume fractions ventilated by these regions, and the global nitrate inventory.</t>
  </si>
  <si>
    <t>[Eggleston, Sarah; Galbraith, Eric D.] Univ Autonoma Barcelona, ICTA, E-08193 Barcelona, Spain; [Galbraith, Eric D.] ICREA, Pg Lluis Co 23, Barcelona 08010, Spain; [Galbraith, Eric D.] McGill Univ, Dept Earth &amp; Planetary Sci, Montreal, PQ H3A 2A7, Canada; [Eggleston, Sarah] Empa, Lab Air Pollut &amp; Environm Technol, Uberlandstr 129, CH-8600 Dubendorf, Switzerland</t>
  </si>
  <si>
    <t>Autonomous University of Barcelona; ICREA; McGill University; Swiss Federal Institutes of Technology Domain; Swiss Federal Laboratories for Materials Science &amp; Technology (EMPA)</t>
  </si>
  <si>
    <t>Eggleston, S (corresponding author), Univ Autonoma Barcelona, ICTA, E-08193 Barcelona, Spain.;Eggleston, S (corresponding author), Empa, Lab Air Pollut &amp; Environm Technol, Uberlandstr 129, CH-8600 Dubendorf, Switzerland.</t>
  </si>
  <si>
    <t>sarah.eggleston@gmail.com</t>
  </si>
  <si>
    <t>Eggleston, Sarah/0000-0003-2775-8826</t>
  </si>
  <si>
    <t>Swiss National Science Foundation; Canadian Foundation for Innovation and Compute Canada; Spanish Ministry of Economy and Competitiveness, through the Maria de Maeztu Programme for Centres/Units of Excellence in RD [MDM-2015-0552]</t>
  </si>
  <si>
    <t>Swiss National Science Foundation(Swiss National Science Foundation (SNSF)); Canadian Foundation for Innovation and Compute Canada; Spanish Ministry of Economy and Competitiveness, through the Maria de Maeztu Programme for Centres/Units of Excellence in RD</t>
  </si>
  <si>
    <t>The authors would like to thank Raffaele Bernardello for very helpful discussion. Sarah Eggleston was funded by a fellowship from the Swiss National Science Foundation. Eric D. Galbraith acknowledges computing support from the Canadian Foundation for Innovation and Compute Canada, and financial support from the Spanish Ministry of Economy and Competitiveness, through the Maria de Maeztu Programme for Centres/Units of Excellence in R&amp;D (MDM-2015-0552).</t>
  </si>
  <si>
    <t>10.5194/bg-15-3761-2018</t>
  </si>
  <si>
    <t>GJ8PT</t>
  </si>
  <si>
    <t>WOS:000435652900004</t>
  </si>
  <si>
    <t>Grooss, JU; Müller, R; Spang, R; Tritscher, I; Wegner, T; Chipperfield, MP; Feng, WH; Kinnison, DE; Madronich, S</t>
  </si>
  <si>
    <t>Grooss, Jens-Uwe; Mueller, Rolf; Spang, Reinhold; Tritscher, Ines; Wegner, Tobias; Chipperfield, Martyn P.; Feng, Wuhu; Kinnison, Douglas E.; Madronich, Sasha</t>
  </si>
  <si>
    <t>On the discrepancy of HCl processing in the core of the wintertime polar vortices</t>
  </si>
  <si>
    <t>STRATOSPHERIC CLOUD COMPOSITION; LARGE HNO3-CONTAINING PARTICLES; GALACTIC COSMIC-RAYS; OZONE DEPLETION; CHLORINE ACTIVATION; NITRIC-ACID; PRECIPITATION EVENTS; PINATUBO ERUPTION; MIDDLE ATMOSPHERE; ION CHEMISTRY</t>
  </si>
  <si>
    <t>More than 3 decades after the discovery of the ozone hole, the processes involved in its formation are believed to be understood in great detail. Current state-of the-art models can reproduce the observed chemical composition in the springtime polar stratosphere, especially regarding the quantification of halogen-catalysed ozone loss. However, we report here on a discrepancy between simulations and observations during the less-well-studied period of the onset of chlorine activation. During this period, which in the Antarctic is between May and July, model simulations significantly overestimate HCl, one of the key chemical species, inside the polar vortex during polar night. This HCl discrepancy is also observed in the Arctic. The discrepancy exists in different models to varying extents; here, we discuss three independent ones, the Chemical Lagrangian Model of the Stratosphere (CLaMS) as well as the Eulerian models SD-WACCM (the specified dynamics version of the Whole Atmosphere Community Climate Model) and TOMCAT/SLIMCAT. The HCl discrepancy points to some unknown process in the formulation of stratospheric chemistry that is currently not represented in the models. We characterise the HCl discrepancy in space and time for the Lagrangian chemistry-transport model CLaMS, in which HCl in the polar vortex core stays about constant from June to August in the Antarctic, while the observations indicate a continuous HCl decrease over this period. The somewhat smaller discrepancies in the Eulerian models SD-WACCM and TOMCAT/SLIMCAT are also presented. Numerical diffusion in the transport scheme of the Eulerian models is identified to be a likely cause for the inter-model differences. Although the missing process has not yet been identified, we investigate different hypotheses on the basis of the characteristics of the discrepancy. An underestimated HCl uptake into the polar stratospheric cloud (PSC) particles that consist mainly of H2O and HNO3 cannot explain it due to the temperature correlation of the discrepancy. Also, a direct photolysis of particulate HNO3 does not resolve the discrepancy since it would also cause changes in chlorine chemistry in late winter which are not observed. The ionisation caused by galactic cosmic rays provides an additional NOx and HOx source that can explain only about 20% of the discrepancy. However, the model simulations show that a hypothetical decomposition of particulate HNO3 by some other process not dependent on the solar elevation, e.g. involving galactic cosmic rays, may be a possible mechanism to resolve the HCl discrepancy. Since the discrepancy reported here occurs during the beginning of the chlorine activation period, where the ozone loss rates are small, there is only a minor impact of about 2% on the overall ozone column loss over the course of Antarctic winter and spring.</t>
  </si>
  <si>
    <t>[Grooss, Jens-Uwe; Mueller, Rolf; Spang, Reinhold; Tritscher, Ines; Wegner, Tobias] Forschungszentrum Julich, Inst Energie &amp; Klimaforsch Stratosphare IEK 7, Julich, Germany; [Chipperfield, Martyn P.; Feng, Wuhu] Univ Leeds, Sch Earth &amp; Environm, Leeds, W Yorkshire, England; [Feng, Wuhu] Univ Leeds, Natl Ctr Atmospher Sci, Leeds, W Yorkshire, England; [Kinnison, Douglas E.; Madronich, Sasha] Natl Ctr Atmospher Res, Atmospher Chem Observat &amp; Modeling Lab, Boulder, CO USA; [Wegner, Tobias] KfW Bankengrp, Frankfurt, Germany</t>
  </si>
  <si>
    <t>Helmholtz Association; Research Center Julich; University of Leeds; UK Research &amp; Innovation (UKRI); Natural Environment Research Council (NERC); NERC National Centre for Atmospheric Science; University of Leeds; National Center Atmospheric Research (NCAR) - USA</t>
  </si>
  <si>
    <t>Grooss, JU (corresponding author), Forschungszentrum Julich, Inst Energie &amp; Klimaforsch Stratosphare IEK 7, Julich, Germany.</t>
  </si>
  <si>
    <t>j.-u.grooss@fz-juelich.de</t>
  </si>
  <si>
    <t>Chipperfield, Martyn/H-6359-2013; FENG, WUHU/B-8327-2008; Grooß, Jens-Uwe/N-3305-2019; Müller, Rolf/ABA-8213-2021; Madronich, Sasha/D-3284-2015; Spang, Reinhold/A-2738-2013; Tritscher, Ines/O-2271-2014</t>
  </si>
  <si>
    <t>Chipperfield, Martyn/0000-0002-6803-4149; FENG, WUHU/0000-0002-9907-9120; Grooß, Jens-Uwe/0000-0002-9485-866X; Müller, Rolf/0000-0002-5024-9977; Madronich, Sasha/0000-0003-0983-1313; Spang, Reinhold/0000-0002-2483-5761; Tritscher, Ines/0000-0001-5285-7952</t>
  </si>
  <si>
    <t>NERC National Centre for Atmospheric Science (NCAS); U.S. National Science Foundation (NSF); NSF; Office of Science of the U.S. Department of Energy; International Space Science Institute (ISSI); Deutsche Forschungsgemeinschaft (DFG) [310479827]; NERC [NE/R015244/1, ncas10003] Funding Source: UKRI</t>
  </si>
  <si>
    <t>NERC National Centre for Atmospheric Science (NCAS); U.S. National Science Foundation (NSF)(National Science Foundation (NSF)); NSF(National Science Foundation (NSF)); Office of Science of the U.S. Department of Energy(United States Department of Energy (DOE)); International Space Science Institute (ISSI); Deutsche Forschungsgemeinschaft (DFG)(German Research Foundation (DFG)); NERC(UK Research &amp; Innovation (UKRI)Natural Environment Research Council (NERC))</t>
  </si>
  <si>
    <t>The authors acknowledge the thorough reviews of Ingo Wohltmann and an anonymous reviewer, as well as the comment of Alexander James that helped to clarify and improve this paper. We also thank Susan Solomon and Michael Hopfner for fruitful discussions on aspects of this study. The authors gratefully acknowledge the computing time for the CLaMS simulations granted on the JURECA supercomputer at Julich Supercomputing Centre (JSC) under the VSR project ID JICG11. The TOMCAT/SLIMCAT modelling work was supported by the NERC National Centre for Atmospheric Science (NCAS). The simulations were performed on the UK Archer and Leeds ARC HPC facilities. The National Center for Atmospheric Research (NCAR) is sponsored by the U.S. National Science Foundation (NSF). WACCM is a component of NCAR's Community Earth System Model (CESM), which is supported by the NSF and the Office of Science of the U.S. Department of Energy. Computing resources were provided by NCAR's Climate Simulation Laboratory, sponsored by NSF and other agencies. This research was enabled by the computational and storage resources of NCAR's Computational and Information Systems Laboratory (CISL). The model output and data used in this paper are listed in the references or available from the NCAR Earth System Grid. We also acknowledge the International Space Science Institute (ISSI) for supporting the Polar Stratospheric Cloud Initiative (PSCi). We are grateful to the European Centre for Medium-Range Weather Forecasts (ECMWF) for providing the meteorological reanalyses. Ines Tritscher was funded by the Deutsche Forschungsgemeinschaft (DFG) under project number 310479827. We thank Michelle Santee and the MLS team, Gabriele Stiller and the MIPAS-Envisat team for the enormous work on providing their high-quality data sets.</t>
  </si>
  <si>
    <t>10.5194/acp-18-8647-2018</t>
  </si>
  <si>
    <t>GJ8PE</t>
  </si>
  <si>
    <t>WOS:000435651200002</t>
  </si>
  <si>
    <t>Tschitschko, B; Erdmann, S; DeMaere, MZ; Roux, S; Panwar, P; Allen, MA; Williams, TJ; Brazendale, S; Hancock, AM; Eloe-Fadrosh, EA; Cavicchioli, R</t>
  </si>
  <si>
    <t>Tschitschko, Bernhard; Erdmann, Susanne; DeMaere, Matthew Z.; Roux, Simon; Panwar, Pratibha; Allen, Michelle A.; Williams, Timothy J.; Brazendale, Sarah; Hancock, Alyce M.; Eloe-Fadrosh, Emiley A.; Cavicchioli, Ricardo</t>
  </si>
  <si>
    <t>Genomic variation and biogeography of Antarctic haloarchaea</t>
  </si>
  <si>
    <t>Haloarchaea; Halobacteria; Antarctica; Genome variation; Metagenomics; Pan-genome; Genomic islands; Replicons; Virus infection; Biogeography</t>
  </si>
  <si>
    <t>MICROBIAL ECOLOGY; READ ALIGNMENT; LAKE; GLYCOSYLATION; EVOLUTION; PROCHLOROCOCCUS; BIOSYNTHESIS; ALGORITHMS; DIVERSITY; BACTERIUM</t>
  </si>
  <si>
    <t>Background: The genomes of halophilic archaea (haloarchaea) often comprise multiple replicons. Genomic variation in haloarchaea has been linked to viral infection pressure and, in the case of Antarctic communities, can be caused by intergenera gene exchange. To expand understanding of genome variation and biogeography of Antarctic haloarchaea, here we assessed genomic variation between two strains of Halorubrum lacusprofundi that were isolated from Antarctic hypersaline lakes from different regions (Vestfold Hills and Rauer Islands). To assess variation in haloarchaeal populations, including the presence of genomic islands, metagenomes from six hypersaline Antarctic lakes were characterised. Results: The sequence of the largest replicon of each Hrr. lacusprofundi strain (primary replicon) was highly conserved, while each of the strains' two smaller replicons (secondary replicons) were highly variable. Intergenera gene exchange was identified, including the sharing of a type I-B CRISPR system. Evaluation of infectivity of an Antarctic halovirus provided experimental evidence for the differential susceptibility of the strains, bolstering inferences that strain variation is important for modulating interactions with viruses. A relationship was found between genomic structuring and the location of variation within replicons and genomic islands, demonstrating that the way in which haloarchaea accommodate genomic variability relates to replicon structuring. Metagenome read and contig mapping and clustering and scaling analyses demonstrated biogeographical patterning of variation consistent with environment and distance effects. The metagenome data also demonstrated that specific haloarchaeal species dominated the hypersaline systems indicating they are endemic to Antarctica. Conclusion: The study describes how genomic variation manifests in Antarctic-lake haloarchaeal communities and provides the basis for future assessments of Antarctic regional and global biogeography of haloarchaea.</t>
  </si>
  <si>
    <t>[Tschitschko, Bernhard; Erdmann, Susanne; Panwar, Pratibha; Allen, Michelle A.; Williams, Timothy J.; Brazendale, Sarah; Hancock, Alyce M.; Cavicchioli, Ricardo] UNSW Sydney, Sch Biotechnol &amp; Biomol Sci, Sydney, NSW 2052, Australia; [DeMaere, Matthew Z.] Univ Technol Sydney, Inst i3, Sydney, NSW, Australia; [Roux, Simon; Eloe-Fadrosh, Emiley A.] Joint Genome Inst, Dept Energy, Walnut Creek, CA USA; [Tschitschko, Bernhard] Univ Technol Sydney, Dept Environm Sci, Climate Change Cluster, Sydney, NSW, Australia; [Brazendale, Sarah] 476 Lancaster Rd, Pegarah, Australia; [Hancock, Alyce M.] Univ Tasmania, Inst Marine &amp; Antarctic Studies, Antarctic Gateway Partnership, Battery Point, Tas, Australia; [Hancock, Alyce M.] Univ Tasmania, Inst Marine &amp; Antarctic Studies, Antarctic Climate &amp; Ecosyst Res Ctr, Battery Point, Tas, Australia</t>
  </si>
  <si>
    <t>University of New South Wales Sydney; University of Technology Sydney; United States Department of Energy (DOE); Joint BioEnergy Institute - JBEI; Joint Genome Institute - JGI; University of Technology Sydney; University of Tasmania; University of Tasmania</t>
  </si>
  <si>
    <t>Cavicchioli, R (corresponding author), UNSW Sydney, Sch Biotechnol &amp; Biomol Sci, Sydney, NSW 2052, Australia.</t>
  </si>
  <si>
    <t>r.cavicchioli@unsw.edu.au</t>
  </si>
  <si>
    <t>Panwar, Pratibha/JFJ-6910-2023; Roux, Simon/ABE-6255-2020; DeMaere, Matthew Zachariah/D-9002-2012; Hancock, Alyce M./AAX-3151-2020; Erdmann, Susanne/Q-8771-2019; Erdmann, Susanne/O-7736-2017; Eloe-Fadrosh, Emiley/AAP-8019-2021; Cavicchioli, Ricardo/D-4341-2013</t>
  </si>
  <si>
    <t>Panwar, Pratibha/0000-0002-7437-7084; Roux, Simon/0000-0002-5831-5895; DeMaere, Matthew Zachariah/0000-0002-7601-5108; Hancock, Alyce M./0000-0001-6049-5592; Erdmann, Susanne/0000-0003-3190-4451; Allen, Michelle/0000-0002-8852-1454; Cavicchioli, Ricardo/0000-0001-8989-6402; Eloe-Fadrosh, Emiley/0000-0002-8162-1276; Williams, Timothy/0000-0002-2738-3019; Tschitschko, Bernhard/0000-0002-0379-3187</t>
  </si>
  <si>
    <t>Australian Research Council [DP150100244]; Australian Antarctic Science program [4031]; Office of Science of the US Department of Energy [DE-AC02-05CH11231]; EMBO Long-Term Fellowship [ALTF 188-2014]; European Commission [GA-2012-600394]; Marie Curie Actions. DNA sequencing of the R1S1 genome was performed at the Ramaciotti Centre for Genomics (UNSW Sydney); Faculty of Science (UNSW Sydney)</t>
  </si>
  <si>
    <t>Australian Research Council(Australian Research Council); Australian Antarctic Science program; Office of Science of the US Department of Energy(United States Department of Energy (DOE)); EMBO Long-Term Fellowship(European Molecular Biology Organization (EMBO)); European Commission(European Union (EU)European Commission Joint Research Centre); Marie Curie Actions. DNA sequencing of the R1S1 genome was performed at the Ramaciotti Centre for Genomics (UNSW Sydney)(Marie Curie Actions); Faculty of Science (UNSW Sydney)</t>
  </si>
  <si>
    <t>This work was supported by the Australian Research Council (DP150100244) and the Australian Antarctic Science program (project 4031). The work conducted by the US Department of Energy Joint Genome Institute, a DOE Office of Science User Facility, is supported by the Office of Science of the US Department of Energy under contract no. DE-AC02-05CH11231. S.E. was supported by the EMBO Long-Term Fellowship ALTF 188-2014, which is cofunded by the European Commission (EMBOCOFUND2012, GA-2012-600394) and supported by Marie Curie Actions. DNA sequencing of the R1S1 genome was performed at the Ramaciotti Centre for Genomics (UNSW Sydney), and computational analyses were performed on the computational cluster Katana, supported by the Faculty of Science (UNSW Sydney). We thank John Gibson, Annick Wilmotte and Dominic Hodgson for discussions about the limnology and naming of Rauer Island lakes; Torsten Thomas, Jeffrey Hoffman, Anthony Hull, Cynthia Andrews-Pfannkoch, Mark Brown, John Rich, Federico Lauro, Stuart Shaw, Joshua Foster, David Pullinger, Tina Donalson, Stacy Deppeler, Charlie Howell, Paul Sutton, David Wood and the Helicopter Resources crew and other expeditioners at Davis Station during 2006, 2008, 2013, 2014 and 2015 for their assistance in collecting and/or processing of samples; the Australian Antarctic Division for technical and logistical support during the expeditions; and the Landsat Image Mosaic of Antarctica (LIMA) project for making satellite images available.</t>
  </si>
  <si>
    <t>10.1186/s40168-018-0495-3</t>
  </si>
  <si>
    <t>GK0YH</t>
  </si>
  <si>
    <t>WOS:000435838300002</t>
  </si>
  <si>
    <t>Chabangborn, A; Yamoah, KKA; Phantuwongraj, S; Choowong, M</t>
  </si>
  <si>
    <t>Chabangborn, Akkaneewut; Yamoah, Kweku K. A.; Phantuwongraj, Sumet; Choowong, Montri</t>
  </si>
  <si>
    <t>Climate in Sundaland and Asian monsoon variability during the last deglaciation</t>
  </si>
  <si>
    <t>Asian monsoon; Intertropical Convergence Zone (ITCZ); Walker circulation; Sundaland; Biome</t>
  </si>
  <si>
    <t>PACIFIC WARM POOL; SOUTH CHINA SEA; HIGH-RESOLUTION; LATE PLEISTOCENE; VEGETATION; HOLOCENE; RECORD; HYDROCLIMATE; PALEOCLIMATE; LEVEL</t>
  </si>
  <si>
    <t>The lack of semi-quantitative paleo data from mainland Southeast Asia, especially from the emergent Sundaland, creates a marked difficulty in following the past Asian monsoon variability. The published pollen records from the adjacent sites to the Sundaland were selected in this study and evaluated for the relationship between taxa and plant functional types (PFTs), and subsequently between PFTs and biome, to eventually reconstruct the semi-quantitative temporal temperature and precipitation profile. In order to comprehend the Asian monsoon modification between 18.5 and 11 ka BP, the derived pollen based temperature and precipitation records were further analyzed together with other selected speleothem records from the Asian monsoon region, with reference to the Greenland and Antarctic ice cores. The warmer temperature in the Southern Hemisphere caused a southward shift of the mean position of the Intertropical Convergent Zone (ITCZ) and weakened the summer monsoon in the Asian monsoon region between 18.5 and 15 ka BP. The Northern Hemisphere temperature played an important role in the Asian monsoon modification between 15 and 13.5 ka BP, where the warmer Northern Hemisphere conditions strengthened the summer monsoon intensity in the Asian monsoon region and moved the mean position of the ITCZ to the north. However, the opposing precipitation pattern between the East and the West Indian Ocean suggested the potential influence of the Walker circulation on the Sundaland climate from 13.5 to 11 ka BP. (C) 2017 Elsevier Ltd and INQUA. All rights reserved.</t>
  </si>
  <si>
    <t>[Chabangborn, Akkaneewut; Phantuwongraj, Sumet; Choowong, Montri] Chulalongkorn Univ, Fac Sci, Dept Geol, Morphol Earth Surface &amp; Adv Geohazards Southeast, Bangkok, Thailand; [Yamoah, Kweku K. A.] Stockholm Univ, Dept Geol Sci, S-10691 Stockholm, Sweden; [Yamoah, Kweku K. A.] Stockholm Univ, Bolin Ctr Climate Res, S-10691 Stockholm, Sweden</t>
  </si>
  <si>
    <t>Chulalongkorn University; Stockholm University; Stockholm University</t>
  </si>
  <si>
    <t>Chabangborn, A (corresponding author), Chulalongkorn Univ, Fac Sci, Dept Geol, Morphol Earth Surface &amp; Adv Geohazards Southeast, Bangkok, Thailand.</t>
  </si>
  <si>
    <t>akkaneewut@gmail.com</t>
  </si>
  <si>
    <t>Yamoah, Afrifa Kweku Kyei/0000-0001-7488-0459; Choowong, Montri/0009-0001-5485-4525</t>
  </si>
  <si>
    <t>Ratchadapisek Sompoch Endowment Fund, Chulalongkorn University [CU-58-065-CC]</t>
  </si>
  <si>
    <t>Ratchadapisek Sompoch Endowment Fund, Chulalongkorn University</t>
  </si>
  <si>
    <t>This research was financed through the Ratchadapisek Sompoch Endowment Fund (2015), Chulalongkorn University (CU-58-065-CC). The authors thank Barbara Wohlfarth, Ludvig Lowemark, Zhifei Liu, Frederik Schenk and Kweku Afrifa Yamoah for helpful discussions and Office of Research Affairs at Chulalongkorn University for assistance during manuscript preparation.</t>
  </si>
  <si>
    <t>10.1016/j.quaint.2017.04.017</t>
  </si>
  <si>
    <t>GH2IM</t>
  </si>
  <si>
    <t>WOS:000433225600017</t>
  </si>
  <si>
    <t>Jansen, J; Hill, NA; Dunstan, PK; Eléaume, MP; Johnson, CR</t>
  </si>
  <si>
    <t>Jansen, Jan; Hill, Nicole A.; Dunstan, Piers K.; Eleaume, Marc P.; Johnson, Craig R.</t>
  </si>
  <si>
    <t>Taxonomic Resolution, Functional Traits, and the Influence of Species Groupings on Mapping Antarctic Seafloor Biodiversity</t>
  </si>
  <si>
    <t>marine biodiversity; Southern Ocean; functional trait; taxonomic resolution; species archetype model; species distribution; Antarctica; benthic assemblages</t>
  </si>
  <si>
    <t>MERTZ GLACIER; TERRE ADELIE; COMMUNITIES; ASSEMBLAGES; DIVERSITY; ABUNDANCE; SURROGACY; FRAMEWORK; MODELS; REGION</t>
  </si>
  <si>
    <t>Benthic marine biodiversity on the Antarctic continental shelf is high and unique, yet its distributional patterns are still relatively poorly understood. Some of the main issues are that biological data are sparse, and that many species are rare and seem only weakly related to environmental conditions. Grouping species by taxonomic or functional similarity has historically been used to compensate for missing species identification, to generate a more widespread distribution of data-points, and this practice can help to gain a better understanding of the distribution of biodiversity. However, there are few guidelines on how to group species, the implicit assumptions about species associations in the groups are difficult to validate, and the information loss associated with grouping species is unknown. Here, we analyse whether grouping benthic macrofaunal species by taxonomic or functional similarity preserves distributional patterns seen in species distributions, using a model-based approach called species archetype model that groups species or other units based on the similarity in their responses to environmental factors. Using presence-absence data, the species archetype models identify twice as many assemblages when used on the highest taxonomic resolution data, than when applied to taxonomic data at lower resolution (e.g., class) or functional groups based on mobility, feeding type, and body shape. Further, confidence in the predictions of either taxonomic or functional groups is far less than for predictions based on the highest taxonomic resolution data. Although using functional groups is often thought to accumulate species with similar environmental responses, our analysis shows that functional groups may insufficiently resolve assemblage structure for presence-absence data. Model-based approaches provide key information to understanding the regional distribution of Antarctic marine biodiversity, and care needs to be taken when using a-priori groupings of species to make statements about the distribution of biodiversity.</t>
  </si>
  <si>
    <t>[Jansen, Jan; Hill, Nicole A.; Johnson, Craig R.] Univ Tasmania, Inst Marine &amp; Antarctic Studies, Hobart, Tas, Australia; [Jansen, Jan] Australian Antarctic Div, Kingston, Vic, Australia; [Dunstan, Piers K.] CSIRO Oceans &amp; Atmosphere, Hobart, Tas, Australia; [Eleaume, Marc P.] UPMC, EPHE, Ctr Natl Rech Sci, Museum Natl Hist Nat,UMR 7205 ISYEB, Paris, France</t>
  </si>
  <si>
    <t>University of Tasmania; Australian Antarctic Division; Commonwealth Scientific &amp; Industrial Research Organisation (CSIRO); Universite PSL; Ecole Pratique des Hautes Etudes (EPHE); Sorbonne Universite; Centre National de la Recherche Scientifique (CNRS); CNRS - Institute of Ecology &amp; Environment (INEE); Museum National d'Histoire Naturelle (MNHN)</t>
  </si>
  <si>
    <t>Jansen, J (corresponding author), Univ Tasmania, Inst Marine &amp; Antarctic Studies, Hobart, Tas, Australia.;Jansen, J (corresponding author), Australian Antarctic Div, Kingston, Vic, Australia.</t>
  </si>
  <si>
    <t>Dunstan, Piers K/B-7309-2016; Jansen, Jan/O-8632-2014</t>
  </si>
  <si>
    <t>Jansen, Jan/0000-0001-5896-365X</t>
  </si>
  <si>
    <t>Tasmanian Graduate Research Scholarship; QAS Top-Up scholarship; Australian Antarctic Science project [4124]</t>
  </si>
  <si>
    <t>Tasmanian Graduate Research Scholarship; QAS Top-Up scholarship; Australian Antarctic Science project</t>
  </si>
  <si>
    <t>We would like to thank Rachel Downey for classifying the sponges, Tina Molodtsova for helping to classify the cnidarians and the reviewers for their comments. Biological samples were collected during the CEAMARC program as part of the IPY #53 Census of Antarctic Marine Life program. Coastline and glacial features for the figures are taken from the Antarctic Digital Database version 5. JJ is supported by a Tasmanian Graduate Research Scholarship and a QAS Top-Up scholarship. This work was completed as part of Australian Antarctic Science project 4124.</t>
  </si>
  <si>
    <t>JUN 19</t>
  </si>
  <si>
    <t>10.3389/fevo.2018.00081</t>
  </si>
  <si>
    <t>HC2WE</t>
  </si>
  <si>
    <t>WOS:000451661800001</t>
  </si>
  <si>
    <t>Park, M; Hong, SG; Park, H; Lee, BH; Lee, H</t>
  </si>
  <si>
    <t>Park, Mira; Hong, Soon Gyu; Park, Hyun; Lee, Byeong-ha; Lee, Hyoungseok</t>
  </si>
  <si>
    <t>Identification of reference genes for RT-qPCR in the Antarctic moss Sanionia uncinata under abiotic stress conditions</t>
  </si>
  <si>
    <t>CANDIDATE REFERENCE GENES; SUPERIOR REFERENCE GENES; REAL-TIME PCR; TRANSCRIPT NORMALIZATION; HOUSEKEEPING GENES; RESPONSES; PATTERNS; VALIDATION; BRYOPHYTES; EXPRESSION</t>
  </si>
  <si>
    <t>Sanionia uncinata is a dominant moss species in the maritime Antarctic. Due to its high adaptability to harsh environments, this extremophile plant has been considered a good target for studying the molecular adaptation mechanisms of plants to a variety of environmental stresses. Despite the importance of S. uncinata as a representative Antarctic plant species for the identification and characterization of genes associated with abiotic stress tolerance, suitable reference genes, which are critical for RT-qPCR analyses, have not yet been identified. In this report, 11 traditionally used and 6 novel candidate reference genes were selected from transcriptome data of S. uncinata and the expression stability of these genes was evaluated under various abiotic stress conditions using three statistical algorithms; geNorm, NormFinder, and BestKeeper. The stability ranking analysis selected the best reference genes depending on the stress conditions. Among the 17 candidates, the most stable references were POB1 and UFD2 for cold stress, POB1 and AKB for drought treatment, and UFD2 and AKB for the field samples from a different water contents in Antarctica. Overall, novel genes POB1 and AKB were the most reliable references across all samples, irrespective of experimental conditions. In addition, 6 novel candidate genes including AKB, POB1 and UFD2, were more stable than the housekeeping genes traditionally used for internal controls, indicating that transcriptome data can be useful for identifying novel robust normalizers. The reference genes validated in this study will be useful for improving the accuracy of RT-qPCR analysis for gene expression studies of S. uncinata in Antarctica and for further functional genomic analysis of bryophytes.</t>
  </si>
  <si>
    <t>[Park, Mira; Park, Hyun; Lee, Hyoungseok] Korea Polar Res Inst, Unit Polar Genom, Incheon, South Korea; [Park, Mira; Lee, Byeong-ha] Sogang Univ, Dept Life Sci, Seoul, South Korea; [Hong, Soon Gyu] Korea Polar Res Inst, Div Life Sci, Incheon, South Korea; [Hong, Soon Gyu; Park, Hyun; Lee, Hyoungseok] Univ Sci &amp;Technol, Polar Sci, Daejeon, South Korea</t>
  </si>
  <si>
    <t>Korea Polar Research Institute (KOPRI); Sogang University; Korea Polar Research Institute (KOPRI); University of Science &amp; Technology (UST)</t>
  </si>
  <si>
    <t>Lee, H (corresponding author), Korea Polar Res Inst, Unit Polar Genom, Incheon, South Korea.;Lee, BH (corresponding author), Sogang Univ, Dept Life Sci, Seoul, South Korea.;Lee, H (corresponding author), Univ Sci &amp;Technol, Polar Sci, Daejeon, South Korea.</t>
  </si>
  <si>
    <t>byeongha@sogang.ac.kr; soulaid@kopri.re.kr</t>
  </si>
  <si>
    <t>Lee, Byeong-ha/B-8478-2009</t>
  </si>
  <si>
    <t>Park, Hyun/0000-0002-8055-2010; Lee, Hyoungseok/0000-0002-5831-6345</t>
  </si>
  <si>
    <t>'Modeling responses of terrestrial organisms to environmental changes on King George Island' [PE18090]; Korea Polar Research Institute [PE18080]; Rural Development Administration, South Korea [PJ01330101]</t>
  </si>
  <si>
    <t>'Modeling responses of terrestrial organisms to environmental changes on King George Island'; Korea Polar Research Institute(Korea Polar Research Institute of Marine Research Placement (KOPRI)); Rural Development Administration, South Korea(Rural Development Administration (RDA), Republic of Korea)</t>
  </si>
  <si>
    <t>This work was supported by grants 'Modeling responses of terrestrial organisms to environmental changes on King George Island' (PE18090) to SGH, 'The Polar Genomics 101 Project: Genome analysis of polar organisms and establishment of application platform' (PE18080) to HP, funded by the Korea Polar Research Institute, and 'Next-Generation BioGreen21 Program' (PJ01330101) to BhL, funded by the Rural Development Administration, South Korea. The funders had no role in study design, data collection and analysis, decision to publish, or preparation of the manuscript.</t>
  </si>
  <si>
    <t>e0199356</t>
  </si>
  <si>
    <t>10.1371/journal.pone.0199356</t>
  </si>
  <si>
    <t>GJ7CA</t>
  </si>
  <si>
    <t>WOS:000435541300038</t>
  </si>
  <si>
    <t>Liu, J; Dedrick, J; Russell, LM; Senum, GI; Uin, J; Kuang, CG; Springston, SR; Leaitch, WR; Aiken, AC; Lubin, D</t>
  </si>
  <si>
    <t>Liu, Jun; Dedrick, Jeramy; Russell, Lynn M.; Senum, Gunnar I.; Uin, Janek; Kuang, Chongai; Springston, Stephen R.; Leaitch, W. Richard; Aiken, Allison C.; Lubin, Dan</t>
  </si>
  <si>
    <t>High summertime aerosol organic functional group concentrations from marine and seabird sources at Ross Island, Antarctica, during AWARE</t>
  </si>
  <si>
    <t>SIZE-SEGREGATED AEROSOL; SEA-SALT AEROSOL; FOSSIL-FUEL COMBUSTION; FREE AMINO-ACIDS; MCMURDO-STATION; SOUTH-POLE; ATMOSPHERIC PARTICLES; CHEMICAL-COMPOSITION; HYGROSCOPIC GROWTH; CONCORDIA SITE</t>
  </si>
  <si>
    <t>Observations of the organic components of the natural aerosol are scarce in Antarctica, which limits our understanding of natural aerosols and their connection to seasonal and spatial patterns of cloud albedo in the region. From November 2015 to December 2016, the ARM West Antarctic Radiation Experiment (AWARE) measured submicron aerosol properties near McMurdo Station at the southern tip of Ross Island. Submicron organic mass (OM), particle number, and cloud condensation nuclei concentrations were higher in summer than other seasons. The measurements included a range of compositions and concentrations that likely reflected both local anthropogenic emissions and natural background sources. We isolated the natural organic components by separating a natural factor and a local combustion factor. The natural OM was 150 times higher in summer than in winter. The local anthropogenic emissions were not hygroscopic and had little contribution to the CCN concentrations. Natural sources that included marine sea spray and seabird emissions contributed 56 % OM in summer but only 3 % in winter. The natural OM had high hydroxyl group fraction (55 %), 6 % alkane, and 6 % amine group mass, consistent with marine organic composition. In addition, the Fourier transform infrared (FTIR) spectra showed the natural sources of organic aerosol were characterized by amide group absorption, which may be from seabird populations. Carboxylic acid group contributions were high in summer and associated with natural sources, likely forming by secondary reactions.</t>
  </si>
  <si>
    <t>[Liu, Jun; Dedrick, Jeramy; Russell, Lynn M.; Lubin, Dan] Univ Calif San Diego, Scripps Inst Oceanog, 9500 Gilman Dr, La Jolla, CA 92093 USA; [Senum, Gunnar I.; Uin, Janek; Kuang, Chongai; Springston, Stephen R.] Brookhaven Natl Lab, Environm &amp; Climate Sci Dept, Bldg 815-E, Upton, NY 11973 USA; [Leaitch, W. Richard] ECCC, Toronto, ON, Canada; [Aiken, Allison C.] Los Alamos Natl Lab, Earth &amp; Environm Sci Earth Syst Observat, Los Alamos, NM USA; [Dedrick, Jeramy] Texas A&amp;M Univ, 400 Bizzell St, College Stn, TX 77843 USA</t>
  </si>
  <si>
    <t>University of California System; University of California San Diego; Scripps Institution of Oceanography; United States Department of Energy (DOE); Brookhaven National Laboratory; United States Department of Energy (DOE); Los Alamos National Laboratory; Texas A&amp;M University System; Texas A&amp;M University College Station</t>
  </si>
  <si>
    <t>Russell, LM (corresponding author), Univ Calif San Diego, Scripps Inst Oceanog, 9500 Gilman Dr, La Jolla, CA 92093 USA.</t>
  </si>
  <si>
    <t>lmrussell@ucsd.edu</t>
  </si>
  <si>
    <t>Liu, Jun/M-8104-2017; Kuang, Chongai/JJF-8958-2023; Springston, Stephen/P-5237-2018; Aiken, Allison/B-9659-2009</t>
  </si>
  <si>
    <t>Liu, Jun/0000-0002-2504-3651; Kuang, Chongai/0000-0003-2769-771X; Russell, Lynn/0000-0002-6108-2375; Springston, Stephen/0000-0003-0159-4931; Uin, Janek/0000-0003-2001-0508; Aiken, Allison/0000-0001-5749-7626; Dedrick, Jeramy/0000-0003-3569-0235</t>
  </si>
  <si>
    <t>National Science Foundation (NSF AWARE grant) [DPP-1443549]; Department of Energy (DOE) [DE-SC0017981]; U.S. Department of Energy (DOE) [DE-SC0017981] Funding Source: U.S. Department of Energy (DOE); Directorate For Geosciences; Office of Polar Programs (OPP) [1443549] Funding Source: National Science Foundation; Division Of Ocean Sciences; Directorate For Geosciences [1659793] Funding Source: National Science Foundation</t>
  </si>
  <si>
    <t>National Science Foundation (NSF AWARE grant)(National Science Foundation (NSF)); Department of Energy (DOE)(United States Department of Energy (DOE)); U.S. Department of Energy (DOE)(United States Department of Energy (DOE)); Directorate For Geosciences; Office of Polar Programs (OPP)(National Science Foundation (NSF)NSF - Directorate for Geosciences (GEO)); Division Of Ocean Sciences; Directorate For Geosciences(National Science Foundation (NSF)NSF - Directorate for Geosciences (GEO))</t>
  </si>
  <si>
    <t>We would like to thank the ARM (Atmospheric Radiation Measurement) program for the AMF-2 AWARE campaign, which was jointly supported by the National Science Foundation (NSF AWARE grant: DPP-1443549) and Department of Energy (DOE Award number: DE-SC0017981.) We also thank the AWARE personnel, Ryan C. Scott, Colin Jenkinson, Heath H. Powers, Maciej Ryczek, and Gregory Stone, for help collecting samples on site and Savannah Lewis and Gary Cheng for assistance with sample preparation and analysis at Scripps.</t>
  </si>
  <si>
    <t>JUN 18</t>
  </si>
  <si>
    <t>10.5194/acp-18-8571-2018</t>
  </si>
  <si>
    <t>GJ6HH</t>
  </si>
  <si>
    <t>WOS:000435484300006</t>
  </si>
  <si>
    <t>Ciok, A; Budzik, K; Zdanowski, MK; Gawor, J; Grzesiak, J; Decewicz, P; Gromadka, R; Bartosik, D; Dziewit, L</t>
  </si>
  <si>
    <t>Ciok, Anna; Budzik, Karol; Zdanowski, Marek K.; Gawor, Jan; Grzesiak, Jakub; Decewicz, Przemyslaw; Gromadka, Robert; Bartosik, Dariusz; Dziewit, Lukasz</t>
  </si>
  <si>
    <t>Plasmids of Psychrotolerant Polaromonas spp. Isolated From Arctic and Antarctic Glaciers - Diversity and Role in Adaptation to Polar Environments</t>
  </si>
  <si>
    <t>Polaromonas; plasmid; Arctic; Antarctica; glacier; bacterial adaptation; heavy metal resistance; iron-sulfur [Fe-S] cluster</t>
  </si>
  <si>
    <t>IRON-SULFUR CLUSTERS; FE-S PROTEINS; ESCHERICHIA-COLI; DEGRADING BACTERIUM; FUNCTIONAL-ANALYSIS; MERCURY RESISTANCE; METAL RESISTANCE; ECOLOGY GLACIER; HEAVY-METALS; GENE CLONING</t>
  </si>
  <si>
    <t>Cold-active bacteria of the genus Polaromonas (class Betaproteobacteria) are important components of glacial microbiomes. In this study, extrachromosomal replicons of 26 psychrotolerant Polaromonas strains, isolated from Arctic and Antarctic glaciers, were identified, sequenced, and characterized. The plasmidome of these strains consists of 13 replicons, ranging in size from 3,378 to 101,077 bp. In silico sequence analyses identified the conserved backbones of these plasmids, composed of genes required for plasmid replication, stable maintenance, and conjugal transfer. Host range analysis revealed that all of the identified plasmids are narrow-host-range replicons, only able to replicate in bacteria of closely related genera (Polaromonas and Variovorax) of the Comamonadaceae family. Special attention was paid to the identification of plasmid auxiliary genetic information, which may contribute to the adaptation of bacteria to environmental conditions occurring in glaciers. Detailed analysis revealed the presence of genes encoding proteins potentially involved in (i) protection against reactive oxygen species, ultraviolet radiation, and low temperatures; (ii) transport and metabolism of organic compounds; (iii) transport of metal ions; and (iv) resistance to heavy metals. Some of the plasmids also carry genes required for the molecular assembly of iron-sulfur [Fe-S] clusters. Functional analysis of the predicted heavy metal resistance determinants demonstrated that their activity varies, depending on the host strain. This study provides the first molecular insight into the mobile DNA of Polaromonas spp. inhabiting polar glaciers. It has generated valuable data on the structure and properties of a pool of plasmids and highlighted their role in the biology of psychrotolerant Polaromonas strains and their adaptation to the environmental conditions of Arctic and Antarctic glaciers.</t>
  </si>
  <si>
    <t>[Ciok, Anna; Budzik, Karol; Decewicz, Przemyslaw; Bartosik, Dariusz; Dziewit, Lukasz] Univ Warsaw, Fac Biol, Inst Microbiol, Dept Bacterial Genet, Warsaw, Poland; [Zdanowski, Marek K.; Grzesiak, Jakub] Polish Acad Sci, Inst Biochem &amp; Biophys, Dept Antarctic Biol, Warsaw, Poland; [Gawor, Jan; Gromadka, Robert] Polish Acad Sci, Inst Biochem &amp; Biophys, Lab DNA Sequencing &amp; Oligonucleotide Synth, Warsaw, Poland</t>
  </si>
  <si>
    <t>University of Warsaw; Polish Academy of Sciences; Institute of Biochemistry &amp; Biophysics - Polish Academy of Sciences; Polish Academy of Sciences; Institute of Biochemistry &amp; Biophysics - Polish Academy of Sciences</t>
  </si>
  <si>
    <t>Dziewit, L (corresponding author), Univ Warsaw, Fac Biol, Inst Microbiol, Dept Bacterial Genet, Warsaw, Poland.</t>
  </si>
  <si>
    <t>Grzesiak, Jakub/ABD-5209-2020; Decewicz, Przemyslaw/ABE-4554-2020; Dziewit, Lukasz/L-1131-2016</t>
  </si>
  <si>
    <t>Decewicz, Przemyslaw/0000-0002-5621-7124; Dziewit, Lukasz/0000-0002-5057-2811; Gromadka, Robert/0000-0002-9941-6692; Grzesiak, Jakub/0000-0001-5972-2356; Bartosik, Dariusz/0000-0002-3589-8864; Budzik, Karol/0000-0002-4112-9914; Gawor, Jan/0000-0003-3800-2557; Szych, Anna/0000-0001-5522-5395</t>
  </si>
  <si>
    <t>National Science Center, Poland [N N304 106940, 2013/09/D/NZ8/03046]; European Union-the European Regional Development Fund [POIG.02.02.00-14-024/08-00]</t>
  </si>
  <si>
    <t>National Science Center, Poland(National Science Centre, Poland); European Union-the European Regional Development Fund</t>
  </si>
  <si>
    <t>This work was supported by the National Science Center, Poland (Grant Nos. N N304 106940 and 2013/09/D/NZ8/03046). Library construction and plasmid genome assembly were carried out at the DNA Sequencing and Oligonucleotide Synthesis Laboratory IBB PAN using the CePT infrastructure financed by the European Union-the European Regional Development Fund (Innovative economy 2007-2013, Agreement POIG.02.02.00-14-024/08-00).</t>
  </si>
  <si>
    <t>10.3389/fmicb.2018.01285</t>
  </si>
  <si>
    <t>GJ6HX</t>
  </si>
  <si>
    <t>WOS:000435486000002</t>
  </si>
  <si>
    <t>Spatio-temporal variability of processes across Antarctic ice-bed-ocean interfaces</t>
  </si>
  <si>
    <t>LAST GLACIAL MAXIMUM; ROSS SEA; SHEET MODEL; SOUTHERN-OCEAN; SUBGLACIAL LAKES; SEDIMENT DISTRIBUTION; SEISMIC STRATIGRAPHY; CONTINENTAL-SHELF; GROUNDING-LINE; AMUNDSEN SEA</t>
  </si>
  <si>
    <t>Understanding how the Antarctic ice sheet will respond to global warming relies on knowledge of how it has behaved in the past. The use of numerical models, the only means to quantitatively predict the future, is hindered by limitations to topographic data both now and in the past, and in knowledge of how subsurface oceanic, glaciological and hydrological processes interact. Incorporating the variety and interplay of such processes, operating at multiple spatio-temporal scales, is critical to modeling the Antarctic's system evolution and requires direct observations in challenging locations. As these processes do not observe disciplinary boundaries neither should our future research.</t>
  </si>
  <si>
    <t>[Colleoni, Florence] Fdn Ctr Euromediterraneo Cambiamenti Climat, I-40129 Bologna, Italy; [De Santis, Laura] Ist Nazl Oceanog Sperimentale, I-34010 Sgonico, Italy; [Siddoway, Christine S.] Colorado Coll, Dept Geol, Colorado Springs, CO 80903 USA; [Bergamasco, Andrea] CNR, Ist Sci Marine, I-30122 Venice, Italy; [Golledge, Nicholas R.] Victoria Univ Wellington, Antarctic Res Ctr, Wellington 6140, New Zealand; [Golledge, Nicholas R.] GNS Sci, Lower Hutt 5010, New Zealand; [Lohmann, Gerrit] Alfred Wegener Inst, Helmholtz Ctr Polar &amp; Marine Res, D-27570 Bremerhaven, Germany; [Lohmann, Gerrit] Univ Bremen, D-28359 Bremen, Germany; [Passchier, Sandra] Montclair State Univ, Dept Earth &amp; Environm Studies, Ctr Environm &amp; Life Sci, Montclair, NY 07043 USA; [Siegert, Martin J.] Imperial Coll London, Grantham Inst, London SW7 2AZ, England; [Siegert, Martin J.] Imperial Coll London, Dept Earth Sci &amp; Engn, London SW7 2AZ, England</t>
  </si>
  <si>
    <t>Centro Euro-Mediterraneo sui Cambiamenti Climatici (CMCC); Istituto Nazionale di Oceanografia e di Geofisica Sperimentale; Colorado College; Consiglio Nazionale delle Ricerche (CNR); Istituto di Scienze Marine (ISMAR-CNR); Victoria University Wellington; GNS Science - New Zealand; Helmholtz Association; Alfred Wegener Institute, Helmholtz Centre for Polar &amp; Marine Research; University of Bremen; Imperial College London; Imperial College London</t>
  </si>
  <si>
    <t>Colleoni, F (corresponding author), Fdn Ctr Euromediterraneo Cambiamenti Climat, I-40129 Bologna, Italy.</t>
  </si>
  <si>
    <t>Passchier, Sandra/AAQ-2243-2021; Siddoway, Christine/HKV-0895-2023; Siegert, Martin/M-9939-2019; Colleoni, Florence/JMQ-7847-2023; Passchier, Sandra/GYU-2381-2022; Siegert, Martin J/A-3826-2008</t>
  </si>
  <si>
    <t>Passchier, Sandra/0000-0001-7204-7025; Siegert, Martin/0000-0002-0090-4806; Colleoni, Florence/0000-0003-4582-812X; Siegert, Martin J/0000-0002-0090-4806; Golledge, Nicholas/0000-0001-7676-8970; Bergamasco, Alessandro/0000-0003-3138-8418; De Santis, Laura/0000-0002-7752-7754; Siddoway, Christine Smith/0000-0003-0478-6138</t>
  </si>
  <si>
    <t>PNRA national Italian project [PNRA16_00016]; MAE bilateral Italy-US project [US16GR04]; [NSF-OPP-1443497]; [NSF-ANT-1245283]; NERC [NE/G00465X/3] Funding Source: UKRI</t>
  </si>
  <si>
    <t>PNRA national Italian project; MAE bilateral Italy-US project; ; ; NERC(UK Research &amp; Innovation (UKRI)Natural Environment Research Council (NERC))</t>
  </si>
  <si>
    <t>This work is supported by the PNRA national Italian project PNRA16_00016, West Antarctic Ice Sheet History from Slope Processes-Eastern Ross Sea (WHISPERS) and by the MAE bilateral Italy-US project US16GR04, Global Sea Level rise &amp; Antarctic Ice Sheet Stability predictions: guessing future by learning from past(GLSAISS). C.S.S.'s contribution is supported by NSF-OPP-1443497 grant and S.P.'s contribution by NSF-ANT-1245283. We thank Edward King for providing radar data of basal sediment deposit. Finally, we thank Karsten Gohl for their useful suggestions and constructive feedback.</t>
  </si>
  <si>
    <t>10.1038/s41467-018-04583-0</t>
  </si>
  <si>
    <t>GJ5VJ</t>
  </si>
  <si>
    <t>WOS:000435450900001</t>
  </si>
  <si>
    <t>Mu, CC; Li, LL; Zhang, F; Li, YX; Xiao, XX; Zhao, Q; Zhang, TJ</t>
  </si>
  <si>
    <t>Mu, Cuicui; Li, Lili; Zhang, Feng; Li, Yuxing; Xiao, Xiongxin; Zhao, Qian; Zhang, Tingjun</t>
  </si>
  <si>
    <t>Impacts of permafrost on above- and belowground biomass on the northern Qinghai-Tibetan Plateau</t>
  </si>
  <si>
    <t>Climate change; vegetation; soil moisture; active layer; ground temperature</t>
  </si>
  <si>
    <t>SOIL ORGANIC-CARBON; ACTIVE LAYER; NITROGEN; REGION; ECOSYSTEMS; THAW</t>
  </si>
  <si>
    <t>Because permafrost is extremely sensitive to climate change, it is of great importance to understand the relationship between permafrost and vegetation biomass. This study aims to reveal the impacts of permafrost on above- and belowground vegetation biomass on the northern Qinghai-Tibetan Plateau. Soil temperature, moisture, active-layer thickness, vegetation coverage, aboveground biomass (AGB), belowground biomass (BGB), and soil organic carbon were investigated in the growing seasons during 2014-2016. The average AGB and BGB in the growing seasons were 0.036 and 0.83 g cm(-2), respectively. The AGB was significantly positively correlated with BGB, soil moisture, and soil organic carbon content, but was significantly negatively correlated with mean annual ground temperature and active-layer thickness, suggesting that permafrost degradation can potentially decrease vegetation growth. The BGB was positively correlated with active-layer thickness and was negatively correlated with soil moisture. This study suggests that permafrost degradation can decrease the soil moisture on the northern Qinghai-Tibetan Plateau and thus decrease AGB. The decreased soil moisture can also lead to lower BGB, while the vegetation in drier soils tends to have higher BGB to access more water resources for plant growth.</t>
  </si>
  <si>
    <t>[Mu, Cuicui; Li, Lili; Zhang, Feng; Li, Yuxing; Xiao, Xiongxin; Zhao, Qian; Zhang, Tingjun] Lanzhou Univ, Coll Earth &amp; Environm Sci, Key Lab Western Chinas Environm Syst MOE, Lanzhou, Gansu, Peoples R China</t>
  </si>
  <si>
    <t>Lanzhou University</t>
  </si>
  <si>
    <t>Mu, CC (corresponding author), Lanzhou Univ, 222 South Tianshui Rd, Lanzhou 730000, Gansu, Peoples R China.</t>
  </si>
  <si>
    <t>mucc@lzu.edu.cn</t>
  </si>
  <si>
    <t>mu, cuicui/AAU-2733-2020; Xiao, Xiongxin/T-5537-2018; ZHANG, TINGJUN/AAX-3662-2020; zhang, feng/L-2587-2013; Mu, Cuicui/KBD-1913-2024</t>
  </si>
  <si>
    <t>mu, cuicui/0000-0003-0630-9423; Xiao, Xiongxin/0000-0001-5230-8160; zhang, feng/0000-0001-5893-0604; ZHANG, Tingjun/0000-0001-6974-9501</t>
  </si>
  <si>
    <t>National Natural Science Foundation of China [41661013]; Fundamental Research Fund for the Central Universities of China [lzujbky-2017-223, lzujbky-2015-ot03]</t>
  </si>
  <si>
    <t>National Natural Science Foundation of China(National Natural Science Foundation of China (NSFC)); Fundamental Research Fund for the Central Universities of China</t>
  </si>
  <si>
    <t>This work was supported by the National Natural Science Foundation of China (41661013) and the Fundamental Research Fund for the Central Universities of China (No. lzujbky-2017-223; lzujbky-2015-ot03).</t>
  </si>
  <si>
    <t>e1447192</t>
  </si>
  <si>
    <t>10.1080/15230430.2018.1447192</t>
  </si>
  <si>
    <t>GN1GV</t>
  </si>
  <si>
    <t>WOS:000438737500001</t>
  </si>
  <si>
    <t>Prados-Roman, C; Gómez-Martín, L; Puentedura, O; Navarro-Comas, M; Iglesias, J; de Mingo, JR; Pérez, M; Ochoa, H; Barlasina, ME; Carbajal, G; Yela, M</t>
  </si>
  <si>
    <t>Prados-Roman, Cristina; Gomez-Martin, Laura; Puentedura, Olga; Navarro-Comas, Monica; Iglesias, Javier; Ramon de Mingo, Jose; Perez, Manuel; Ochoa, Hector; Elena Barlasina, Maria; Carbajal, Gerardo; Yela, Margarita</t>
  </si>
  <si>
    <t>Reactive bromine in the low troposphere of Antarctica: estimations at two research sites</t>
  </si>
  <si>
    <t>ABSORPTION CROSS-SECTIONS; OZONE DEPLETION EVENTS; BOUNDARY-LAYER HALOGENS; SURFACE OZONE; MAX-DOAS; VERTICAL-DISTRIBUTION; TEMPERATURE-DEPENDENCE; ATMOSPHERIC CHEMISTRY; CATALYZED DESTRUCTION; BRO CONCENTRATIONS</t>
  </si>
  <si>
    <t>For decades, reactive halogen species (RHSs) have been the subject of detailed scientific research due to their influence on the oxidizing capacity of the atmosphere and on the climate. From the RHSs, those containing bromine are of particular interest in the polar troposphere as a result of their link to ozone-depletion events (ODEs) and to the perturbation of the cycle of toxic mercury, for example. Given its remoteness and related limited accessibility compared to the Arctic region, the RHSs in the Antarctic troposphere are still poorly characterized. This work presents ground-based observations of tropospheric BrO from two different Antarctic locations: Marambio Base (64 degrees 13' S, 56 degrees 37' W) and Belgrano II Base (77 degrees 52' S, 34 degrees 7' W) during the sunlit period of 2015. By means of MAX-DOAS (Multi-axis Differential Optical Absorption Spectroscopy) measurements of BrO performed from the two research sites, the seasonal variation in this reactive trace gas is described along with its vertical and geographical distribution in the Antarctic environment. Results show an overall vertical profile of BrO mixing ratio decreasing with altitude, with a median value of 1.6 pmol mol(-1) in the lowest layers of the troposphere. Additionally, observations show that the polar sunrise triggers a geographical heterogeneous increase in bromine content in the Antarctic troposphere yielding a maximum BrO at Marambio (26 pmol mol(-1)), amounting to 3-fold the values observed at Belgrano at dawn. Data presented herein are combined with previous studies and ancillary data to update and expand our knowledge of the geographical and vertical distribution of BrO in the Antarctic troposphere, revealing Marambio as one of the locations with the highest BrO reported so far in Antarctica. Furthermore, the observations gathered during 2015 serve as a proxy to investigate the budget of reactive bromine (BrOx = Br + BrO) and the bromine-mediated ozone loss rate in the Antarctic troposphere.</t>
  </si>
  <si>
    <t>[Prados-Roman, Cristina; Gomez-Martin, Laura; Puentedura, Olga; Navarro-Comas, Monica; Iglesias, Javier; Yela, Margarita] Natl Inst Aerosp Technol INTA, Atmospher Res &amp; Instrumentat Branch, Madrid 28850, Spain; [Gomez-Martin, Laura] UFR Sci Exactes &amp; Nat, Grp Spectrometrie Mol &amp; Atmospher, URM CNRS 7331, Moulin Housse,BP 1039, F-51687 Reims 2, France; [Ramon de Mingo, Jose] Natl Inst Aerosp Technol INTA, Space Sensors Engn, Madrid 28850, Spain; [Ochoa, Hector] Argentinian Antarctic Inst IAA, Natl Antarctic Direct DNA, 25 Mayo 1143, San Martin, Buenos Aires, Argentina; [Elena Barlasina, Maria; Carbajal, Gerardo] Atmospher Watch &amp; Geophys GIDyC VAYGEO, Natl Meteorol Serv SMN, Buenos Aires, DF, Argentina; [Carbajal, Gerardo] Pontificia Univ Catolica Argentina, PEPACG, Fac Ingn &amp; Ciencias Agr, Buenos Aires, DF, Argentina; [Perez, Manuel] Natl Inst Aerosp Technol INTA, Atmospher Res &amp; Instrumentat Branch, Madrid 28850, Spain</t>
  </si>
  <si>
    <t>Universite de Reims Champagne-Ardenne; Pontificia Universidad Catolica Argentina</t>
  </si>
  <si>
    <t>Prados-Roman, C (corresponding author), Natl Inst Aerosp Technol INTA, Atmospher Res &amp; Instrumentat Branch, Madrid 28850, Spain.</t>
  </si>
  <si>
    <t>pradosrc@inta.es</t>
  </si>
  <si>
    <t>Gomez, Laura/I-9272-2014; Prados-Roman, Cristina/FBM-1610-2022; Prados-Roman, Cristina/F-4125-2012; Prados-Roman, Cristina/FCT-7862-2022; Navarro-Comas, Monica/J-6297-2014; Yela Gonzalez, Margarita/J-7346-2016; Puentedura, Olga/J-6884-2014</t>
  </si>
  <si>
    <t>Gomez, Laura/0000-0002-6655-7659; Prados-Roman, Cristina/0000-0001-8332-0226; Navarro-Comas, Monica/0000-0002-6347-8955; Yela Gonzalez, Margarita/0000-0003-3775-3156; Puentedura, Olga/0000-0002-4286-1867</t>
  </si>
  <si>
    <t>Spanish Ministry of Economy and Competitiveness (MINECO) [CTM2013-41311-P, CGL2010-20353, POL2006-00382]</t>
  </si>
  <si>
    <t>Spanish Ministry of Economy and Competitiveness (MINECO)</t>
  </si>
  <si>
    <t>Sea ice concentration maps are obtained from the website of the Sea Ice Remote Sensing group of the University of Bremen (https://seaice.uni-bremen.de/start/data-archive/, last access: 18 May 2018). This work was supported by the Spanish Ministry of Economy and Competitiveness (MINECO) under the projects HELADO (CTM2013-41311-P), VIOLIN (CGL2010-20353) and the Spanish contribution to ORACLE-O3 (POL2006-00382). The authors would also like to acknowledge the work done by the different technicians at the stations of Belgrano and Marambio.</t>
  </si>
  <si>
    <t>10.5194/acp-18-8549-2018</t>
  </si>
  <si>
    <t>WOS:000435484300005</t>
  </si>
  <si>
    <t>Rhodes, RH; Yang, X; Wolff, EW</t>
  </si>
  <si>
    <t>Rhodes, Rachael H.; Yang, Xin; Wolff, Eric W.</t>
  </si>
  <si>
    <t>Sea Ice Versus Storms: What Controls Sea Salt in Arctic Ice Cores?</t>
  </si>
  <si>
    <t>sea salt aerosol; sea ice proxy; chemical transport model; Arctic; ice core</t>
  </si>
  <si>
    <t>ELLESMERE-ISLAND; WALES ICEFIELD; BLOWING SNOW; RECORD; AEROSOL; CHEMISTRY; PATTERNS; SULFATE; VARIABILITY; CIRCULATION</t>
  </si>
  <si>
    <t>The sea ice surface is thought to be a major source of sea salt aerosol, suggesting that sodium records of polar ice cores may trace past sea ice extent. Here we test this possibility for the Arctic, using a chemical transport model to simulate aerosol emission, transport, and deposition in the satellite era. Our simulations suggest that sodium records from inland Greenland ice cores are strongly influenced by the impact of meteorology on aerosol transport and deposition. In contrast, sodium in coastal Arctic cores is predominantly sourced from the sea ice surface and the strength of these aerosol emissions controls the ice core sodium variability. Such ice cores may therefore record decadal to centennial scale Holocene sea ice changes. However, any relationship between ice core sodium and sea ice change may depend on how sea ice seasonality impacts sea salt emissions. Field-based observations are urgently required to constrain this. Plain Language Summary To better understand the variability of Arctic sea ice and its interaction with climate, we need to reconstruct its history back beyond the time range of observations. As the sea ice surface is a major source of sea salt aerosol in the polar regions, one possibility is to use sea salt sodium records in Arctic ice cores as tracers of sea ice change. However, there are other factors that influence ice core sodium, in addition to the strength of the sea ice source of aerosol. The most important is meteorology, or storminess, that impacts how aerosol is transported and deposited. We adopt a new approach to tackling this problem, using a numerical model that replicates the emission, transport, and deposition of sea salt to simulate Arctic ice core sodium records. This is used to investigate the competing controls of sea ice versus storminess. Our results suggest that sodium records of coastal Arctic ice cores, away from central Greenland, offer the greatest potential for Holocene sea ice reconstruction. However, this study also highlights the need for more field observations to improve understanding of aerosol emission over the sea ice.</t>
  </si>
  <si>
    <t>[Rhodes, Rachael H.; Wolff, Eric W.] Univ Cambridge, Dept Earth Sci, Cambridge, England; [Yang, Xin] British Antarctic Survey, Nat Environm Res Council, Cambridge, England</t>
  </si>
  <si>
    <t>University of Cambridge; UK Research &amp; Innovation (UKRI); Natural Environment Research Council (NERC); NERC British Antarctic Survey</t>
  </si>
  <si>
    <t>Rhodes, RH (corresponding author), Univ Cambridge, Dept Earth Sci, Cambridge, England.</t>
  </si>
  <si>
    <t>rhr34@cam.ac.uk</t>
  </si>
  <si>
    <t>Wolff, Eric W/D-7925-2014; Yang, Xin/AGB-3514-2022</t>
  </si>
  <si>
    <t>Wolff, Eric W/0000-0002-5914-8531; Yang, Xin/0000-0002-3838-9758; Rhodes, Rachael/0000-0001-7511-1969</t>
  </si>
  <si>
    <t>European Union Horizon 2020 Marie Sklodowska-Curie Individual Fellowship [658120]; Royal Society [RP 120096, NF171273]; NERC [NE/J023051/1]; Marie Curie Actions (MSCA) [658120] Funding Source: Marie Curie Actions (MSCA); NERC [NE/R016038/1, NE/J023051/1, bas0100032] Funding Source: UKRI</t>
  </si>
  <si>
    <t>European Union Horizon 2020 Marie Sklodowska-Curie Individual Fellowship; Royal Society(Royal Society); NERC(UK Research &amp; Innovation (UKRI)Natural Environment Research Council (NERC)); Marie Curie Actions (MSCA)(Marie Curie Actions); NERC(UK Research &amp; Innovation (UKRI)Natural Environment Research Council (NERC))</t>
  </si>
  <si>
    <t>Data Set S1 comprises BASE simulation results (also at doi:10.1594/PANGAEA.887987). Data Set S2 comprises CONTROL, VARYMET, and VARYEMIS simulations, and Data Set S3 comprises FYSI and ALLSI results. References to existing ice core data are provided in Table S2. This study was funded by a European Union Horizon 2020 Marie Sklodowska-Curie Individual Fellowship (658120, SEADOG) awarded to R.H.R. E.W.W. acknowledges support from the Royal Society (RP 120096 and NF171273), and X.Y. and E.W.W. both acknowledge funding from NERC (NE/J023051/1).</t>
  </si>
  <si>
    <t>JUN 16</t>
  </si>
  <si>
    <t>10.1029/2018GL077403</t>
  </si>
  <si>
    <t>GK5WH</t>
  </si>
  <si>
    <t>WOS:000436249900040</t>
  </si>
  <si>
    <t>Chipperfield, MP; Dhomse, S; Hossaini, R; Feng, WH; Santee, ML; Weber, M; Burrows, JP; Wild, JD; Loyola, D; Coldewey-Egbers, M</t>
  </si>
  <si>
    <t>Chipperfield, Martyn P.; Dhomse, Sandip; Hossaini, Ryan; Feng, Wuhu; Santee, Michelle L.; Weber, Mark; Burrows, John P.; Wild, Jeanette D.; Loyola, Diego; Coldewey-Egbers, Melanie</t>
  </si>
  <si>
    <t>On the Cause of Recent Variations in Lower Stratospheric Ozone</t>
  </si>
  <si>
    <t>ozone; recovery; tropics</t>
  </si>
  <si>
    <t>HEMISPHERIC-ASYMMETRY; PINATUBO ERUPTION; TROPOPAUSE LAYER; RECOVERY; CIRCULATION; TRENDS; EMERGENCE; BROMINE; CLIMATE; RECORD</t>
  </si>
  <si>
    <t>We use height-resolved and total column satellite observations and 3-D chemical transport model simulations to study stratospheric ozone variations during 1998-2017 as ozone-depleting substances decline. In 2017 extrapolar lower stratospheric ozone displayed a strong positive anomaly following much lower values in 2016. This points to large interannual variability rather than an ongoing downward trend, as reported recently by Ball et al. (2018, ). The observed ozone variations are well captured by the chemical transport model throughout the stratosphere and are largely driven by meteorology. Model sensitivity experiments show that the contribution of past trends in short-lived chlorine species to the ozone changes is small. Similarly, the potential impact of modest trends in natural brominated short-lived species is small. These results confirm the important role that atmospheric dynamics plays in controlling ozone in the extrapolar lower stratosphere on multiannual time scales and the continued importance of monitoring ozone profiles as the stratosphere changes. Plain Language Summary Emission of long-lived chlorine and bromine-containing ozone-depleting substances has led to the depletion of the ozone layer, most notably the Antarctic ozone hole. Policy action through the Montreal Protocol has phased out the production of the major long-lived ozone-depleting substances. Consequently, stratospheric chlorine and bromine amounts are declining, and we expect the ozone layer to slowly recover. However, although the tropical lower stratosphere is not a region where large ozone loss has so-far been observed, a recent study by Ball et al. (2018) suggested that ozone there is decreasing, in disagreement with models and expectations of ozone recovery. We use updated observations and an atmospheric model to investigate these issues. First, we use an additional year of observations which show that ozone values in the lower stratosphere increased in 2017, which is a consequence of variations in atmospheric dynamics. Second, our 3-D model performs well in reproducing the observed ozone variations. Although the model is not perfect, the comparisons suggest that we do have a good understanding of the lower stratospheric ozone. Third, we quantify the role of short-lived chlorine and bromine compounds, which are not controlled by the Montreal Protocol, on the recent ozone changes. The effect is small.</t>
  </si>
  <si>
    <t>[Chipperfield, Martyn P.; Dhomse, Sandip; Feng, Wuhu] Univ Leeds, Sch Earth &amp; Environm, Leeds, W Yorkshire, England; [Chipperfield, Martyn P.] Univ Leeds, Natl Ctr Earth Observat, Leeds, W Yorkshire, England; [Hossaini, Ryan] Univ Lancaster, Lancaster Environm Ctr, Lancaster, England; [Feng, Wuhu] Univ Leeds, Natl Ctr Atmospher Sci, Leeds, W Yorkshire, England; [Santee, Michelle L.] CALTECH, Jet Prop Lab, Pasadena, CA USA; [Weber, Mark; Burrows, John P.] Univ Bremen, Inst Environm Phys, Bremen, Germany; [Wild, Jeanette D.] Innovim LLC, Greenbelt, MD USA; [Wild, Jeanette D.] NOAA, NCEP, Climate Predict Ctr, College Pk, MD USA; [Loyola, Diego; Coldewey-Egbers, Melanie] Inst Method Fernerkundung IMF, Deutsch Zentrum Luft &amp; Raumfahrt DLR, Oberpfaffenhofen, Germany</t>
  </si>
  <si>
    <t>University of Leeds; University of Leeds; Lancaster University; University of Leeds; UK Research &amp; Innovation (UKRI); Natural Environment Research Council (NERC); NERC National Centre for Atmospheric Science; California Institute of Technology; National Aeronautics &amp; Space Administration (NASA); NASA Jet Propulsion Laboratory (JPL); University of Bremen; National Oceanic Atmospheric Admin (NOAA) - USA; Helmholtz Association; German Aerospace Centre (DLR)</t>
  </si>
  <si>
    <t>Chipperfield, MP (corresponding author), Univ Leeds, Sch Earth &amp; Environm, Leeds, W Yorkshire, England.;Chipperfield, MP (corresponding author), Univ Leeds, Natl Ctr Earth Observat, Leeds, W Yorkshire, England.</t>
  </si>
  <si>
    <t>m.chipperfield@leeds.ac.uk</t>
  </si>
  <si>
    <t>Dhomse, Sandip/C-8198-2011; Burrows, John Philip/AAF-8468-2019; Loyola, Diego/GYO-3213-2022; FENG, WUHU/B-8327-2008; Santee, MIchelle/R-5762-2019; Hossaini, Ryan/F-7134-2015; Chipperfield, Martyn/H-6359-2013; Weber, Mark/F-1409-2011</t>
  </si>
  <si>
    <t>Dhomse, Sandip/0000-0003-3854-5383; Burrows, John Philip/0000-0002-6821-5580; FENG, WUHU/0000-0002-9907-9120; Chipperfield, Martyn/0000-0002-6803-4149; Coldewey-Egbers, Melanie/0000-0002-9275-498X; Wild, Jeannette/0000-0003-1170-6984; Loyola R., Diego G./0000-0002-8547-9350; Weber, Mark/0000-0001-8217-5450; Hossaini, Ryan/0000-0003-2395-6657</t>
  </si>
  <si>
    <t>NERC SISLAC project [NE/R001782/1]; State of Bremen; NERC [NE/R001782/1, ncas10003, NE/N014375/1, NE/R015244/1, NE/J02449X/1] Funding Source: UKRI</t>
  </si>
  <si>
    <t>NERC SISLAC project; State of Bremen; NERC(UK Research &amp; Innovation (UKRI)Natural Environment Research Council (NERC))</t>
  </si>
  <si>
    <t>This work was supported by the NERC SISLAC project (NE/R001782/1). We thank European Centre for Medium-Range Weather Forecasts for providing their analyses. We thank William Ball for supplying the BASIC data and for helpful discussions. The model simulations were performed on the national Archer and Leeds ARC HPC facilities. Work at the Jet Propulsion Laboratory, California Institute of Technology, was carried out under a contract with the National Aeronautics and Space Administration. The GTO-ECV data were produced in the framework of ESA's Climate Change Initiative ozone project. Financial support of the State of Bremen is acknowledged. All model results used in this paper are available from www.see.leeds.ac.uk/similar to lecmc/ftp/GRLO3. The observations are available as indicated from the references provided.</t>
  </si>
  <si>
    <t>10.1029/2018GL078071</t>
  </si>
  <si>
    <t>WOS:000436249900056</t>
  </si>
  <si>
    <t>Silber, I; Verlinde, J; Eloranta, EW; Cadeddu, M</t>
  </si>
  <si>
    <t>Silber, Israel; Verlinde, Johannes; Eloranta, Edwin W.; Cadeddu, Maria</t>
  </si>
  <si>
    <t>Antarctic Cloud Macrophysical, Thermodynamic Phase, and Atmospheric Inversion Coupling Properties at McMurdo Station: I. Principal Data Processing and Climatology</t>
  </si>
  <si>
    <t>polar clouds; AWARE; mixed-phase clouds; cloud inversion configuration; cloud persistence; McMurdo</t>
  </si>
  <si>
    <t>ROSS ICE SHELF; LIQUID WATER PATH; SOUTH-POLE STATION; PART I; MICROWAVE RADIOMETERS; AUTOMATED RETRIEVAL; AEROSOL PROPERTIES; WEST ANTARCTICA; BASE DETECTION; BLOWING SNOW</t>
  </si>
  <si>
    <t>Polar cloud radiative forcing plays a crucial role in the determination of the surface and atmospheric energy balance through processes which are not yet fully understood. While there is a broad and fairly complete database of cloud measurements from several Arctic sites and field campaigns through the past two decades, the recent one-year long U.S. Department of Energy (DOE) Atmospheric Radiation Measurement (ARM) West Antarctic Radiation Experiment (AWARE) field campaign at McMurdo Station has provided a hitherto unmatched multiple-instrument set of ground-based Antarctic cloud measurements. These observations are processed and used to derive the main cloud and liquid containing layer properties: occurrence fraction, cloud persistence and boundaries, and configuration relative to temperature and moisture inversions. The results are compared to previous Arctic observations. It is concluded that clouds and liquid-bearing layers over McMurdo Station are essentially less prevalent and persistent than their Arctic counterparts. However, they typically have higher bases and show a weaker temperature dependence than in the Arctic, suggesting a more pristine Antarctic atmosphere. In addition, the clouds (including both water phases) typically extend toward relatively lower altitudes, and their relation to inversions near cloud top is often similar to those observed in the Arctic.</t>
  </si>
  <si>
    <t>[Silber, Israel; Verlinde, Johannes] Penn State Univ, Dept Meteorol &amp; Atmospher Sci, University Pk, PA 16802 USA; [Eloranta, Edwin W.] Univ Wisconsin, Space Sci &amp; Engn Ctr, Madison, WI USA; [Cadeddu, Maria] Argonne Natl Lab, 9700 S Cass Ave, Argonne, IL 60439 USA</t>
  </si>
  <si>
    <t>Pennsylvania Commonwealth System of Higher Education (PCSHE); Pennsylvania State University; Pennsylvania State University - University Park; University of Wisconsin System; University of Wisconsin Madison; United States Department of Energy (DOE); Argonne National Laboratory</t>
  </si>
  <si>
    <t>Silber, I (corresponding author), Penn State Univ, Dept Meteorol &amp; Atmospher Sci, University Pk, PA 16802 USA.</t>
  </si>
  <si>
    <t>israel0silber@gmail.com</t>
  </si>
  <si>
    <t>/H-8351-2017</t>
  </si>
  <si>
    <t>/0000-0002-9121-3110; Cadeddu, Maria/0000-0002-6430-0585; Silber, Israel/0000-0001-6588-2145</t>
  </si>
  <si>
    <t>National Science Foundation [PLR-1443495]; Office of Polar Programs (OPP); Directorate For Geosciences [1443495] Funding Source: National Science Foundation</t>
  </si>
  <si>
    <t>The data used in this study are available in the ARM data archive (http://www.archive.arm.gov). 10 s resolution HSRL data can be obtained from the University of Wisconsin-Madison HSRL Lidar Group (http://lidar.ssec.wisc.edu). Long-term sounding data can be acquired from the University of Wyoming Department of Atmospheric Science (http://weather.uwyo.edu/upperair/sounding.html) and from the NOAA ESRL Radiosonde Database (https://ruc.noaa.gov/raobs/). The research was supported by the National Science Foundation grant PLR-1443495.</t>
  </si>
  <si>
    <t>D028279</t>
  </si>
  <si>
    <t>10.1029/2018JD028279</t>
  </si>
  <si>
    <t>GK4FE</t>
  </si>
  <si>
    <t>WOS:000436110800021</t>
  </si>
  <si>
    <t>Ivanovic, RF; Gregoire, LJ; Wickert, AD; Burke, A</t>
  </si>
  <si>
    <t>Ivanovic, R. F.; Gregoire, L. J.; Wickert, A. D.; Burke, A.</t>
  </si>
  <si>
    <t>Climatic Effect of Antarctic Meltwater Overwhelmed by Concurrent Northern Hemispheric Melt</t>
  </si>
  <si>
    <t>AMOC; MWP1a; meltwater; hosing; stability; ice sheets</t>
  </si>
  <si>
    <t>LAST GLACIAL MAXIMUM; SEA-LEVEL HISTORIES; ICE-SHEET; FRESH-WATER; OVERTURNING CIRCULATION; PULSE 1A; SOUTHERN-OCEAN; DEGLACIATION; ATLANTIC; MODEL</t>
  </si>
  <si>
    <t>Records indicate that 14,500years ago, sea level rose by 12-22m in under 340years. However, the source of the sea level rise remains contentious, partly due to the competing climatic impact of different hemispheric contributions. Antarctic meltwater could indirectly strengthen the Atlantic Meridional Overturning Circulation (AMOC), causing northern warming, whereas Northern Hemisphere ice sheet meltwater has the opposite effect. This story has recently become more intriguing, due to increasing evidence for sea level contributions from both hemispheres. Using a coupled climate model with freshwater forcing, we demonstrate that the climatic influence of southern-sourced meltwater is overridden by northern sources even when the Antarctic flux is double the North American contribution. This is because the Southern Ocean is quickly resalinized by Antarctic Circumpolar water. These results imply that the pattern of surface climate changes caused by ice sheet melting cannot be used to fingerprint the hemispheric source of the meltwater. Plain Language Summary The fastest major sea level rise ever recorded took place 14,500years ago, when sea level rose by 12-22m in under 340years. The extra water came from melting ice sheets, which stretched across North America and northern Europe as well as Greenland and Antarctica. We ran a climate model to test the impact of different meltwater contributions from Antarctica and the Northern Hemisphere ice sheets (North America, Greenland, and Eurasia). Our simulations demonstrate that northern meltwater has a much stronger and longer lasting effect on ocean circulation and climate than Southern Hemisphere melt. Consequently, northern melting overrides the impact of southern melting even when the flux of water from North America is only half the magnitude of the Antarctic flux. This means that past climate records cannot be used to identify the contribution of meltwater from different ice sheets: the northern signal can override the southern signal.</t>
  </si>
  <si>
    <t>[Ivanovic, R. F.; Gregoire, L. J.] Univ Leeds, Sch Earth &amp; Environm, Leeds, W Yorkshire, England; [Wickert, A. D.] Univ Minnesota, Dept Earth Sci, Minneapolis, MN USA; [Wickert, A. D.] Univ Minnesota, St Anthony Falls Lab, Minneapolis, MN USA; [Burke, A.] Univ St Andrews, Dept Earth &amp; Environm Sci, St Andrews, Fife, Scotland</t>
  </si>
  <si>
    <t>University of Leeds; University of Minnesota System; University of Minnesota Twin Cities; University of Minnesota System; University of Minnesota Twin Cities; University of St Andrews</t>
  </si>
  <si>
    <t>Ivanovic, RF (corresponding author), Univ Leeds, Sch Earth &amp; Environm, Leeds, W Yorkshire, England.</t>
  </si>
  <si>
    <t>r.ivanovic@leeds.ac.uk</t>
  </si>
  <si>
    <t>Gregoire, Lauren J/A-7005-2011; Wickert, Andy/C-2021-2014; Ivanovic, Ruza/C-5941-2012</t>
  </si>
  <si>
    <t>Gregoire, Lauren J/0000-0003-0258-7282; Wickert, Andy/0000-0002-9545-3365; Burke, Andrea/0000-0002-3754-1498; Ivanovic, Ruza/0000-0002-7805-6018</t>
  </si>
  <si>
    <t>Natural Environment Research Council (NERC) [NE/K008536/1]; EPSRC [EP/K000225/1]; EPSRC [EP/K000225/1] Funding Source: UKRI; NERC [NE/K008536/1, NE/M004619/1] Funding Source: UKRI</t>
  </si>
  <si>
    <t>Natural Environment Research Council (NERC)(UK Research &amp; Innovation (UKRI)Natural Environment Research Council (NERC)); EPSRC(UK Research &amp; Innovation (UKRI)Engineering &amp; Physical Sciences Research Council (EPSRC)); EPSRC(UK Research &amp; Innovation (UKRI)Engineering &amp; Physical Sciences Research Council (EPSRC)); NERC(UK Research &amp; Innovation (UKRI)Natural Environment Research Council (NERC))</t>
  </si>
  <si>
    <t>R. F. I. is funded by Natural Environment Research Council (NERC) grant NE/K008536/1. Numerical climate model simulations made use of the N8 HPC Centre of Excellence (N8 consortium and EPSRC grant EP/K000225/1) and the University of Leeds Physical Climate Change Research Group high-performance computing resources. We are grateful to Piers Forster for helpful comments, to three anonymous reviewers for very constructive suggestions, and to Janet Sprintall for swift editorial handling. Presented model data are available from the University of Leeds Research Data repository, https://doi.org/10.5518/395.</t>
  </si>
  <si>
    <t>10.1029/2018GL077623</t>
  </si>
  <si>
    <t>WOS:000436249900052</t>
  </si>
  <si>
    <t>Dhomse, SS; Kinnison, D; Chipperfield, MP; Salawitch, RJ; Cionni, I; Hegglin, MI; Abraham, NL; Akiyoshi, H; Archibald, AT; Bednarz, EM; Bekki, S; Braesicke, P; Butchart, N; Dameris, M; Deushi, M; Frith, S; Hardiman, SC; Hassler, B; Horowitz, L; Hu, RM; Jöckel, P; Josse, B; Kirner, O; Kremser, S; Langematz, U; Lewis, J; Marchand, M; Lin, MY; Mancini, E; Marécal, V; Michou, M; Morgenstern, O; O'Connor, FM; Oman, L; Pitari, G; Plummer, DA; Pyle, JA; Revell, LE; Rozanov, E; Schofield, R; Stenke, A; Stone, K; Sudo, K; Tilmes, S; Visioni, D; Yamashita, Y; Zeng, G</t>
  </si>
  <si>
    <t>Dhomse, Sandip S.; Kinnison, Douglas; Chipperfield, Martyn P.; Salawitch, Ross J.; Cionni, Irene; Hegglin, Michaela I.; Abraham, N. Luke; Akiyoshi, Hideharu; Archibald, Alex T.; Bednarz, Ewa M.; Bekki, Slimane; Braesicke, Peter; Butchart, Neal; Dameris, Martin; Deushi, Makoto; Frith, Stacey; Hardiman, Steven C.; Hassler, Birgit; Horowitz, LarryW.; Hu, Rong-Ming; Joeckel, Patrick; Josse, Beatrice; Kirner, Oliver; Kremser, Stefanie; Langematz, Ulrike; Lewis, Jared; Marchand, Marion; Lin, Meiyun; Mancini, Eva; Marecal, Virginie; Michou, Martine; Morgenstern, Olaf; O'Connor, Fiona M.; Oman, Luke; Pitari, Giovanni; Plummer, David A.; Pyle, John A.; Revell, Laura E.; Rozanov, Eugene; Schofield, Robyn; Stenke, Andrea; Stone, Kane; Sudo, Kengo; Tilmes, Simone; Visioni, Daniele; Yamashita, Yousuke; Zeng, Guang</t>
  </si>
  <si>
    <t>Estimates of ozone return dates from Chemistry-Climate Model Initiative simulations</t>
  </si>
  <si>
    <t>BREWER-DOBSON CIRCULATION; STRATOSPHERIC OZONE; DEPLETING SUBSTANCES; CARBON-DIOXIDE; NITROUS-OXIDE; GREENHOUSE GASES; 21ST-CENTURY; SENSITIVITY; IMPACT; CO2</t>
  </si>
  <si>
    <t>We analyse simulations performed for the Chemistry-Climate Model Initiative (CCMI) to estimate the return dates of the stratospheric ozone layer from depletion caused by anthropogenic stratospheric chlorine and bromine. We consider a total of 155 simulations from 20 models, including a range of sensitivity studies which examine the impact of climate change on ozone recovery. For the control simulations (unconstrained by nudging towards analysed meteorology) there is a large spread (+/- 20DU in the global average) in the predictions of the absolute ozone column. Therefore, the model results need to be adjusted for biases against historical data. Also, the interannual variability in the model results need to be smoothed in order to provide a reasonably narrow estimate of the range of ozone return dates. Consistent with previous studies, but here for a Representative Concentration Pathway (RCP) of 6.0, these new CCMI simulations project that global total column ozone will return to 1980 values in 2049 (with a 1 sigma uncertainty of 2043-2055). At Southern Hemisphere mid-latitudes column ozone is projected to return to 1980 values in 2045 (2039-2050), and at Northern Hemisphere mid-latitudes in 2032 (2020-2044). In the polar regions, the return dates are 2060 (2055-2066) in the Antarctic in October and 2034 (2025-2043) in the Arctic in March. The earlier return dates in the Northern Hemisphere reflect the larger sensitivity to dynamical changes. Our estimates of return dates are later than those presented in the 2014 Ozone Assessment by approximately 5-17 years, depending on the region, with the previous best estimates often falling outside of our uncertainty range. In the tropics only around half the models predict a return of ozone to 1980 values, around 2040, while the other half do not reach the 1980 value. All models show a negative trend in tropical total column ozone towards the end of the 21st century. The CCMI models generally agree in their simulation of the time evolution of stratospheric chlorine and bromine, which are the main drivers of ozone loss and recovery. However, there are a few outliers which show that the multi-model mean results for ozone recovery are not as tightly constrained as possible. Throughout the stratosphere the spread of ozone return dates to 1980 values between models tends to correlate with the spread of the return of inorganic chlorine to 1980 values. In the upper stratosphere, greenhouse gas-induced cooling speeds up the return by about 10-20 years. In the lower stratosphere, and for the column, there is a more direct link in the timing of the return dates of ozone and chlorine, especially for the large Antarctic depletion. Comparisons of total column ozone between the models is affected by different predictions of the evolution of tropospheric ozone within the same scenario, presumably due to differing treatment of tropospheric chemistry. Therefore, for many scenarios, clear conclusions can only be drawn for stratospheric ozone columns rather than the total column. As noted by previous studies, the timing of ozone recovery is affected by the evolution of N2O and CH4. However, quantifying the effect in the simulations analysed here is limited by the few realisations available for these experiments compared to internal model variability. The large increase in N2O given in RCP 6.0 extends the ozone return globally by similar to 15 years relative to N2O fixed at 1960 abundances, mainly because it allows tropical column ozone to be depleted. The effect in extratropical latitudes is much smaller. The large increase in CH4 given in the RCP 8.5 scenario compared to RCP 6.0 also lengthens ozone return by similar to 15 years, again mainly through its impact in the tropics. Overall, our estimates of ozone return dates are uncertain due to both uncertainties in future scenarios, in particular those of greenhouse gases, and uncertainties in models. The scenario uncertainty is small in the short term but increases with time, and becomes large by the end of the century. There are still some model-model differences related to well-known processes which affect ozone recovery. Efforts need to continue to ensure that models used for assessment purposes accurately represent stratospheric chemistry and the prescribed scenarios of ozone-depleting substances, and only those models are used to calculate return dates. For future assessments of single forcing or combined effects of CO2, CH4, and N2O on the stratospheric column ozone return dates, this work suggests that it is more important to have multi-member (at least three) ensembles for each scenario from every established participating model, rather than a large number of individual models.</t>
  </si>
  <si>
    <t>[Dhomse, Sandip S.; Chipperfield, Martyn P.] Univ Leeds, Sch Earth &amp; Environm, Leeds LS2 9JT, W Yorkshire, England; [Kinnison, Douglas; Tilmes, Simone] Natl Ctr Atmospher Res, POB 3000, Boulder, CO 80307 USA; [Chipperfield, Martyn P.] Univ Leeds, Natl Ctr Earth Observat, Leeds LS2 9JT, W Yorkshire, England; [Salawitch, Ross J.] Univ Maryland, Dept Chem &amp; Biochem, College Pk, MD 20742 USA; [Salawitch, Ross J.] Univ Maryland, Dept Atmospher &amp; Ocean Sci, College Pk, MD 20742 USA; [Salawitch, Ross J.] Univ Maryland, Earth Syst Sci Interdisciplinary Ctr, College Pk, MD 20742 USA; [Cionni, Irene] Energia &amp; Sviluppo Econ Sostenible ENEA, Agenzia Nazl Nuove Tecnol, Bologna, Italy; [Hegglin, Michaela I.] Univ Reading, Dept Meteorol, Reading, Berks, England; [Abraham, N. Luke; Archibald, Alex T.; Bednarz, Ewa M.; Pyle, John A.] Univ Cambridge, Dept Chem, Lensfield Rd, Cambridge CB2 1EW, England; [Abraham, N. Luke; Archibald, Alex T.; Pyle, John A.] Natl Ctr Atmospher Res, Cambridge, England; [Akiyoshi, Hideharu; Yamashita, Yousuke] NIES, Tsukuba, Ibaraki 3058506, Japan; [Bekki, Slimane; Hu, Rong-Ming; Marchand, Marion] CNRS, IPSL, F-75252 Paris, France; [Braesicke, Peter] KIT, ASF, IMK, Karlsruhe, Germany; [Butchart, Neal; Hardiman, Steven C.; O'Connor, Fiona M.] Met Off Hadley Ctr, Exeter, Devon, England; [Dameris, Martin; Hassler, Birgit; Joeckel, Patrick] Deutsch Zentrum Luft &amp; Raumfahrt DLR, Inst Phys Atmosphare, Oberpfaffenhofen, Germany; [Deushi, Makoto] Mission Res Inc, Tsukuba, Ibaraki, Japan; [Frith, Stacey] Sci Syst &amp; Applicat Inc, Lanham, MD USA; [Frith, Stacey; Oman, Luke] NASA, Goddard Space Flight Ctr, Greenbelt, MD 20771 USA; [Horowitz, LarryW.; Lin, Meiyun] NOAA, Geophys Fluid Dynam Lab, Princeton, NJ 08540 USA; [Josse, Beatrice; Marecal, Virginie; Michou, Martine] Meteo France, Toulouse, France; [Kirner, Oliver] KIT, SCC, Karlsruhe, Germany; [Kremser, Stefanie; Lewis, Jared; Revell, Laura E.] Bodeker Sci, Alexandra, New Zealand; [Langematz, Ulrike] Free Univ Berlin, Inst Meteorol, Berlin, Germany; [Lin, Meiyun] Princeton Univ, Atmospher &amp; Ocean Sci, Princeton, NJ 08540 USA; [Mancini, Eva; Visioni, Daniele] Univ Aquila, Dept Phys &amp; Chem Sci, I-67100 Laquila, Italy; [Mancini, Eva] Univ Aquila, Ctr Excellence CETEMPS, I-67100 Laquila, Italy; [Morgenstern, Olaf; Zeng, Guang] Natl Inst Water &amp; Atmospher Res NIWA, Wellington, New Zealand; [Pitari, Giovanni] Univ Aquila, Dept Phys &amp; Chem Sci, I-67100 Laquila, Italy; [Plummer, David A.] Environm &amp; Climate Change Canada, Climate Res Div, Montreal, PQ, Canada; [Revell, Laura E.; Rozanov, Eugene; Stenke, Andrea] Swiss Fed Inst Technol, Inst Atmospher &amp; Climate Sci, Zurich, Switzerland; [Rozanov, Eugene] Phys Meteorol Observatorium Davos World Radiat Ct, Davos, Switzerland; [Schofield, Robyn; Stone, Kane] Univ Melbourne, Sch Earth Sci, Melbourne, Vic, Australia; [Schofield, Robyn; Stone, Kane] ARC Ctr Excellence Climate Syst Sci, Sydney, NSW, Australia; [Sudo, Kengo] Nagoya Univ, Grad Sch Environm Studies, Nagoya, Aichi, Japan; [Sudo, Kengo; Yamashita, Yousuke] Japan Agcy Marine Earth Sci &amp; Technol JAMSTEC, Yokohama, Kanagawa 2360001, Japan; [Stone, Kane] MIT, Boston, MA USA</t>
  </si>
  <si>
    <t>University of Leeds; National Center Atmospheric Research (NCAR) - USA; University of Leeds; University System of Maryland; University of Maryland College Park; University System of Maryland; University of Maryland College Park; University System of Maryland; University of Maryland College Park; University of Reading; University of Cambridge; National Institute for Environmental Studies - Japan; Centre National de la Recherche Scientifique (CNRS); Universite Paris Cite; Helmholtz Association; Karlsruhe Institute of Technology; Met Office - UK; Hadley Centre; Helmholtz Association; German Aerospace Centre (DLR); Science Systems and Applications Inc; National Aeronautics &amp; Space Administration (NASA); NASA Goddard Space Flight Center; National Oceanic Atmospheric Admin (NOAA) - USA; Helmholtz Association; Karlsruhe Institute of Technology; Free University of Berlin; Princeton University; University of L'Aquila; University of L'Aquila; National Institute of Water &amp; Atmospheric Research (NIWA) - New Zealand; University of L'Aquila; Environment &amp; Climate Change Canada; Swiss Federal Institutes of Technology Domain; ETH Zurich; University of Melbourne; Melbourne Bioinformatics; ARC Centre of Excellence for Climate System Science; Nagoya University; Japan Agency for Marine-Earth Science &amp; Technology (JAMSTEC); Massachusetts Institute of Technology (MIT)</t>
  </si>
  <si>
    <t>Dhomse, SS; Chipperfield, MP (corresponding author), Univ Leeds, Sch Earth &amp; Environm, Leeds LS2 9JT, W Yorkshire, England.;Kinnison, D (corresponding author), Natl Ctr Atmospher Res, POB 3000, Boulder, CO 80307 USA.;Chipperfield, MP (corresponding author), Univ Leeds, Natl Ctr Earth Observat, Leeds LS2 9JT, W Yorkshire, England.</t>
  </si>
  <si>
    <t>s.s.dhomse@leeds.ac.uk; dkin@ucar.edu; m.chipperfield@leeds.ac.uk</t>
  </si>
  <si>
    <t>Hassler, Birgit/E-8987-2010; Schofield, Robyn/A-4062-2010; bekki, slimane/J-7221-2015; Lin, Meiyun/D-6107-2013; Tilmes, Simone/JUV-6618-2023; Hardiman, Steven/HDO-0165-2022; Braesicke, Peter/D-8330-2016; Frith, Stacey/HMD-9437-2023; Revell, Laura/ABG-7040-2020; Visioni, Daniele/O-7824-2016; Lewis, Jared/JFT-1938-2023; Rozanov, Eugene/V-1881-2018; Pitari, Giovanni/O-7458-2016; Archibald, Alexander/GRR-5452-2022; Oman, Luke D/C-2778-2009; Lin, Meiyun/AAL-3672-2020; Dhomse, Sandip/C-8198-2011; CIONNI, Irene/E-8204-2017; Yamashita, Yousuke/AAB-4754-2019; Salawitch, Ross/B-4605-2009; Hegglin, Michaela/ABC-2799-2021; Sudo, Kengo/I-6394-2014; Chipperfield, Martyn/H-6359-2013; Kirner, Oliver/K-8815-2015; Stenke, Andrea/GYJ-6299-2022; Akiyoshi, Hideharu/H-8170-2018; Jöckel, Patrick/C-3687-2009</t>
  </si>
  <si>
    <t>Schofield, Robyn/0000-0002-4230-717X; bekki, slimane/0000-0002-5538-0800; Tilmes, Simone/0000-0002-6557-3569; Braesicke, Peter/0000-0003-1423-0619; Frith, Stacey/0000-0001-6894-0574; Revell, Laura/0000-0002-8974-7703; Visioni, Daniele/0000-0002-7342-2189; Rozanov, Eugene/0000-0003-0479-4488; Lin, Meiyun/0000-0003-3852-3491; Dhomse, Sandip/0000-0003-3854-5383; CIONNI, Irene/0000-0002-0591-9193; Yamashita, Yousuke/0000-0002-6813-4668; Hegglin, Michaela/0000-0003-2820-9044; Sudo, Kengo/0000-0002-5013-4168; Chipperfield, Martyn/0000-0002-6803-4149; Kirner, Oliver/0000-0001-5668-6177; Jöckel, Patrick/0000-0002-8964-1394; Zeng, Guang/0000-0002-9356-5021; Akiyoshi, Hideharu/0000-0001-6463-9004; Marecal, Virginie/0000-0003-1077-909X; Morgenstern, Olaf/0000-0002-9967-9740; Stenke, Andrea/0000-0002-5916-4013; O'Connor, Fiona/0000-0003-2893-4828; Abraham, Nathan Luke/0000-0003-3750-3544; Dameris, Martin/0000-0001-6700-0628; Deushi, Makoto/0000-0002-0373-3918; Salawitch, Ross/0000-0001-8597-5832; Bednarz, Ewa Monika/0000-0002-7441-0497; Archibald, Alexander/0000-0001-9302-4180</t>
  </si>
  <si>
    <t>NASA [WBS 479717]; NZ Government's Strategic Science Investment Fund (SSIF) through the NIWA programme CACV; New Zealand Royal Society Marsden Fund [12-NIW-006]; Deep South National Science Challenge; NeSI's collaborator institutions; Ministry of Business, Innovation &amp; Employment's Research Infrastructure programme; ERC [267760]; Swiss National Science Foundation [CRSII2_147659, 200021_169241]; Environment Research and Technology Development Fund of the Environmental Restoration and Conservation Agency, Japan [2-1303, 2-1709]; Centre d'Etude Spatiale (CNES) SOLSPEC grant; European Project StratoClim (7th Framework Programme) [603557]; LABEX L-IPSL - French Agence Nationale de la Recherche under the Programme d'Investissements d'Avenir; Joint UK BEIS/Defra Met Office Hadley Centre Climate Programme [GA01101]; European Commission's 7th Framework Programme [603557]; European Union [641816]; Bundesministerium fur Bildung und Forschung (BMBF); NSF; Office of Science of the US Department of Energy; Australian Research Council's Centre of Excellence for Climate System Science [CE110001028]; Australian Government's National Computational Merit Allocation Scheme [q90]; Australian Antarctic science grant program [FoRCES 4012]; Deep South National Science Challenge [CO1X1445]; National Aeronautics and Space Administration ACMAP program; National Aeronautics and Space Administration Aura program; NERC SISLAC project [NE/R001782/1]; Royal Society; NERC [NE/R015244/1, NE/D002753/1, NE/J008621/1, ncas10003, NE/N018001/1, nceo020005] Funding Source: UKRI; Swiss National Science Foundation (SNF) [200021_169241, CRSII2_147659] Funding Source: Swiss National Science Foundation (SNF)</t>
  </si>
  <si>
    <t>NASA(National Aeronautics &amp; Space Administration (NASA)); NZ Government's Strategic Science Investment Fund (SSIF) through the NIWA programme CACV; New Zealand Royal Society Marsden Fund(Royal Society of New ZealandMarsden Fund (NZ)); Deep South National Science Challenge; NeSI's collaborator institutions; Ministry of Business, Innovation &amp; Employment's Research Infrastructure programme(New Zealand Ministry of Business, Innovation and Employment (MBIE)); ERC(European Research Council (ERC)); Swiss National Science Foundation(Swiss National Science Foundation (SNSF)); Environment Research and Technology Development Fund of the Environmental Restoration and Conservation Agency, Japan; Centre d'Etude Spatiale (CNES) SOLSPEC grant; European Project StratoClim (7th Framework Programme)(European Union (EU)Marie Curie Actions); LABEX L-IPSL - French Agence Nationale de la Recherche under the Programme d'Investissements d'Avenir(Agence Nationale de la Recherche (ANR)); Joint UK BEIS/Defra Met Office Hadley Centre Climate Programme; European Commission's 7th Framework Programme(European Union (EU)European Commission Joint Research Centre); European Union(European Union (EU)); Bundesministerium fur Bildung und Forschung (BMBF)(Federal Ministry of Education &amp; Research (BMBF)); NSF(National Science Foundation (NSF)); Office of Science of the US Department of Energy(United States Department of Energy (DOE)); Australian Research Council's Centre of Excellence for Climate System Science(Australian Research Council); Australian Government's National Computational Merit Allocation Scheme(Australian Government); Australian Antarctic science grant program; Deep South National Science Challenge; National Aeronautics and Space Administration ACMAP program; National Aeronautics and Space Administration Aura program; NERC SISLAC project; Royal Society(Royal Society); NERC(UK Research &amp; Innovation (UKRI)Natural Environment Research Council (NERC)); Swiss National Science Foundation (SNF)(Swiss National Science Foundation (SNSF))</t>
  </si>
  <si>
    <t>We acknowledge the modelling groups for making their simulations available for this analysis, the joint WCRP IGAC/SPARC Chemistry-Climate Model Initiative (CCMI) for organizing and coordinating the model data analysis activity, and the British Atmospheric Data Centre (BADC) for collecting and archiving the CCMI model output. We thank Michelle Santee for providing the MLS data. The SBUV Merged Ozone Data Set is made available under the NASA long-term measurement of ozone program WBS 479717. Olaf Morgenstern, Guang Zeng, N. Luke Abraham, Ewa M. Bednarz, and John A. Pyle acknowledge the UK Met Office for use of the MetUM. NIWA research was supported by the NZ Government's Strategic Science Investment Fund (SSIF) through the NIWA programme CACV. Olaf Morgenstern acknowledges funding by the New Zealand Royal Society Marsden Fund (grant 12-NIW-006) and by the Deep South National Science Challenge (www.deepsouthchallenge.co.nz, last acess: 1 June 2018). We acknowledge the contribution of NeSI high-performance computing facilities to the results of this research. New Zealand's national facilities are provided by the New Zealand eScience Infrastructure (NeSI) and funded jointly by NeSI's collaborator institutions and through the Ministry of Business, Innovation &amp; Employment's Research Infrastructure programme (www.nesi.org.nz, last access: 1 June 2018). N. Luke Abraham, Alex T. Archibald, Ewa M. Bednarz, and John A. Pyle acknowledge use of the ARCHER UK National Supercomputing Service (www.archer.ac.uk, last acess: 1 June 2018) and the MONSooN system, a collaborative facility supplied under the Joint Weather and Climate Research Programme, which is a strategic partnership between the UK Met Office and NERC. Ewa M. Bednarz acknowledges funding from the ERC for the ACCI project (grant number 267760). The SOCOL team acknowledges support from the Swiss National Science Foundation under grant agreement CRSII2_147659 (FUPSOL II). Eugene Rozanov acknowledges support from the Swiss National Science Foundation under grant 200021_169241 (VEC). Hideharu Akiyoshi acknowledges Environment Research and Technology Development Fund of the Environmental Restoration and Conservation Agency, Japan (2-1303 and 2-1709), and NEC-SX9/A(ECO) computers at CGER, NIES. The IPSL team acknowledges support from the Centre d'Etude Spatiale (CNES) SOLSPEC grant, European Project StratoClim (7th Framework Programme, grant agreement 603557), and the LABEX L-IPSL, funded by the French Agence Nationale de la Recherche under the Programme d'Investissements d'Avenir. Neal Butchart, Steven C. Hardiman, and Fiona M. O'Connor were supported by the Joint UK BEIS/Defra Met Office Hadley Centre Climate Programme (GA01101). Neal Butchart and Steven C. Hardiman also acknowledge the European Commission's 7th Framework Programme, under grant agreement no. 603557, StratoClim project. Fiona M. O'Connor acknowledges additional support from the Horizon 2020 European Union's Framework Programme for Research and Innovation Coordinated Research in Earth Systems and Climate: Experiments, kNowledge, Dissemination and Outreach (CRESCENDO) project under grant agreement no. 641816. The EMAC simulations have been performed at the German Climate Computing Centre (DKRZ) through support from the Bundesministerium fur Bildung und Forschung (BMBF). DKRZ and its scientific steering committee are gratefully acknowledged for providing the HPC and data archiving resources for this consortial project ESCiMo (Earth System Chemistry integrated Modelling).; CESM1 (WACCM) and CESM1 (CAM4) are components of NCAR's CESM, which is supported by the NSF and the Office of Science of the US Department of Energy. Computing resources were provided by NCAR's Climate Simulation Laboratory, sponsored by NSF and other agencies. This research was enabled by the computational and storage resources of NCAR's Computational and Information Systems Laboratory (CISL). Robyn Schofield and Kane Stone acknowledge support from Australian Research Council's Centre of Excellence for Climate System Science (CE110001028), the Australian Government's National Computational Merit Allocation Scheme (q90), and Australian Antarctic science grant program (FoRCES 4012). Stefanie Kremser acknowledges funding by the Deep South National Science Challenge (CO1X1445). Ross J. Salawitch appreciates the support of the National Aeronautics and Space Administration ACMAP and Aura programs. Martyn P. Chipperfield and Sandip Dhomse acknowledge use of the Archer and Leeds HPC facilities and funding from the NERC SISLAC project (NE/R001782/1). Martyn P. Chipperfield thanks the Royal Society for a Wolfson Merit Award.</t>
  </si>
  <si>
    <t>JUN 15</t>
  </si>
  <si>
    <t>10.5194/acp-18-8409-2018</t>
  </si>
  <si>
    <t>GJ5FM</t>
  </si>
  <si>
    <t>Green Submitted, Green Accepted, gold, Green Published</t>
  </si>
  <si>
    <t>WOS:000435406800003</t>
  </si>
  <si>
    <t>Duan, F; Wang, YJ; Liao, ZB; Chen, ST; Zhang, WH; Shao, QF</t>
  </si>
  <si>
    <t>Duan, Fucai; Wang, Yongjin; Liao, Zebo; Chen, Shitao; Zhang, Weihong; Shao, Qingfeng</t>
  </si>
  <si>
    <t>Divergent influences of the Greenland and Antarctica climates on the Asian monsoon during a stadial to interstadial cycle</t>
  </si>
  <si>
    <t>JOURNAL OF ASIAN EARTH SCIENCES</t>
  </si>
  <si>
    <t>Stalagmite; Asian monsoon; Greenland Interstadial; Yongxing Cave; Central China</t>
  </si>
  <si>
    <t>INTERTROPICAL CONVERGENCE ZONE; ICE-CORE RECORDS; MILLENNIAL-SCALE; DOME-C; MIS 3; VARIABILITY; ATLANTIC; CIRCULATION; STALAGMITE; CHINA</t>
  </si>
  <si>
    <t>Despite the links of Asian monsoon with climates at high northern and southern latitudes, it remains unclear that at which time and to what extent the Asian monsoon variation is dominated by one of the two drivers throughout a Greenland Stadial (GS) to Greenland Interstadial (GI) cycle. Here we provide a Chinese stalagmite delta O-18 record to study their teleconnections throughout the GS-6 to GI-5.2 cycle. The resemblance between the stalagmite and Greenland records, in timing, duration and abruptness of GI-5.2, supports that the occurrence and termination of GIs are paced by the northern driving force. During the intervals of GI-5.2 and GS-6, however, the Asian monsoon fluctuated concomitantly with variation in temperature over Antarctica, instead of over Greenland. This covariation indicates dominant influences of the Antarctic climate during the climatically stable intervals of stadials and interstadials. This study updates our knowledge on mechanical dynamics of the Asian monsoon change and global climate change throughout a GS to GI cycle.</t>
  </si>
  <si>
    <t>[Duan, Fucai; Zhang, Weihong] Zhejiang Normal Univ, Coll Geog &amp; Environm Sci, Jinhua 321004, Peoples R China; [Wang, Yongjin; Liao, Zebo; Chen, Shitao; Shao, Qingfeng] Nanjing Normal Univ, Coll Geog Sci, Nanjing 210023, Jiangsu, Peoples R China</t>
  </si>
  <si>
    <t>Zhejiang Normal University; Nanjing Normal University</t>
  </si>
  <si>
    <t>Zhang, Wei/HOF-7252-2023</t>
  </si>
  <si>
    <t>National Natural Science Foundation of China [41602181, 41602350, 41571102, 41572340]</t>
  </si>
  <si>
    <t>We thank two anonymous reviewers, whose insightful suggestions and comments greatly clarified and improved the paper. This work was supported by the National Natural Science Foundation of China (grant nos. 41602181, 41602350, 41571102 and 41572340).</t>
  </si>
  <si>
    <t>1367-9120</t>
  </si>
  <si>
    <t>1878-5786</t>
  </si>
  <si>
    <t>J ASIAN EARTH SCI</t>
  </si>
  <si>
    <t>J. Asian Earth Sci.</t>
  </si>
  <si>
    <t>10.1016/j.jseaes.2018.03.019</t>
  </si>
  <si>
    <t>GK5KJ</t>
  </si>
  <si>
    <t>WOS:000436213700007</t>
  </si>
  <si>
    <t>Shukla, SK; Romero, OE</t>
  </si>
  <si>
    <t>Shukla, Sunil Kumar; Romero, Oscar E.</t>
  </si>
  <si>
    <t>Glacial valve size variation of the Southern Ocean diatom Fragilariopsis kerguelensis preserved in the Benguela Upwelling System, southeastern Atlantic</t>
  </si>
  <si>
    <t>Mid-latitude; High-latitude; Productivity; Nutrient cycling; Cell cycle</t>
  </si>
  <si>
    <t>TROPICAL WEST PACIFIC; SURFACE SEDIMENTS; OCEANOGRAPHIC CONTROL; ICE CORE; VARIABILITY; SECTOR; CLIMATE; MAXIMUM; CYCLES; PALEOCEANOGRAPHY</t>
  </si>
  <si>
    <t>The valve size variations of the Southern Ocean (SO) diatom Fragilariopsis kerguelensis from the sediments of Antarctic Polar Front and Subantarctic Front were shown to be strongly correlated with iron availability at the glacial-interglacial timescale. However, recent evidence from the subtropical region of the SO has suggested sea surface temperature to be a key controlling factor by mediating silica uptake other than the iron availability. We present here the first record of F. kerguelensis size variation in core GeoB3606-1 collected in the Benguela Upwelling System (BUS), SE Atlantic (25 degrees 28'S, 13 degrees 05'E) where F. kerguelensis valves were preserved during the glacial period (68-30 ka) as a consequence of silicic acid leakage from polar to mid-latitudes. Our study presents the first record of diatom morphology variations of F. kerguelensis from a mid-latitude core location to test the previous hypotheses proposed for SO. Our results demonstrate that F. kerguelensis valves at GeoB3606-1 were almost half of the mean size of specimens compared to the SO downcore records. Further, F. kerguelensis valves were smaller and more abundant during early Marine Isotope Stage (MIS) 3 and conversely larger and less abundant during MIS4 and late MIS3. However, such patterns are not supported by the linear regression analyses suggesting that iron availability could have mediated the size changes of F. kerguelensis rather than the species productivity during 68-30 ka. These findings agree with the recently gained knowledge on the life cycle patterns of F. kerguelensis related to reproduction strategies, cell size range, and formation of initial cells.</t>
  </si>
  <si>
    <t>[Shukla, Sunil Kumar] Birbal Sahni Inst Palaeosci, 53 Univ Rd, Lucknow 226007, Uttar Pradesh, India; [Romero, Oscar E.] Univ Bremen, MARUM Ctr Marine Environm Sci, Leobener Str 8, D-28359 Bremen, Germany</t>
  </si>
  <si>
    <t>Department of Science &amp; Technology (India); Birbal Sahni Institute of Palaeobotany (BSIP); University of Bremen</t>
  </si>
  <si>
    <t>Shukla, SK (corresponding author), Birbal Sahni Inst Palaeosci, 53 Univ Rd, Lucknow 226007, Uttar Pradesh, India.</t>
  </si>
  <si>
    <t>sunilk_shukla@bsip.res.in</t>
  </si>
  <si>
    <t>Romero, Oscar/T-9717-2019; Shukla, Sunil/GLR-0323-2022</t>
  </si>
  <si>
    <t>Shukla, Sunil/0000-0002-7517-5564</t>
  </si>
  <si>
    <t>Birbal Sahni Institute of Palaeosciences (BSIP) [4.14]; Indian National Science Academy (INSA); German Research Foundation (DFG); [DFGRO3039/4-1]</t>
  </si>
  <si>
    <t>Birbal Sahni Institute of Palaeosciences (BSIP); Indian National Science Academy (INSA); German Research Foundation (DFG)(German Research Foundation (DFG));</t>
  </si>
  <si>
    <t>S.K.S. acknowledges funding support of Birbal Sahni Institute of Palaeosciences (BSIP In-house Project No. 4.14, XIII Five Year Plan), and Indian National Science Academy (INSA) and German Research Foundation (DFG). The encouragement from Prof. Sunil Bajpai, Director BSIP for INSA-DFG bilateral exchange programme - 2017 and for approval to publish this research work (BSIP/RDCC/51/2017-18) is gratefully acknowledged. O.E.R. acknowledges funding support of DFGRO3039/4-1. We thank Prof. Thomas Algeo (Editor-in-Chief) for a thorough initial scrutiny of the manuscript and for providing his valuable comments and suggestions on the manuscript. The three anonymous reviewers are also thankfully acknowledged for their excellent comments and suggestions which helped in improving the initial version of manuscript.</t>
  </si>
  <si>
    <t>10.1016/j.palaeo.2018.03.023</t>
  </si>
  <si>
    <t>GE4AV</t>
  </si>
  <si>
    <t>WOS:000431157600010</t>
  </si>
  <si>
    <t>Passaro, M; Rose, SK; Andersen, OB; Boergens, E; Calafat, FM; Dettmering, D; Benveniste, J</t>
  </si>
  <si>
    <t>Passaro, Marcello; Rose, Stine Kildegaard; Andersen, Ole B.; Boergens, Eva; Calafat, Francisco M.; Dettmering, Denise; Benveniste, Jerome</t>
  </si>
  <si>
    <t>ALES plus : Adapting a homogenous ocean retracker for satellite altimetry to sea ice leads, coastal and inland waters</t>
  </si>
  <si>
    <t>Satellite altimetry; Retracking; Subwaveform retracker; Validation; Tide gauge; Leads; Arctic Ocean; ALES</t>
  </si>
  <si>
    <t>SURFACE WIND-SPEED; WAVE-FORMS; LEVEL; ZONE; TIDE; ALGORITHM; STRAIT; MODELS</t>
  </si>
  <si>
    <t>Water level from sea ice-covered oceans is particularly challenging to retrieve with satellite radar altimeters due to the different shapes assumed by the returned signal compared with the standard open ocean waveforms. Valid measurements are scarce in large areas of the Arctic and Antarctic Oceans, because sea level can only be estimated in the openings in the sea ice (leads and polynyas). Similar signal-related problems affect also measurements in coastal and inland waters. This study presents a fitting (also called retracking) strategy (ALES +) based on a subwaveform retracker that is able to adapt the fitting of the signal depending on the sea state and on the slope of its trailing edge. The algorithm modifies the existing Adaptive Leading Edge Subwaveform retracker originally designed for coastal waters, and is applied to Envisat and ERS-2 missions. The validation in a test area of the Arctic Ocean demonstrates that the presented strategy is more precise than the dedicated ocean and sea ice retrackers available in the mission products. It decreases the retracking open ocean noise by over 1 cm with respect to the standard ocean retracker and is more precise by over 1 cm with respect to the standard sea ice retracker used for fitting specular echoes. Compared to an existing open ocean altimetry dataset, the presented strategy increases the number of sea level retrievals in the sea ice-covered area and the correlation with a local tide gauge. Further tests against in-situ data show that also the quality of coastal retrievals increases compared to the standard ocean product in the last 6 km within the coast. ALES + improves the sea level determination at high latitudes and is adapted to fit reflections from any water surface. If used in the open ocean and in the coastal zone, it improves the current official products based on ocean retrackers. First results in the inland waters show that the correlation between water heights from ALES + and from in-situ measurement is always over 0.95.</t>
  </si>
  <si>
    <t>[Passaro, Marcello; Boergens, Eva; Dettmering, Denise] Tech Univ Munich, Deutsch Geodat Forschungsinst, Arcisstr 21, D-80333 Munich, Germany; [Rose, Stine Kildegaard; Andersen, Ole B.] Natl Space Inst, DTU Space, Lyngby, Denmark; [Calafat, Francisco M.] Natl Oceanog Ctr Liverpool, Liverpool, Merseyside, England; [Benveniste, Jerome] European Space Agcy, European Space Res Inst ESRIN, Frascati, Italy</t>
  </si>
  <si>
    <t>Technical University of Munich; Technical University of Denmark; NERC National Oceanography Centre; European Space Agency</t>
  </si>
  <si>
    <t>Benveniste, Jérôme/JWP-2537-2024; Dettmering, Denise/C-6337-2012; Rose, Stine Kildegaard/AAX-5563-2020; Passaro, Marcello/AAL-4772-2020; Boergens, Eva/H-8132-2017; Börgens, Eva/ABB-1190-2020; Andersen, Ole Baltazar/H-7481-2016</t>
  </si>
  <si>
    <t>Dettmering, Denise/0000-0002-8940-4639; Rose, Stine Kildegaard/0000-0003-4902-9093; Passaro, Marcello/0000-0002-3372-3948; Börgens, Eva/0000-0001-6178-9402; Calafat, Francisco/0000-0002-7474-135X; Andersen, Ole Baltazar/0000-0002-6685-3415</t>
  </si>
  <si>
    <t>European Space Agency; Natural Environment Research Council [noc010012] Funding Source: researchfish</t>
  </si>
  <si>
    <t>European Space Agency(European Space Agency); Natural Environment Research Council(UK Research &amp; Innovation (UKRI)Natural Environment Research Council (NERC))</t>
  </si>
  <si>
    <t>The authors acknowledge the support of the European Space Agency in the framework of the Sea Level Climate Change Initiative project.</t>
  </si>
  <si>
    <t>10.1016/j.rse.2018.02.074</t>
  </si>
  <si>
    <t>GH7RI</t>
  </si>
  <si>
    <t>WOS:000433650700035</t>
  </si>
  <si>
    <t>Gafar, NA; Schulz, KG</t>
  </si>
  <si>
    <t>Gafar, Natasha A.; Schulz, Kai G.</t>
  </si>
  <si>
    <t>A three-dimensional niche comparison of Emiliania huxleyi and Gephyrocapsa oceanica: reconciling observations with projections</t>
  </si>
  <si>
    <t>DISSOLVED INORGANIC CARBON; SEA-SURFACE DISTRIBUTION; LATE AUSTRAL SUMMER; SOUTHERN-OCEAN; ENVIRONMENTAL CONTROLS; COCCOLITH FORMATION; CO2 CONCENTRATION; ATLANTIC-OCEAN; ORGANIC-CARBON; ARABIAN SEA</t>
  </si>
  <si>
    <t>Coccolithophore responses to changes in carbonate chemistry speciation such as CO2 and H+ are highly modulated by light intensity and temperature. Here, we fit an analytical equation, accounting for simultaneous changes in carbonate chemistry speciation, light and temperature, to published and original data for Emiliania huxleyi, and compare the projections with those for Gephyrocapsa oceanica. Based on our analysis, the two most common bloom-forming species in present-day coccolithophore communities appear to be adapted for a similar fundamental light niche but slightly different ones for temperature and CO2, with E. huxleyi having a tolerance to lower temperatures and higher CO2 levels than G. oceanica. Based on growth rates, a dominance of E. huxleyi over G. oceanica is projected below temperatures of 22 degrees C at current atmospheric CO2 levels. This is similar to a global surface sediment compilation of E. huxleyi and G. oceanica coccolith abundances suggesting temperature-dependent dominance shifts. For a future Representative Concentration Pathway (RCP) 8.5 climate change scenario (1000 mu atm fCO(2)), we project a CO2 driven niche contraction for G. oceanica to regions of even higher temperatures. However, the greater sensitivity of G. oceanica to increasing CO2 is partially mitigated by increasing temperatures. Finally, we compare satellite-derived particulate inorganic carbon estimates in the surface ocean with a recently proposed metric for potential coccolithophore success on the community level, i.e. the temperature-, light-and carbonate-chemistry-dependent CaCO3 production potential (CCPP). Based on E. huxleyi alone, as there was interestingly a better correlation than when in combination with G. oceanica, and excluding the Antarctic province from the analysis, we found a good correlation between CCPP and satellite-derived par-ticulate inorganic carbon (PIC) with an R-2 of 0.73, p &lt; 0.01 and a slope of 1.03 for austral winter/boreal summer and an R-2 of 0.85, p &lt; 0.01 and a slope of 0.32 for austral summer/boreal winter.</t>
  </si>
  <si>
    <t>[Gafar, Natasha A.; Schulz, Kai G.] Southern Cross Univ, Sch Environm Sci &amp; Engn, Ctr Coastal Biogeochem, Lismore, NSW 2480, Australia</t>
  </si>
  <si>
    <t>Southern Cross University</t>
  </si>
  <si>
    <t>Gafar, NA (corresponding author), Southern Cross Univ, Sch Environm Sci &amp; Engn, Ctr Coastal Biogeochem, Lismore, NSW 2480, Australia.</t>
  </si>
  <si>
    <t>n.gafar.10@student.scu.edu.au</t>
  </si>
  <si>
    <t>Schulz, Kai/AEZ-9073-2022</t>
  </si>
  <si>
    <t>Schulz, Kai/0000-0002-8481-4639; Gafar, Natasha/0000-0001-6626-9860</t>
  </si>
  <si>
    <t>Australian Research Council (ARC) [FT120100384, DP150102092]; Australian Research Council [FT120100384] Funding Source: Australian Research Council</t>
  </si>
  <si>
    <t>Australian Research Council (ARC)(Australian Research Council); Australian Research Council(Australian Research Council)</t>
  </si>
  <si>
    <t>This study was funded by the Australian Research Council (ARC) FT120100384 awarded to Kai G. Schulz and DP150102092 awarded to Kai G. Schulz. We also thank Matheus Carvalho for analysing particulate carbon samples.</t>
  </si>
  <si>
    <t>10.5194/bg-15-3541-2018</t>
  </si>
  <si>
    <t>GJ5CQ</t>
  </si>
  <si>
    <t>WOS:000435399200001</t>
  </si>
  <si>
    <t>Arndt, JE; Larter, RD; Friedl, P; Gohl, K; Höppner, K</t>
  </si>
  <si>
    <t>Arndt, Jan Erik; Larter, Robert D.; Friedl, Peter; Gohl, Karsten; Hoeppner, Kathrin</t>
  </si>
  <si>
    <t>Sci Team Expedition Ps104</t>
  </si>
  <si>
    <t>Bathymetric controls on calving processes at Pine Island Glacier</t>
  </si>
  <si>
    <t>AMUNDSEN SEA EMBAYMENT; ANTARCTIC ICE-SHEET; GROUNDING-LINE RETREAT; CIRCUMPOLAR DEEP-WATER; WEST ANTARCTICA; STABILITY; WIDESPREAD; THICKNESS; THWAITES; MARGINS</t>
  </si>
  <si>
    <t>Pine Island Glacier is the largest current Antarctic contributor to sea-level rise. Its ice loss has substantially increased over the last 25 years through thinning, acceleration and grounding line retreat. However, the calving line positions of the stabilising ice shelf did not show any trend within the observational record (last 70 years) until calving in 2015 led to unprecedented retreat and changed the alignment of the calving front. Bathymetric surveying revealed a ridge below the former ice shelf and two shallower highs to the north. Satellite imagery shows that ice contact on the ridge was likely lost in 2006 but was followed by intermittent contact resulting in back stress fluctuations on the ice shelf. Continuing ice-shelf flow also led to occasional ice-shelf contact with the northern bathymetric highs, which initiated rift formation that led to calving. The observations show that bathymetry is an important factor in initiating calving events.</t>
  </si>
  <si>
    <t>[Arndt, Jan Erik; Gohl, Karsten] Helmholtz Ctr Polar &amp; Marine Res, Alfred Wegener Inst, Handelshafen 12, D-27570 Bremerhaven, Germany; [Larter, Robert D.] British Antarctic Survey, High Cross Madingley Rd, Cambridge CB3 0ET, England; [Friedl, Peter; Hoeppner, Kathrin] German Remote Sensing Data Ctr, German Aerosp Ctr DLR, Oberpfaffenhofen, Munchener Str 20, D-82234 Wessling, Germany</t>
  </si>
  <si>
    <t>Helmholtz Association; Alfred Wegener Institute, Helmholtz Centre for Polar &amp; Marine Research; UK Research &amp; Innovation (UKRI); Natural Environment Research Council (NERC); NERC British Antarctic Survey; Helmholtz Association; German Aerospace Centre (DLR)</t>
  </si>
  <si>
    <t>Arndt, JE (corresponding author), Helmholtz Ctr Polar &amp; Marine Res, Alfred Wegener Inst, Handelshafen 12, D-27570 Bremerhaven, Germany.</t>
  </si>
  <si>
    <t>jan.erik.arndt@awi.de</t>
  </si>
  <si>
    <t>Uenzelmann-Neben, Gabriele/AAI-8618-2020; Afanasyeva, Victoria/AAG-9210-2021; Najman, Yani/B-3027-2014; Palike, Heiko/A-6560-2008</t>
  </si>
  <si>
    <t>Uenzelmann-Neben, Gabriele/0000-0002-0115-5923; Afanasyeva, Victoria/0000-0001-6023-1570; Najman, Yani/0000-0003-1286-6509; Riefstahl, Florian/0000-0002-1198-1698; Hochmuth, Katharina/0000-0003-2789-2179; Arndt, Jan Erik/0000-0002-9413-1612; Palike, Heiko/0000-0003-3386-0923; Friedl, Peter/0009-0000-9891-6655; Larter, Robert/0000-0002-8414-7389; Gohl, Karsten/0000-0002-9558-2116</t>
  </si>
  <si>
    <t>DLR through the TerraSAR-X science project [OCE3373]; Deutsche Forschungsgemeinschaft (DFG, German Research Foundation) [AR 1087/1-1]; NERC [NE/L004607/1, NE/R018219/1] Funding Source: UKRI</t>
  </si>
  <si>
    <t>DLR through the TerraSAR-X science project; Deutsche Forschungsgemeinschaft (DFG, German Research Foundation)(German Research Foundation (DFG)); NERC(UK Research &amp; Innovation (UKRI)Natural Environment Research Council (NERC))</t>
  </si>
  <si>
    <t>The TerraSAR-X acquisitions during the RV Polarstern's expedition PS104 were provided by DLR through the TerraSAR-X science project OCE3373 (Fig. 1) and the TanDEM-X science proposal XTI_GLAC7015 (Fig. 4c, Movie S2 in the Supplement). The ERS and Envisat data were provided free of charge by ESA via the Earth Observation Link (EOLi) client. Sentinel-1 data were downloaded from ESA's Copernicus Open Access Hub. We thank JAXA for providing the ALOS PALSAR data and Matthias Braun (University of Erlangen-Nuremberg) for kindly sharing processed RADARSAT-1 intensity images. ASTER data from the L1B Orthorectifed Registered Radiance at the Sensor V003 Product (AST14OTH) were retrieved via the NASA Reverb portal. We thank the crew of RV Polarstern and the scientific staff on board during expedition PS104 for their help and assistance. We thank John B. Anderson, Lauren M. Simkins, Seongsu Jeong and an anonymous reviewer for comments on a previous version of this manuscript and Seongsu Jeong for sharing the Sentinel S2A image, showing rift R3. Jan Erik Arndt was funded by the Deutsche Forschungsgemeinschaft (DFG, German Research Foundation) - AR 1087/1-1. This study is part of the PACES II (Polar Regions and Coasts in the changing Earth System) programme of the Alfred-Wegener-Institut and the Polar Science for Planet Earth Programme of the British Antarctic Survey.</t>
  </si>
  <si>
    <t>10.5194/tc-12-2039-2018</t>
  </si>
  <si>
    <t>GJ5DE</t>
  </si>
  <si>
    <t>WOS:000435400700001</t>
  </si>
  <si>
    <t>Guglielmin, M; Ponti, S; Forte, E</t>
  </si>
  <si>
    <t>Guglielmin, Mauro; Ponti, Stefano; Forte, Emanuele</t>
  </si>
  <si>
    <t>The origins of Antarctic rock glaciers: periglacial or glacial features?</t>
  </si>
  <si>
    <t>EARTH SURFACE PROCESSES AND LANDFORMS</t>
  </si>
  <si>
    <t>geophysical soundings; Antarctica; glacial and periglacial geomorphology; rock glaciers; permafrost; GPR; ERT</t>
  </si>
  <si>
    <t>NORTHERN VICTORIA LAND; PENETRATING RADAR DATA; SOUTH SHETLAND ISLANDS; MCMURDO DRY VALLEYS; JAMES-ROSS-ISLAND; TERRA-NOVA BAY; INTERNAL STRUCTURE; PERMAFROST CREEP; THERMAL STATE; ITALIAN ALPS</t>
  </si>
  <si>
    <t>In extensively glaciarized permafrost areas such as Northern Victoria Land, rock glaciers are quite common and are considered postglacial cryotic landforms. This paper reveals that two rock glaciers in Northern Victoria Land (at Adelie Cove and Strandline) that are located close to the Italian Antarctic Station (Mario Zucchelli Station) should have the same origin, although they were previously mapped as Holocene periglacial landforms and subsequently considered ice-cored and ice-cemented rock glaciers, respectively. In fact, by integrating different geophysical investigations and borehole stratigraphy, we show that both landforms have similar internal structures and cores of buried glacier ice. Therefore, this kind of rock glacier is possibly related to the long-term creep of buried ice rather than to permafrost creep alone. This interpretation can be extended to the larger part of the features mapped as rock glaciers in Antarctica. In addition, a high-reflective horizon sub-parallel to the topographic surface was detected in Ground Probing Radar (GPR) data over a large part of the study area. Combining all the available information, we conclude that it cannot be straightforwardly interpreted as the base of the active layer but rather represents the top of a cryo-lithological unit characterized by ice lenses within sediments that could be interpreted as the transition zone between the active layer and the long-term permafrost table. More generally, knowledge of the subsurface ice content and, in particular, the occurrence of massive ice and its depth is crucial to make realistic and affordable forecasts regarding thermokarst development and related feedbacks involving GHG emissions, especially in the case of cryosoils rich in carbon content. Copyright (c) 2017 John Wiley &amp; Sons, Ltd.</t>
  </si>
  <si>
    <t>[Guglielmin, Mauro; Ponti, Stefano] Insubria Univ, Dept Theoret &amp; Appl Sci, Via Dunant 3, Varese, Italy; [Forte, Emanuele] Univ Trieste, Dept Math &amp; Geosci, Via Weiss 22, I-34128 Trieste, Italy</t>
  </si>
  <si>
    <t>University of Insubria; University of Trieste</t>
  </si>
  <si>
    <t>Guglielmin, M (corresponding author), Insubria Univ, Dept Theoret &amp; Appl Sci, Via Dunant 3, Varese, Italy.</t>
  </si>
  <si>
    <t>mauro.guglielmin@uninsubria.it</t>
  </si>
  <si>
    <t>Ponti, Stefano/AAB-3484-2021</t>
  </si>
  <si>
    <t>Ponti, Stefano/0000-0002-4718-165X; Forte, Emanuele/0000-0002-5995-9254</t>
  </si>
  <si>
    <t>Italian PNRA grant [2013/AZ1.05]</t>
  </si>
  <si>
    <t>Italian PNRA grant</t>
  </si>
  <si>
    <t>This project was funded by Italian PNRA grant 2013/AZ1.05, 'Permafrost ecology in Victoria Land'; we would like to thank all the people from PNRA who provided the logistical support needed to carry out the research. We further thank Maurizio Azzaro and Michele Dalle Fratte for their help during field operations. We gratefully thank Halliburton and Schlumberger, who provided support through the University of Trieste ProMAX (R) (processing suite) and Petrel (R) (interpretation package) academic grants. We would also like to thank Fabio Baio and Andrea Strini, who drilled the AD borehole, and Roberto Gambillara, Marco Filippazzi and Andrea Strini for the laboratory analyses.</t>
  </si>
  <si>
    <t>0197-9337</t>
  </si>
  <si>
    <t>1096-9837</t>
  </si>
  <si>
    <t>EARTH SURF PROC LAND</t>
  </si>
  <si>
    <t>Earth Surf. Process. Landf.</t>
  </si>
  <si>
    <t>10.1002/esp.4320</t>
  </si>
  <si>
    <t>GI2RG</t>
  </si>
  <si>
    <t>WOS:000434218800002</t>
  </si>
  <si>
    <t>Shi, G; Buffen, AM; Ma, H; Hu, Z; Sun, B; Li, C; Yu, J; Ma, T; An, C; Jiang, S; Li, Y; Hastings, MG</t>
  </si>
  <si>
    <t>Shi, G.; Buffen, A. M.; Ma, H.; Hu, Z.; Sun, B.; Li, C.; Yu, J.; Ma, T.; An, C.; Jiang, S.; Li, Y.; Hastings, M. G.</t>
  </si>
  <si>
    <t>Distinguishing summertime atmospheric production of nitrate across the East Antarctic Ice Sheet</t>
  </si>
  <si>
    <t>Nitrate; Isotopes; Snow; Atmosphere; East Antarctica</t>
  </si>
  <si>
    <t>OXYGEN ISOTOPIC COMPOSITION; SURFACE MASS-BALANCE; AIR-SNOW TRANSFER; DOME-C; REACTIVE NITROGEN; SOUTH-POLE; GREENLAND; CORE; CHEMISTRY; COASTAL</t>
  </si>
  <si>
    <t>Surface snow and atmospheric samples collected along a traverse from the coast to the ice sheet summit (Dome A) are used to investigate summertime atmospheric production of nitrate (NO3-) across East Antarctica. The strong relationship observed between delta N-15 and delta O-18 of nitrate in the surface snow suggests a large (lesser) extent of nitrate photolysis in the interior (coastal) region. A linear correlation between the oxygen isotopes of nitrate (delta O-18 and Delta O-17) indicates mixing of various oxidants that react with NOx (NOx = NO + NO2) to produce atmospheric nitrate. On the plateau, the isotopes of snow nitrate are best explained by local reoxidation chemistry of NOx, possibly occurring in both condensed and gas phases. Nitrate photolysis results in redistribution of snow nitrate, and the plateau snow is a net exporter of nitrate and its precursors. Our results suggest that while snow-sourced NOx from the plateau due to photolysis is a significant input to the nitrate budget in coastal snow (up to similar to 35%), tropospheric transport from mid-low latitudes dominates (similar to 65%) coastal snow nitrate. The linear relationship of delta O-18 vs. Delta O-17 of the snow nitrate suggests a predominant role of hydroxyl radical (OH) and ozone (O-3) in nitrate production, although a high Delta O-17(O-3) is required to explain the observations. Across Antarctica the oxygen isotope composition of OH appears to be dominated by exchange with water vapor, despite the very dry environment. One of the largest uncertainties in quantifying nitrate production pathways is the limited knowledge of atmospheric oxidant isotopic compositions. (C) 2018 Elsevier Ltd. All rights reserved.</t>
  </si>
  <si>
    <t>[Shi, G.] East China Normal Univ, Sch Geog Sci, Minist Educ, Key Lab Geog Informat Sci, 500 Dongchuan Rd, Shanghai 200241, Peoples R China; [Shi, G.] East China Normal Univ, Inst Ecochongming, Shanghai 200241, Peoples R China; [Shi, G.; Ma, H.; Hu, Z.; Sun, B.; Yu, J.; Ma, T.; An, C.; Jiang, S.; Li, Y.] Polar Res Inst China, Shanghai 200062, Peoples R China; [Buffen, A. M.; Hastings, M. G.] Brown Univ, Dept Earth Environm &amp; Planetary Sci, Providence, RI 02912 USA; [Buffen, A. M.; Hastings, M. G.] Brown Univ, Inst Brown Environm &amp; Soc, Providence, RI 02912 USA; [Li, C.] Chinese Acad Sci, Northwest Inst Ecoenvironm &amp; Resources, State Key Lab Cryospher Sci, Lanzhou 730000, Gansu, Peoples R China</t>
  </si>
  <si>
    <t>East China Normal University; East China Normal University; Polar Research Institute of China; Brown University; Brown University; Chinese Academy of Sciences</t>
  </si>
  <si>
    <t>Shi, G (corresponding author), East China Normal Univ, Sch Geog Sci, Minist Educ, Key Lab Geog Informat Sci, 500 Dongchuan Rd, Shanghai 200241, Peoples R China.;Hastings, MG (corresponding author), Brown Univ, Dept Earth Environm &amp; Planetary Sci, Providence, RI 02912 USA.;Hastings, MG (corresponding author), Brown Univ, Inst Brown Environm &amp; Soc, Providence, RI 02912 USA.</t>
  </si>
  <si>
    <t>gt_shi@163.com; meredith_hastings@brown.edu</t>
  </si>
  <si>
    <t>Hastings, Meredith G/C-6199-2008</t>
  </si>
  <si>
    <t>National Science Foundation of China [41576190, 41206188]; US National Science Foundation Antarctic Glaciology Program [1246223]; Fundamental Research Funds for the Central Universities; National Key Research and Development Program of China [2016YFA0302204]; Office of Polar Programs (OPP); Directorate For Geosciences [1246223] Funding Source: National Science Foundation</t>
  </si>
  <si>
    <t>National Science Foundation of China(National Natural Science Foundation of China (NSFC)); US National Science Foundation Antarctic Glaciology Program(National Science Foundation (NSF)NSF - Directorate for Geosciences (GEO)); Fundamental Research Funds for the Central Universities(Fundamental Research Funds for the Central Universities); National Key Research and Development Program of China; Office of Polar Programs (OPP); Directorate For Geosciences(National Science Foundation (NSF)NSF - Directorate for Geosciences (GEO))</t>
  </si>
  <si>
    <t>This research was supported by the National Science Foundation of China (Grant Nos. 41576190 and 41206188 to GS), the US National Science Foundation Antarctic Glaciology Program (Grant No. 1246223 to MGH), the Fundamental Research Funds for the Central Universities (to GS), and the National Key Research and Development Program of China (Grant No. 2016YFA0302204 to GS). The authors are grateful to Ruby Ho at Brown University and the 29th CHINARE inland members for technical support and assistance. The authors also would like to thank Prof. Jack J. Middelburg and two anonymous reviewers for their help in the development and improvement of this paper.</t>
  </si>
  <si>
    <t>10.1016/j.gca.2018.03.025</t>
  </si>
  <si>
    <t>GG5QH</t>
  </si>
  <si>
    <t>WOS:000432750300001</t>
  </si>
  <si>
    <t>Yang, T; Moresi, L; Zhao, DP; Sandiford, D; Whittaker, J</t>
  </si>
  <si>
    <t>Yang, Ting; Moresi, Louis; Zhao, Dapeng; Sandiford, Dan; Whittaker, Joanne</t>
  </si>
  <si>
    <t>Cenozoic lithospheric deformation in Northeast Asia and the rapidly-aging Pacific Plate</t>
  </si>
  <si>
    <t>Northeast Asia; Japan Sea; Baikal Rift Zone; stagnant slab; tectonics; subduction</t>
  </si>
  <si>
    <t>MANTLE TRANSITION-ZONE; ARC BASIN FORMATION; BAIKAL RIFT-ZONE; BACK-ARC; OVERRIDING PLATE; EAST-ASIA; INTRAPLATE VOLCANISM; TRENCH MIGRATION; STAGNANT SLAB; JAPAN SEA</t>
  </si>
  <si>
    <t>Northeast Asia underwent widespread rifting and magmatic events during the Cenozoic. The geodynamic origins of these tectonic events are often linked to Pacific plate subduction beneath Northeast Asia. However, the Japan Sea did not open until the late Oligocene, tens of millions of years after Pacific Plate subduction initiation in the Paleocene. Moreover, it is still not clear why the Baikal Rift Zone extension rate increased significantly after the late Miocene, while the Japan Sea opening ceased at the same time. Geodynamic models suggest these enigmatic events are related to the rapidly-aging Pacific Plate at the trench after Izanagi-Pacific spreading ridge subduction. Subduction of the young Pacific Plate delayed the Japan Sea opening during the Eocene while advection of the old Pacific Plate towards the trench increases seafloor age rapidly, allowing the Japan Sea to open after the early Miocene. The Japan Sea opening promotes fast trench retreat and slab stagnation, with subduction-induced wedge zone convection gradually increasing its extent during this process. The active rifting center associated with wedge zone convection upwelling also shifts inland-ward during slab stagnation, preventing further japan Sea spreading while promoting the Baikal Rift Zone extension. Our geodynamic model provides a good explanation for the temporal-spatial patterns of the Cenozoic tectonic and magmatic events in Northeast Asia. (C) 2018 Elsevier B.V. All rights reserved.</t>
  </si>
  <si>
    <t>[Yang, Ting; Moresi, Louis; Sandiford, Dan] Univ Melbourne, Sch Earth Sci, Melbourne, Vic 3000, Australia; [Zhao, Dapeng] Tohoku Univ, Dept Geophys, Sendai, Miyagi 9808578, Japan; [Whittaker, Joanne] Univ Tasmania, Inst Marine &amp; Antarctic Studies, Hobart, Tas 7001, Australia</t>
  </si>
  <si>
    <t>Melbourne Genomics Health Alliance; University of Melbourne; Tohoku University; University of Tasmania</t>
  </si>
  <si>
    <t>Yang, T (corresponding author), Univ Melbourne, Sch Earth Sci, Melbourne, Vic 3000, Australia.</t>
  </si>
  <si>
    <t>yang.t@unimelb.edu.au</t>
  </si>
  <si>
    <t>Moresi, Louis/H-1390-2011; Whittaker, Joanne/B-3695-2010; Yang, Ting/K-5026-2018</t>
  </si>
  <si>
    <t>Moresi, Louis/0000-0003-3685-174X; Sandiford, Dan/0000-0002-2207-6837; Whittaker, Joanne/0000-0002-3170-3935; Yang, Ting/0000-0003-2301-2525</t>
  </si>
  <si>
    <t>10.1016/j.epsl.2018.03.057</t>
  </si>
  <si>
    <t>GG5UU</t>
  </si>
  <si>
    <t>WOS:000432762000001</t>
  </si>
  <si>
    <t>Brook, EJ; Buizert, C</t>
  </si>
  <si>
    <t>Brook, Edward J.; Buizert, Christo</t>
  </si>
  <si>
    <t>Antarctic and global climate history viewed from ice cores</t>
  </si>
  <si>
    <t>ATMOSPHERIC CO2 CONCENTRATIONS; BIPOLAR SEE-SAW; SOUTHERN-OCEAN; GLACIAL CYCLES; CARBON-DIOXIDE; DOME-C; LAST DEGLACIATION; WEST ANTARCTICA; ISOTOPE RECORDS; MINERAL DUST</t>
  </si>
  <si>
    <t>A growing network of ice cores reveals the past 800,000 years of Antarctic climate and atmospheric composition. The data show tight links among greenhouse gases, aerosols and global climate on many timescales, demonstrate connections between Antarctica and distant locations, and reveal the extraordinary differences between the composition of our present atmosphere and its natural range of variability as revealed in the ice core record. Further coring in extremely challenging locations is now being planned, with the goal of finding older ice and resolving the mechanisms underlying the shift of glacial cycles from 40,000-year to 100,000-year cycles about a million years ago, one of the great mysteries of climate science.</t>
  </si>
  <si>
    <t>[Brook, Edward J.; Buizert, Christo] Oregon State Univ, Coll Earth Ocean &amp; Atmospher Sci, Corvallis, OR 97331 USA</t>
  </si>
  <si>
    <t>Oregon State University</t>
  </si>
  <si>
    <t>Brook, EJ (corresponding author), Oregon State Univ, Coll Earth Ocean &amp; Atmospher Sci, Corvallis, OR 97331 USA.</t>
  </si>
  <si>
    <t>brooke@geo.oregonstate.edu</t>
  </si>
  <si>
    <t>Brook, Edward/AAB-7807-2021</t>
  </si>
  <si>
    <t>US National Science Foundation; US Antarctic Program</t>
  </si>
  <si>
    <t>US National Science Foundation(National Science Foundation (NSF)); US Antarctic Program</t>
  </si>
  <si>
    <t>We thank J. Pedro for comments that improved the manuscript. The US National Science Foundation and US Antarctic Program have provided support for our research and acquisition of Antarctic ice cores that we have studied; we thank them, as well as numerous international agencies and colleagues who have contributed to ice core science.</t>
  </si>
  <si>
    <t>JUN 14</t>
  </si>
  <si>
    <t>10.1038/s41586-018-0172-5</t>
  </si>
  <si>
    <t>GJ2BI</t>
  </si>
  <si>
    <t>WOS:000435071400039</t>
  </si>
  <si>
    <t>Rintoul, SR</t>
  </si>
  <si>
    <t>Rintoul, Stephen R.</t>
  </si>
  <si>
    <t>The global influence of localized dynamics in the Southern Ocean</t>
  </si>
  <si>
    <t>ANTARCTIC CIRCUMPOLAR CURRENT; SEA-LEVEL RISE; OVERTURNING CIRCULATION; ANTHROPOGENIC CARBON; VORTICITY BALANCE; EDDY DIFFUSIVITY; MESOSCALE EDDIES; INTERNAL WAVES; BOTTOM WATER; HEAT UPTAKE</t>
  </si>
  <si>
    <t>The circulation of the Southern Ocean connects ocean basins, links the deep and shallow layers of the ocean, and has a strong influence on global ocean circulation, climate, biogeochemical cycles and the Antarctic Ice Sheet. Processes that act on local and regional scales, which are often mediated by the interaction of the flow with topography, are fundamental in shaping the large-scale, three-dimensional circulation of the Southern Ocean. Recent advances provide insight into the response of the Southern Ocean to future change and the implications for climate, the carbon cycle and sea-level rise.</t>
  </si>
  <si>
    <t>[Rintoul, Stephen R.] CSIRO Oceans &amp; Atmosphere, Antarctic Climate &amp; Ecosyst Cooperat Res Ctr, Ctr Southern Hemisphere Ocean Res, Hobart, Tas, Australia</t>
  </si>
  <si>
    <t>Antarctic Climate &amp; Ecosystems Cooperative Research Centre (ACE CRC); Commonwealth Scientific &amp; Industrial Research Organisation (CSIRO)</t>
  </si>
  <si>
    <t>Rintoul, SR (corresponding author), CSIRO Oceans &amp; Atmosphere, Antarctic Climate &amp; Ecosyst Cooperat Res Ctr, Ctr Southern Hemisphere Ocean Res, Hobart, Tas, Australia.</t>
  </si>
  <si>
    <t>steve.rintoul@csiro.au</t>
  </si>
  <si>
    <t>Rintoul, Stephen R/A-1471-2012</t>
  </si>
  <si>
    <t>Rintoul, Stephen R/0000-0002-7055-9876</t>
  </si>
  <si>
    <t>Australian Government Cooperative Research Centre (CRC) programme through the Antarctic Climate and Ecosystems CRC; National Environmental Science Program; Centre for Southern Hemisphere Oceans Research; CSIRO; Qingdao National Laboratory for Marine Science and Technology; Tinker-Muse Prize for Science and Policy in Antarctica</t>
  </si>
  <si>
    <t>Australian Government Cooperative Research Centre (CRC) programme through the Antarctic Climate and Ecosystems CRC(Australian GovernmentDepartment of Industry, Innovation and ScienceCooperative Research Centres (CRC) Programme); National Environmental Science Program; Centre for Southern Hemisphere Oceans Research(Commonwealth Scientific &amp; Industrial Research Organisation (CSIRO)); CSIRO(Commonwealth Scientific &amp; Industrial Research Organisation (CSIRO)); Qingdao National Laboratory for Marine Science and Technology; Tinker-Muse Prize for Science and Policy in Antarctica</t>
  </si>
  <si>
    <t>A. Silvano, A. Foppert, A. Lenton, M. Nikurashin and E. van Wijk provided comments on the paper. M. Bessel and G. Wells prepared the original version of Fig. 1b. This work is supported in part by the Australian Government Cooperative Research Centre (CRC) programme through the Antarctic Climate and Ecosystems CRC, by the National Environmental Science Program, by the Centre for Southern Hemisphere Oceans Research, a partnership between CSIRO and the Qingdao National Laboratory for Marine Science and Technology, and by the Tinker-Muse Prize for Science and Policy in Antarctica.</t>
  </si>
  <si>
    <t>10.1038/s41586-018-0182-3</t>
  </si>
  <si>
    <t>WOS:000435071400040</t>
  </si>
  <si>
    <t>Shepherd, A; Fricker, HA; Farrell, SL</t>
  </si>
  <si>
    <t>Shepherd, Andrew; Fricker, Helen Amanda; Farrell, Sinead Louise</t>
  </si>
  <si>
    <t>Trends and connections across the Antarctic cryosphere</t>
  </si>
  <si>
    <t>PINE ISLAND GLACIER; SEA-ICE EXTENT; SHEET MASS-BALANCE; WEST ANTARCTICA; SUBGLACIAL LAKES; THWAITES GLACIER; RADAR INTERFEROMETRY; EAST ANTARCTICA; LASER ALTIMETRY; SHELF COLLAPSE</t>
  </si>
  <si>
    <t>Satellite observations have transformed our understanding of the Antarctic cryosphere. The continent holds the vast majority of Earth's fresh water, and blankets swathes of the Southern Hemisphere in ice. Reductions in the thickness and extent of floating ice shelves have disturbed inland ice, triggering retreat, acceleration and draw-down of marine-terminating glaciers. The waxing and waning of Antarctic sea ice is one of Earth's greatest seasonal habitat changes, and although the maximum extent of the sea ice has increased modestly since the 1970s, inter-annual variability is high, and there is evidence of longer-term decline in its extent.</t>
  </si>
  <si>
    <t>[Shepherd, Andrew] Univ Leeds, Ctr Polar Observat &amp; Modelling, Leeds, W Yorkshire, England; [Fricker, Helen Amanda] Univ Calif San Diego, Scripps Inst Oceanog, La Jolla, CA 92093 USA; [Farrell, Sinead Louise] Univ Maryland, Earth Syst Sci Interdisciplinary Ctr, College Pk, MD 20742 USA</t>
  </si>
  <si>
    <t>University of California System; University of California San Diego; Scripps Institution of Oceanography; University System of Maryland; University of Maryland College Park</t>
  </si>
  <si>
    <t>Shepherd, A (corresponding author), Univ Leeds, Ctr Polar Observat &amp; Modelling, Leeds, W Yorkshire, England.</t>
  </si>
  <si>
    <t>a.shepherd@leeds.ac.uk</t>
  </si>
  <si>
    <t>Farrell, Sinead L/F-5586-2010</t>
  </si>
  <si>
    <t>Fricker, Helen Amanda/0000-0002-0921-1432</t>
  </si>
  <si>
    <t>UK Natural Environment Research Council's Centre for Polar Observation and Modelling [cpom300001]; European Space Agency's Climate Change Initiative; Royal Society Wolfson Research Merit award; NASA [80NSSC17K0006]; NOAA [NA14NES4320003]; NERC [NE/J005681/1, cpom30001] Funding Source: UKRI</t>
  </si>
  <si>
    <t>UK Natural Environment Research Council's Centre for Polar Observation and Modelling; European Space Agency's Climate Change Initiative; Royal Society Wolfson Research Merit award(Royal Society); NASA(National Aeronautics &amp; Space Administration (NASA)); NOAA(National Oceanic Atmospheric Admin (NOAA) - USA); NERC(UK Research &amp; Innovation (UKRI)Natural Environment Research Council (NERC))</t>
  </si>
  <si>
    <t>This work was supported by the UK Natural Environment Research Council's Centre for Polar Observation and Modelling (cpom300001) and the European Space Agency's Climate Change Initiative. AS was supported by a Royal Society Wolfson Research Merit award. SLF was supported under NASA grant 80NSSC17K0006 and NOAA grant NA14NES4320003. We thank T. Slater, A. Ridout, and L. Gilbert for their help in preparing Fig. 1 and Fig. 2, and K. Duncan for help in preparing Fig. 4.</t>
  </si>
  <si>
    <t>10.1038/s41586-018-0171-6</t>
  </si>
  <si>
    <t>WOS:000435071400042</t>
  </si>
  <si>
    <t>Shakun, JD; Corbett, LB; Bierman, PR; Underwood, K; Rizzo, DM; Zimmerman, SR; Caffee, MW; Naish, T; Golledge, NR; Hay, CC</t>
  </si>
  <si>
    <t>Shakun, Jeremy D.; Corbett, Lee B.; Bierman, Paul R.; Underwood, Kristen; Rizzo, Donna M.; Zimmerman, Susan R.; Caffee, Marc W.; Naish, Tim; Golledge, Nicholas R.; Hay, Carling C.</t>
  </si>
  <si>
    <t>Minimal East Antarctic Ice Sheet retreat onto land during the past eight million years</t>
  </si>
  <si>
    <t>COSMOGENIC NUCLIDES; GLACIAL SEDIMENTS; HALF-LIFE; BE-10; SURFACE; EVOLUTION; EROSION; CLIMATE; RADIONUCLIDES; MOUNTAINS</t>
  </si>
  <si>
    <t>The East Antarctic Ice Sheet (EAIS) is the largest potential contributor to sea-level rise. However, efforts to predict the future evolution of the EAIS are hindered by uncertainty in how it responded to past warm periods, for example, during the Pliocene epoch (5.3 to 2.6 million years ago), when atmospheric carbon dioxide concentrations were last higher than 400 parts per million. Geological evidence indicates that some marine-based portions of the EAIS and the West Antarctic Ice Sheet retreated during parts of the Pliocene(1,2), but it remains unclear whether ice grounded above sea level also experienced retreat. This uncertainty persists because global sea-level estimates for the Pliocene have large uncertainties and cannot be used to rule out substantial terrestrial ice loss(3), and also because direct geological evidence bearing on past ice retreat on land is lacking. Here we show that land-based sectors of the EAIS that drain into the Ross Sea have been stable throughout the past eight million years. We base this conclusion on the extremely low concentrations of cosmogenic Be-10 and Al-26 isotopes found in quartz sand extracted from a land-proximal marine sediment core. This sediment had been eroded from the continent, and its low levels of cosmogenic nuclides indicate that it experienced only minimal exposure to cosmic radiation, suggesting that the sediment source regions were covered in ice. These findings indicate that atmospheric warming during the past eight million years was insufficient to cause widespread or long-lasting meltback of the EAIS margin onto land. We suggest that variations in Antarctic ice volume in response to the range of global temperatures experienced over this period-up to 2-3 degrees Celsius above preindustrial temperatures(4), corresponding to future scenarios involving carbon dioxide concentrations of between 400 and 500 parts per million-were instead driven mostly by the retreat of marine ice margins, in agreement with the latest models(5,6).</t>
  </si>
  <si>
    <t>[Shakun, Jeremy D.; Hay, Carling C.] Boston Coll, Dept Earth &amp; Environm Sci, Chestnut Hill, MA 02167 USA; [Corbett, Lee B.; Bierman, Paul R.] Univ Vermont, Dept Geol, Burlington, VT USA; [Corbett, Lee B.; Bierman, Paul R.] Univ Vermont, Rubenstein Sch Environm &amp; Nat Resources, Burlington, VT USA; [Underwood, Kristen; Rizzo, Donna M.] Univ Vermont, Civil &amp; Environm Engn, Burlington, VT USA; [Zimmerman, Susan R.] Lawrence Livermore Natl Lab, Ctr Accelerator Mass Spectrometry, Livermore, CA USA; [Caffee, Marc W.] Purdue Univ, Dept Earth Atmospher &amp; Planetary Sci, W Lafayette, IN 47907 USA; [Caffee, Marc W.] Purdue Univ, Dept Phys &amp; Astron, W Lafayette, IN 47907 USA; [Naish, Tim; Golledge, Nicholas R.] Victoria Univ Wellington, Antarctic Res Ctr, Wellington, New Zealand</t>
  </si>
  <si>
    <t>Boston College; University of Vermont; University of Vermont; University of Vermont; United States Department of Energy (DOE); Lawrence Livermore National Laboratory; Purdue University System; Purdue University; Purdue University System; Purdue University; Victoria University Wellington</t>
  </si>
  <si>
    <t>Shakun, JD (corresponding author), Boston Coll, Dept Earth &amp; Environm Sci, Chestnut Hill, MA 02167 USA.</t>
  </si>
  <si>
    <t>jeremy.shakun@bc.edu</t>
  </si>
  <si>
    <t>Bierman, Paul/AAA-9466-2020; Zimmerman, Susan R.H./A-3351-2013</t>
  </si>
  <si>
    <t>Bierman, Paul/0000-0001-9627-4601; Naish, Tim/0000-0002-1185-9932; Zimmerman, Susan/0000-0002-1320-1878; Golledge, Nicholas/0000-0001-7676-8970</t>
  </si>
  <si>
    <t>National Science Foundation (NSF) [ARC-1023191]; Boston College start-up funds; Vermont Established Program to Stimulate Competitive Research (EPSCoR) [EPS-1101317]; NSF [OIA 1556770, EAR-1153689]; New Zealand Ministry of Business Innovation and Employment [C05X1001]; Lawrence Livermore National Laboratory project [LLNL-JRNL-735619]</t>
  </si>
  <si>
    <t>National Science Foundation (NSF)(National Science Foundation (NSF)); Boston College start-up funds; Vermont Established Program to Stimulate Competitive Research (EPSCoR); NSF(National Science Foundation (NSF)); New Zealand Ministry of Business Innovation and Employment(New Zealand Ministry of Business, Innovation and Employment (MBIE)); Lawrence Livermore National Laboratory project</t>
  </si>
  <si>
    <t>We thank the Antarctic Research Facility for AND-1B samples, and J. X. Mitrovica for his help in performing the glacial isostatic adjustment modelling. This research was supported by National Science Foundation (NSF) grant ARC-1023191 (to P.R.B. and L.B.C.); Boston College start-up funds (to J.D.S.); Vermont Established Program to Stimulate Competitive Research (EPSCoR) grants EPS-1101317 and NSF OIA 1556770 (to K.U. and D.M.R.); NSF grant EAR-1153689 (to M.W.C.); and the New Zealand Ministry of Business Innovation and Employment contract C05X1001 (to T.N. and N.R.G.). This is Lawrence Livermore National Laboratory project LLNL-JRNL-735619.</t>
  </si>
  <si>
    <t>10.1038/s41586-018-0155-6</t>
  </si>
  <si>
    <t>WOS:000435071400052</t>
  </si>
  <si>
    <t>Isla, E; Pérez-Albaladejo, E; Porte, C</t>
  </si>
  <si>
    <t>Isla, Enrique; Perez-Albaladejo, Elisabet; Porte, Cinta</t>
  </si>
  <si>
    <t>Toxic anthropogenic signature in Antarctic continental shelf and deep sea sediments</t>
  </si>
  <si>
    <t>POLYCYCLIC AROMATIC-HYDROCARBONS; PERSISTENT ORGANIC POLLUTANTS; ENVIRONMENTAL-QUALITY; FATE; CHEMICALS; FISH; BRANSFIELD; EMISSIONS; TRANSPORT; IMPACTS</t>
  </si>
  <si>
    <t>Industrial activity generates harmful substances which can travel via aerial or water currents thousands of kilometers away from the place they were used impacting the local biota where they deposit. The presence of harmful anthropogenic substances in the Antarctic is particularly surprising and striking due to its remoteness and the apparent geophysical isolation developed with the flows of the Antarctic Circumpolar current and the ring of westerly winds surrounding the continent. However, long-range atmospheric transport (LRAT) of pollutants has been detected in the Antarctic since the 70's along the Antarctic trophic food web from phytoplankton to birds. Still, no information exists on the presence of cytotoxic compounds in marine sediments neither at basin scales (thousands of kilometers) nor in water depths (hundreds of meters) beyond shallow coastal areas near research stations. Our results showed for the first time that there is cytotoxic activity in marine sediment extracts from water depths &gt;1000 m and along thousands of kilometers of Antarctic continental shelf, in some cases comparable to that observed in Mediterranean areas. Ongoing anthropogenic pressure appears as a serious threat to the sessile benthic communities, which have evolved in near isolation for millions of years in these environments.</t>
  </si>
  <si>
    <t>[Isla, Enrique] CSIC, Inst Ciencies Mar, Passeig Maritim Barceloneta,37-49, E-08003 Barcelona, Spain; [Perez-Albaladejo, Elisabet; Porte, Cinta] CSIC, Inst Diagnosi Ambiental &amp; Estudis Aigua, Jordi Girona 18-26, ES-08034 Barcelona, Spain</t>
  </si>
  <si>
    <t>Consejo Superior de Investigaciones Cientificas (CSIC); CSIC - Centro Mediterraneo de Investigaciones Marinas y Ambientales (CMIMA); CSIC - Instituto de Ciencias del Mar (ICM); Consejo Superior de Investigaciones Cientificas (CSIC)</t>
  </si>
  <si>
    <t>Isla, E (corresponding author), CSIC, Inst Ciencies Mar, Passeig Maritim Barceloneta,37-49, E-08003 Barcelona, Spain.</t>
  </si>
  <si>
    <t>isla@icm.csic.es</t>
  </si>
  <si>
    <t>Pérez-Albaladejo, Elisabet/I-8427-2016; Perez-Albaladejo, Elisabet/T-3872-2017; Porte, Cinta/L-3191-2014</t>
  </si>
  <si>
    <t>Perez-Albaladejo, Elisabet/0000-0002-1319-9552; Isla, Enrique/0000-0003-4959-6936; Porte, Cinta/0000-0002-3940-6409</t>
  </si>
  <si>
    <t>Spanish Ministry of Economy and Competitiveness [POL2006-06399/CGL, CTM2012-39350-C02-01]</t>
  </si>
  <si>
    <t>Spanish Ministry of Economy and Competitiveness(Spanish Government)</t>
  </si>
  <si>
    <t>The authors are thankful to the captain and crew of the three R/V Polarstern expeditions involved in the study. This study was funded by the Spanish Ministry of Economy and Competitiveness through the projects CLIMANT (POL2006-06399/CGL) and ECOWED (CTM2012-39350-C02-01). Thanks are due to Dr. J. Grinyo for bridging efforts and Dr. A. Purroy for helping with the figures.</t>
  </si>
  <si>
    <t>10.1038/s41598-018-27375-4</t>
  </si>
  <si>
    <t>GJ4GI</t>
  </si>
  <si>
    <t>WOS:000435338100069</t>
  </si>
  <si>
    <t>Reform the Antarctic Treaty</t>
  </si>
  <si>
    <t>10.1038/d41586-018-05368-7</t>
  </si>
  <si>
    <t>WOS:000435071400011</t>
  </si>
  <si>
    <t>Brooks, CM; Ainley, DG; Abrams, PA; Dayton, PK; Hofman, RJ; Jacquet, J; Siniff, DB</t>
  </si>
  <si>
    <t>Brooks, Cassandra M.; Ainley, David G.; Abrams, Peter A.; Dayton, Paul K.; Hofman, Robert J.; Jacquet, Jennifer; Siniff, Donald B.</t>
  </si>
  <si>
    <t>Watch over Antarctic waters</t>
  </si>
  <si>
    <t>SOUTHERN-OCEAN</t>
  </si>
  <si>
    <t>[Brooks, Cassandra M.] Univ Colorado, Environm Studies Program, Boulder, CO 80309 USA</t>
  </si>
  <si>
    <t>University of Colorado System; University of Colorado Boulder</t>
  </si>
  <si>
    <t>Brooks, CM (corresponding author), Univ Colorado, Environm Studies Program, Boulder, CO 80309 USA.</t>
  </si>
  <si>
    <t>cassandra.brooks@colorado.edu</t>
  </si>
  <si>
    <t>Abrams, Peter A/A-5240-2008</t>
  </si>
  <si>
    <t>Brooks, Cassandra/0000-0002-1397-0394</t>
  </si>
  <si>
    <t>10.1038/d41586-018-05372-x</t>
  </si>
  <si>
    <t>WOS:000435071400021</t>
  </si>
  <si>
    <t>Shepherd, A; Ivins, E; Rignot, E; Smith, B; van den Broeke, M; Velicogna, I; Whitehouse, P; Briggs, K; Joughin, I; Krinner, G; Nowicki, S; Payne, T; Scambos, T; Schlegel, N; Geruo, A; Agosta, C; Ahlstrom, A; Babonis, G; Barletta, V; Blazquez, A; Bonin, J; Csatho, B; Cullather, R; Felikson, D; Fettweis, X; Forsberg, R; Gallee, H; Gardner, A; Gilbert, L; Groh, A; Gunter, B; Hanna, E; Harig, C; Helm, V; Horvath, A; Horwath, M; Khan, S; Kjeldsen, KK; Konrad, H; Langen, P; Lecavalier, B; Loomis, B; Luthcke, S; McMillan, M; Melini, D; Mernild, S; Mohajerani, Y; Moore, P; Mouginot, J; Moyano, G; Muir, A; Nagler, T; Nield, G; Nilsson, J; Noel, B; Otosaka, I; Pattle, ME; Peltier, WR; Pie, N; Rietbroek, R; Rott, H; Sandberg-Sorensen, L; Sasgen, I; Save, H; Scheuchl, B; Schrama, E; Schröder, L; Seo, KW; Simonsen, S; Slater, T; Spada, G; Sutterley, T; Talpe, M; Tarasov, L; van de Berg, WJ; van der Wal, W; van Wessem, M; Vishwakarma, BD; Wiese, D; Wouters, B</t>
  </si>
  <si>
    <t>Shepherd, Andrew; Ivins, Erik; Rignot, Eric; Smith, Ben; van den Broeke, Michiel; Velicogna, Isabella; Whitehouse, Pippa; Briggs, Kate; Joughin, Ian; Krinner, Gerhard; Nowicki, Sophie; Payne, Tony; Scambos, Ted; Schlegel, Nicole; Geruo, A.; Agosta, Cecile; Ahlstrom, Andreas; Babonis, Greg; Barletta, Valentina; Blazquez, Alejandro; Bonin, Jennifer; Csatho, Beata; Cullather, Richard; Felikson, Denis; Fettweis, Xavier; Forsberg, Rene; Gallee, Hubert; Gardner, Alex; Gilbert, Lin; Groh, Andreas; Gunter, Brian; Hanna, Edward; Harig, Christopher; Helm, Veit; Horvath, Alexander; Horwath, Martin; Khan, Shfaqat; Kjeldsen, Kristian K.; Konrad, Hannes; Langen, Peter; Lecavalier, Benoit; Loomis, Bryant; Luthcke, Scott; McMillan, Malcolm; Melini, Daniele; Mernild, Sebastian; Mohajerani, Yara; Moore, Philip; Mouginot, Jeremie; Moyano, Gorka; Muir, Alan; Nagler, Thomas; Nield, Grace; Nilsson, Johan; Noel, Brice; Otosaka, Ines; Pattle, Mark E.; Peltier, W. Richard; Pie, Nadege; Rietbroek, Roelof; Rott, Helmut; Sandberg-Sorensen, Louise; Sasgen, Ingo; Save, Himanshu; Scheuchl, Bernd; Schrama, Ernst; Schroeder, Ludwig; Seo, Ki-Weon; Simonsen, Sebastian; Slater, Tom; Spada, Giorgio; Sutterley, Tyler; Talpe, Matthieu; Tarasov, Lev; van de Berg, Willem Jan; van der Wal, Wouter; van Wessem, Melchior; Vishwakarma, Bramha Dutt; Wiese, David; Wouters, Bert</t>
  </si>
  <si>
    <t>IMBIE Team</t>
  </si>
  <si>
    <t>Mass balance of the Antarctic Ice Sheet from 1992 to 2017</t>
  </si>
  <si>
    <t>GLACIAL-ISOSTATIC-ADJUSTMENT; SUBGLACIAL LAKE VOSTOK; AMUNDSEN SEA EMBAYMENT; ELEVATION CHANGE; WEST ANTARCTICA; EAST ANTARCTICA; EXCEED LOSSES; PINE ISLAND; BASIN-SCALE; MAUD-LAND</t>
  </si>
  <si>
    <t>The Antarctic Ice Sheet is an important indicator of climate change and driver of sea-level rise. Here we combine satellite observations of its changing volume, flow and gravitational attraction with modelling of its surface mass balance to show that it lost 2,720 +/- 1,390 billion tonnes of ice between 1992 and 2017, which corresponds to an increase in mean sea level of 7.6 +/- 3.9 millimetres (errors are one standard deviation). Over this period, ocean-driven melting has caused rates of ice loss from West Antarctica to increase from 53 +/- 29 billion to 159 +/- 26 billion tonnes per year; ice-shelf collapse has increased the rate of ice loss from the Antarctic Peninsula from 7 +/- 13 billion to 33 +/- 16 billion tonnes per year. We find large variations in and among model estimates of surface mass balance and glacial isostatic adjustment for East Antarctica, with its average rate of mass gain over the period 1992-2017 (5 +/- 46 billion tonnes per year) being the least certain.</t>
  </si>
  <si>
    <t>[Shepherd, Andrew; Briggs, Kate; Konrad, Hannes; McMillan, Malcolm; Otosaka, Ines; Slater, Tom] Univ Leeds, Ctr Polar Observat &amp; Modelling, Leeds, W Yorkshire, England; [Ivins, Erik; Schlegel, Nicole; Gardner, Alex; Nilsson, Johan; Wiese, David] NASA, Jet Prop Lab, Pasadena, CA USA; [Rignot, Eric; Velicogna, Isabella; Geruo, A.; Mohajerani, Yara; Mouginot, Jeremie; Scheuchl, Bernd; Sutterley, Tyler] Univ Calif Irvine, Dept Earth Syst Sci, Irvine, CA USA; [Smith, Ben; Joughin, Ian] Univ Washington, Dept Earth &amp; Space Sci, Seattle, WA 98195 USA; [van den Broeke, Michiel; Noel, Brice; van de Berg, Willem Jan; van Wessem, Melchior; Wouters, Bert] Univ Utrecht, Inst Marine &amp; Atmospher Res, Utrecht, Netherlands; [Whitehouse, Pippa; Nield, Grace] Univ Durham, Dept Geog, Durham, England; [Krinner, Gerhard; Gallee, Hubert; Mouginot, Jeremie] Univ Grenoble Alpes, Inst Environm Geosci, Grenoble, France; [Nowicki, Sophie; Loomis, Bryant; Luthcke, Scott] NASA, Goddard Space Flight Ctr, Cryospher Sci Lab, Greenbelt, MD USA; [Payne, Tony] Univ Bristol, Sch Geog Sci, Bristol, Avon, England; [Scambos, Ted] Univ Colorado, Natl Snow &amp; Ice Data Ctr, Boulder, CO 80309 USA; [Agosta, Cecile; Fettweis, Xavier] Univ Liege, Dept Geog, Liege, Belgium; [Ahlstrom, Andreas; Kjeldsen, Kristian K.] Geol Survey Denmark &amp; Greenland, Copenhagen, Denmark; [Babonis, Greg; Csatho, Beata] SUNY Buffalo, Dept Geol, Buffalo, NY USA; [Barletta, Valentina; Forsberg, Rene; Khan, Shfaqat; Sandberg-Sorensen, Louise; Simonsen, Sebastian] Tech Univ Denmark, Natl Space Inst, DTU Space, Lyngby, Denmark; [Blazquez, Alejandro] Spatial Geophys &amp; Oceanog Studies Lab, Toulouse, France; [Bonin, Jennifer] Univ S Florida, Coll Marine Sci, Tampa, FL USA; [Cullather, Richard] NASA, Goddard Space Flight Ctr, Earth Syst Sci Interdisciplinary Ctr, Greenbelt, MD USA; [Felikson, Denis; Pie, Nadege; Save, Himanshu] Univ Texas Austin, Ctr Space Res, Austin, TX 78712 USA; [Gilbert, Lin; Muir, Alan] UCL, Mullard Space Sci Lab, Holmbury St Mary, London, England; [Groh, Andreas; Horwath, Martin; Schroeder, Ludwig] Tech Univ Dresden, Inst Planetary Geodesy, Dresden, Germany; [Gunter, Brian] Georgia Inst Technol, Daniel Guggenheim Sch Aerosp Engn, Atlanta, GA 30332 USA; [Hanna, Edward] Univ Lincoln, Sch Geog, Lincoln, England; [Harig, Christopher] Univ Arizona, Dept Geosci, Tucson, AZ 85721 USA; [Helm, Veit; Sasgen, Ingo] Alfred Wegener Inst, Helmholtz Ctr Polar &amp; Marine Res, Bremerhaven, Germany; [Horvath, Alexander] Tech Univ Munich, Inst Astron &amp; Phys Geodesy, Munich, Germany; [Kjeldsen, Kristian K.] Nat Hist Museum Denmark, Ctr GeoGenet, Copenhagen, Denmark; [Langen, Peter] Danish Meteorol Inst, Copenhagen, Denmark; [Lecavalier, Benoit; Tarasov, Lev] Mem Univ Newfoundland, Dept Phys &amp; Phys Oceanog, St John, NF, Canada; [Melini, Daniele] Natl Inst Geophys &amp; Volcanol, Sect Seismol &amp; Tectonophys, Rome, Italy; [Mernild, Sebastian] Nansen Environm &amp; Remote Sensing Ctr, Bergen, Norway; [Mernild, Sebastian] Western Norway Univ Appl Sci, Fac Engn Sci, Sogndal, Norway; [Mernild, Sebastian] Univ Magallanes, Direct Antarctic &amp; Subantarctic Programs, Punta Arenas, Chile; [Moore, Philip] Newcastle Univ, Sch Civil Engn &amp; Geosci, Newcastle Upon Tyne, Tyne &amp; Wear, England; [Moyano, Gorka; Pattle, Mark E.] isardSAT, Barcelona, Spain; [Nagler, Thomas; Rott, Helmut] ENVEO, Innsbruck, Austria; [Peltier, W. Richard] Univ Toronto, Dept Phys, Toronto, ON, Canada; [Rietbroek, Roelof] Univ Bonn, Inst Geodesy &amp; Geoinformat, Bonn, Germany; [Schrama, Ernst; van der Wal, Wouter] Delft Univ Technol, Dept Space Engn, Delft, Netherlands; [Seo, Ki-Weon] Seoul Natl Univ, Dept Earth Sci Educ, Seoul, South Korea; [Spada, Giorgio] Univ Urbino Carlo Bo, Inst Phys, Urbino, Italy; [Talpe, Matthieu] Univ Colorado, Aerosp Engn Sci, Ctr Astrodynam Res, Boulder, CO 80309 USA; [Vishwakarma, Bramha Dutt] Univ Stuttgart, Geodet Inst, Stuttgart, Germany</t>
  </si>
  <si>
    <t>National Aeronautics &amp; Space Administration (NASA); NASA Jet Propulsion Laboratory (JPL); University of California System; University of California Irvine; University of Washington; University of Washington Seattle; Utrecht University; Durham University; Communaute Universite Grenoble Alpes; Universite Grenoble Alpes (UGA); National Aeronautics &amp; Space Administration (NASA); NASA Goddard Space Flight Center; University of Bristol; University of Colorado System; University of Colorado Boulder; University of Liege; Geological Survey Of Denmark &amp; Greenland; State University of New York (SUNY) System; State University of New York (SUNY) Buffalo; Technical University of Denmark; State University System of Florida; University of South Florida; National Aeronautics &amp; Space Administration (NASA); NASA Goddard Space Flight Center; University of Texas System; University of Texas Austin; University of London; University College London; Technische Universitat Dresden; University System of Georgia; Georgia Institute of Technology; University of Lincoln; University of Arizona; Helmholtz Association; Alfred Wegener Institute, Helmholtz Centre for Polar &amp; Marine Research; Technical University of Munich; Danish Meteorological Institute DMI; Memorial University Newfoundland; Istituto Nazionale Geofisica e Vulcanologia (INGV); Nansen Environmental &amp; Remote Sensing Center (NERSC); Western Norway University of Applied Sciences; Universidad de Magallanes; Newcastle University - UK; University of Toronto; University of Bonn; Delft University of Technology; Seoul National University (SNU); University of Urbino; University of Colorado System; University of Colorado Boulder; University of Stuttgart</t>
  </si>
  <si>
    <t>Csatho, Beata/KGK-9301-2024; Joughin, Ian/AAR-7778-2021; Wouters, Bert/AAA-4254-2019; Ivins, Erik R/C-2416-2011; Horwath, Martin/ABH-4320-2020; A, Geruo/AAP-3565-2020; Krinner, Gerhard/AAB-8837-2022; Melini, Daniele/ABB-2386-2020; Barletta, Valentina R./E-9128-2012; Rietbroek, Roelof/AAE-8820-2020; Nilsson, Johan/F-1888-2019; Loomis, Bryant/AIC-7436-2022; McMillan, Malcolm/HLQ-1163-2023; Seo, Ki-weon/AAH-7729-2021; Hanna, Edward/W-5927-2019; Simonsen, Sebastian Bjerregaard/F-4791-2013; Krinner, Gerhard/A-6450-2011; Mouginot, Jeremie/G-7045-2015; Joughin, Ian R/A-2998-2008; Peltier, William R./A-1102-2008; Wouters, Bert/A-5301-2017; Agosta, Cécile/HLQ-5577-2023; Gunter, Brian C/C-7841-2014; Khan, Shfaqat Abbas/AAP-6627-2021; Rignot, Eric/A-4560-2014; Kjeldsen, Kristian Kjellerup/A-9592-2013; Sutterley, Tyler/Q-8325-2016; Felikson, Denis/M-2397-2016; Ahlstrøm, Andreas Peter/E-5257-2014; Agosta, Cécile/B-9625-2013; Van den Broeke, Michiel R./F-7867-2011; Langen, Peter L/AAR-1120-2021; Konrad, Hannes/H-7647-2013; van de Berg, Willem Jan/H-4385-2011; Velicogna, Isabella/R-5561-2018; Blazquez, Alejandro/ABG-8446-2020; Scambos, Ted A/B-1856-2009; Sorensen, Louise Sandberg/E-5282-2014; payne, antony/A-8916-2008; Konrad, Hannes/A-1813-2016; Mernild, Sebastian H./M-5516-2013; Nield, Grace/I-8366-2012; Harig, Christopher/B-4714-2009</t>
  </si>
  <si>
    <t>Joughin, Ian/0000-0001-6229-679X; Wouters, Bert/0000-0002-1086-2435; A, Geruo/0000-0001-5714-402X; Krinner, Gerhard/0000-0002-2959-5920; Rietbroek, Roelof/0000-0001-5276-5943; Seo, Ki-weon/0000-0001-5523-4996; Hanna, Edward/0000-0002-8683-182X; Simonsen, Sebastian Bjerregaard/0000-0001-9569-1294; Mouginot, Jeremie/0000-0001-9155-5455; Joughin, Ian R/0000-0001-6229-679X; Khan, Shfaqat Abbas/0000-0002-2689-8563; Rignot, Eric/0000-0002-3366-0481; Sutterley, Tyler/0000-0002-6964-1194; Felikson, Denis/0000-0002-3785-5112; Ahlstrøm, Andreas Peter/0000-0001-8235-8070; Agosta, Cécile/0000-0003-4091-1653; Van den Broeke, Michiel R./0000-0003-4662-7565; Langen, Peter L/0000-0003-2185-012X; van de Berg, Willem Jan/0000-0002-8232-2040; Blazquez, Alejandro/0000-0002-7719-7468; Pattle, Mark/0009-0009-9532-828X; SCHRAMA, ERNST/0000-0002-9654-4082; Sorensen, Louise Sandberg/0000-0002-3771-4061; payne, antony/0000-0001-8825-8425; Konrad, Hannes/0000-0002-5058-8637; Slater, Thomas/0000-0003-2541-7788; van der Wal, Wouter/0000-0001-8030-9080; Mernild, Sebastian H./0000-0003-0797-3975; Barletta, Valentina Roberta/0000-0003-4427-0830; Nield, Grace/0000-0002-3897-7904; Mohajerani, Yara/0000-0002-4292-2367; Helm, Veit/0000-0001-7788-9328; Horvath, Alexander/0000-0002-9549-4845; Whitehouse, Pippa/0000-0002-9092-3444; Scheuchl, Bernd/0000-0001-5947-7709; Nilsson, Johan/0000-0002-1496-122X; Fettweis, Xavier/0000-0002-4140-3813; Gardner, Alex/0000-0002-8394-8889; McMillan, Malcolm/0000-0002-5113-0177; Groh, Andreas/0000-0003-0106-5802; van Wessem, Melchior/0000-0003-3221-791X; Schlegel, Nicole-Jeanne/0000-0001-8035-448X; Gunter, Brian/0000-0002-4743-6173; SCAMBOS, Ted A./0000-0003-4268-6322; Vishwakarma, Bramha Dutt/0000-0003-4787-8470; Loomis, Bryant/0000-0002-9370-9160; Otosaka, Ines Natsuki/0000-0001-9740-3735; Muir, Alan/0000-0001-7754-088X; Harig, Christopher/0000-0001-7944-0591; Forsberg, Rene/0000-0002-7288-9545; Melini, Daniele/0000-0002-5383-2375</t>
  </si>
  <si>
    <t>Royal Society Wolfson Research Merit Award; ESA Climate Change Initiative; NERC [NE/F01466X/1, NE/K009958/1, NE/J005681/1, NE/I027681/1, cpom30001] Funding Source: UKRI; Natural Environment Research Council [NE/K009958/1] Funding Source: researchfish</t>
  </si>
  <si>
    <t>Royal Society Wolfson Research Merit Award(Royal Society); ESA Climate Change Initiative; NERC(UK Research &amp; Innovation (UKRI)Natural Environment Research Council (NERC)); Natural Environment Research Council(UK Research &amp; Innovation (UKRI)Natural Environment Research Council (NERC))</t>
  </si>
  <si>
    <t>This work is an outcome of the ESA-NASA Ice Sheet Mass Balance Inter-comparison Exercise. A.S. was additionally supported by a Royal Society Wolfson Research Merit Award and by the ESA Climate Change Initiative.</t>
  </si>
  <si>
    <t>10.1038/s41586-018-0179-y</t>
  </si>
  <si>
    <t>Green Accepted, Green Submitted, Green Published</t>
  </si>
  <si>
    <t>WOS:000435071400041</t>
  </si>
  <si>
    <t>Rintoul, SR; Chown, SL; DeConto, RM; England, MH; Fricker, HA; Masson-Delmotte, V; Naish, TR; Siegert, MJ; Xavier, JC</t>
  </si>
  <si>
    <t>Rintoul, S. R.; Chown, S. L.; DeConto, R. M.; England, M. H.; Fricker, H. A.; Masson-Delmotte, V.; Naish, T. R.; Siegert, M. J.; Xavier, J. C.</t>
  </si>
  <si>
    <t>Choosing the future of Antarctica</t>
  </si>
  <si>
    <t>SEA-LEVEL RISE; SOUTHERN-OCEAN; CLIMATE-CHANGE; ICE-SHEET; WEST ANTARCTICA; PENGUIN POPULATIONS; THWAITES GLACIER; GROUNDING LINE; PINE ISLAND; ROSS SEA</t>
  </si>
  <si>
    <t>We present two narratives on the future of Antarctica and the Southern Ocean, from the perspective of an observer looking back from 2070. In the first scenario, greenhouse gas emissions remained unchecked, the climate continued to warm, and the policy response was ineffective; this had large ramifications in Antarctica and the Southern Ocean, with worldwide impacts. In the second scenario, ambitious action was taken to limit greenhouse gas emissions and to establish policies that reduced anthropogenic pressure on the environment, slowing the rate of change in Antarctica. Choices made in the next decade will determine what trajectory is realized.</t>
  </si>
  <si>
    <t>[Rintoul, S. R.] CSIRO Oceans &amp; Atmosphere, Hobart, Tas, Australia; [Rintoul, S. R.] Antarctic Climate &amp; Ecosyst Cooperat Res Ctr, Hobart, Tas, Australia; [Rintoul, S. R.] Ctr Southern Hemisphere Oceans Res, Hobart, Tas, Australia; [Chown, S. L.] Monash Univ, Sch Biol Sci, Clayton, Vic, Australia; [DeConto, R. M.] Univ Massachusetts, Amherst, MA 01003 USA; [England, M. H.] Univ New South Wales, ARC Ctr Excellence Climate Syst Sci, Sydney, NSW, Australia; [Fricker, H. A.] Scripps Inst Oceanog, La Jolla, CA USA; [Masson-Delmotte, V.] Univ Paris Saclay, CEA CNRS UVSQ, IPSL, LSCE, Paris, France; [Naish, T. R.] Victoria Univ Wellington, Wellington, New Zealand; [Siegert, M. J.] Imperial Coll London, Grantham Inst, London, England; [Siegert, M. J.] Imperial Coll London, Dept Earth Sci &amp; Engn, London, England; [Xavier, J. C.] Univ Coimbra, Dept Life Sci, Marine &amp; Environm Sci Ctr MARE, Coimbra, Portugal; [Xavier, J. C.] British Antarctic Survey, Nat Environm Res Council, Cambridge, England</t>
  </si>
  <si>
    <t>Commonwealth Scientific &amp; Industrial Research Organisation (CSIRO); Antarctic Climate &amp; Ecosystems Cooperative Research Centre (ACE CRC); Monash University; University of Massachusetts System; University of Massachusetts Amherst; ARC Centre of Excellence for Climate System Science; University of New South Wales Sydney; University of California System; University of California San Diego; Scripps Institution of Oceanography; Universite Paris Cite; CEA; Centre National de la Recherche Scientifique (CNRS); Universite Paris Saclay; Victoria University Wellington; Imperial College London; Imperial College London; Universidade de Coimbra; UK Research &amp; Innovation (UKRI); Natural Environment Research Council (NERC); NERC British Antarctic Survey</t>
  </si>
  <si>
    <t>Rintoul, SR (corresponding author), CSIRO Oceans &amp; Atmosphere, Hobart, Tas, Australia.;Rintoul, SR (corresponding author), Antarctic Climate &amp; Ecosyst Cooperat Res Ctr, Hobart, Tas, Australia.;Rintoul, SR (corresponding author), Ctr Southern Hemisphere Oceans Res, Hobart, Tas, Australia.</t>
  </si>
  <si>
    <t>Steve.Rintoul@csiro.au</t>
  </si>
  <si>
    <t>Siegert, Martin/M-9939-2019; Siegert, Martin J/A-3826-2008; Masson-Delmotte, Valerie L/G-1995-2011; Chown, Steven/ABD-7646-2021; England, Matthew/A-7539-2011; Xavier, José/KFB-6739-2024; Rintoul, Stephen R/A-1471-2012</t>
  </si>
  <si>
    <t>Siegert, Martin/0000-0002-0090-4806; Siegert, Martin J/0000-0002-0090-4806; Masson-Delmotte, Valerie L/0000-0001-8296-381X; England, Matthew/0000-0001-9696-2930; Rintoul, Stephen R/0000-0002-7055-9876; /0000-0002-9621-6660; Fricker, Helen Amanda/0000-0002-0921-1432; Naish, Tim/0000-0002-1185-9932</t>
  </si>
  <si>
    <t>Australian Government Cooperative Research Centre (CRC) programme through the Antarctic Climate and Ecosystems CRC; National Environmental Science Program; Centre for Southern Hemisphere Oceans Research; Australian Antarctic Science Program; Australian Research Council; Institut Paul Emile Victor; Agence Nationale de la Recherche (ASUMA project) [ANR-14-CE01-0001]; New Zealand Antarctic Research Institute grant; Royal Society of New Zealand James Cook Fellowship; Grantham Foundation for the Protection of the Environment; UK Natural Environment Research Council; British Council; Foundation for Science and Technology Investigator programme [IF/00616/2013]; MARE strategic programme [MARE-UID/MAR/04292/2013]; NSF [ICER 1664013]; NASA's Sea Level Rise Program; NERC [bas010011] Funding Source: UKRI</t>
  </si>
  <si>
    <t>Australian Government Cooperative Research Centre (CRC) programme through the Antarctic Climate and Ecosystems CRC(Australian GovernmentDepartment of Industry, Innovation and ScienceCooperative Research Centres (CRC) Programme); National Environmental Science Program; Centre for Southern Hemisphere Oceans Research(Commonwealth Scientific &amp; Industrial Research Organisation (CSIRO)); Australian Antarctic Science Program; Australian Research Council(Australian Research Council); Institut Paul Emile Victor; Agence Nationale de la Recherche (ASUMA project)(Agence Nationale de la Recherche (ANR)); New Zealand Antarctic Research Institute grant; Royal Society of New Zealand James Cook Fellowship(Royal Society of New Zealand); Grantham Foundation for the Protection of the Environment; UK Natural Environment Research Council(UK Research &amp; Innovation (UKRI)Natural Environment Research Council (NERC)); British Council(The British Council in India); Foundation for Science and Technology Investigator programme; MARE strategic programme; NSF(National Science Foundation (NSF)); NASA's Sea Level Rise Program; NERC(UK Research &amp; Innovation (UKRI)Natural Environment Research Council (NERC))</t>
  </si>
  <si>
    <t>This work arose from a panel of Muse Fellows organised as part of a 'horizon scan' by the Scientific Committee on Antarctic Research. We acknowledge the contribution of C. Kennicutt, who conceived and led the horizon scan. We also acknowledge the Tinker Foundation for their support of the Tinker-Muse Prize for Science and Policy in Antarctica. J. Matthews and L. Bell drafted the figures. S.R.R. was supported by the Australian Government Cooperative Research Centre (CRC) programme through the Antarctic Climate and Ecosystems CRC, the National Environmental Science Program, and the Centre for Southern Hemisphere Oceans Research (a partnership between CSIRO and the Qingdao National Laboratory for Marine Research). S.L.C. was supported by the Australian Antarctic Science Program. M.H.E. was supported by the Australian Research Council. V.M.D. acknowledges support from Institut Paul Emile Victor and Agence Nationale de la Recherche (ASUMA project number ANR-14-CE01-0001). T.R.N. was supported by a New Zealand Antarctic Research Institute grant and a Royal Society of New Zealand James Cook Fellowship. M.J.S. acknowledges support from the Grantham Foundation for the Protection of the Environment, the UK Natural Environment Research Council and the British Council. J.C.X. was supported by the Foundation for Science and Technology Investigator programme (IF/00616/2013) and the MARE strategic programme (MARE-UID/MAR/04292/2013). R.M.D. was supported by the NSF under award ICER 1664013, and NASA's Sea Level Rise Program.</t>
  </si>
  <si>
    <t>10.1038/s41586-018-0173-4</t>
  </si>
  <si>
    <t>WOS:000435071400043</t>
  </si>
  <si>
    <t>van As, D; Hasholt, B; Ahlstrom, AP; Box, JE; Cappelen, J; Colgan, W; Fausto, RS; Mernild, SH; Mikkelsen, AB; Noël, BPY; Petersen, D; van den Broeke, MR</t>
  </si>
  <si>
    <t>van As, Dirk; Hasholt, Bent; Ahlstrom, Andreas P.; Box, Jason E.; Cappelen, John; Colgan, William; Fausto, Robert S.; Mernild, Sebastian H.; Mikkelsen, Andreas Bech; Noel, Brice P. Y.; Petersen, Dorthe; van den Broeke, Michiel R.</t>
  </si>
  <si>
    <t>Reconstructing Greenland Ice Sheet meltwater discharge through the Watson River (1949-2017)</t>
  </si>
  <si>
    <t>Greenland Ice Sheet; melt; climate change; measurements; model validation; Kangerlussuaq</t>
  </si>
  <si>
    <t>SURFACE MELT; RUNOFF; DRAINAGE; KANGERLUSSUAQ; CIRCULATION; SEDIMENT; STORAGE; BENEATH; TRENDS</t>
  </si>
  <si>
    <t>Ice-sheet melting is the primary water source for the proglacial Watson River in southern west Greenland. Discharge from the large, approximately 12,000 km(2) ice-sheet catchment draining through the Watson River has been monitored since 2006. While this record is of respectable length for a Greenland monitoring effort, it is too short to resolve climate signals. Therefore, we use observed Tasersiaq lake discharge and Kangerlussuaq air temperature to reconstruct annual Watson River discharge back to 1949. The resulting sixty-five-year record shows that average ice-sheet runoff since 2003 has roughly increased by 46 percent relative to the 1949-2002 period. The time series suggests that the five top-ranking discharge years occurred since 2003. The three top-ranking discharge years (2010, 2012, and 2016) are characterized by melt seasons that were both long and intense. Interannual variability more than doubled since 2003, which we speculate to be because of hypsometric runoff amplification enhanced by albedo decrease and decreased firn permeability. The reconstructed time series proves to be a valuable tool for long-term evaluation of Greenland Ice Sheet surface mass balance models. A comparison with freshwater fluxes calculated by a downscaled version of the regional climate model RACMO2 reveals high correlation (r = 0.89), and also shows that the model possibly underestimates runoff by up to 26 percent in above-average melt years.</t>
  </si>
  <si>
    <t>[van As, Dirk; Ahlstrom, Andreas P.; Box, Jason E.; Colgan, William; Fausto, Robert S.] Geol Survey Denmark &amp; Greenland, Copenhagen, Denmark; [Hasholt, Bent; Mikkelsen, Andreas Bech] Univ Copenhagen, Dept Geosci &amp; Nat Resource Management, Copenhagen, Denmark; [Cappelen, John] Danish Meteorol Inst, Copenhagen, Denmark; [Mernild, Sebastian H.] Nansen Environm &amp; Remote Sensing Ctr, Bergen, Norway; [Mernild, Sebastian H.] Western Norway Univ Appl Sci, Fac Engn &amp; Sci, Sogndal, Norway; [Mernild, Sebastian H.] Univ Magallanes, Antarctic &amp; Sub Antarctic Program, Punta Arenas, Chile; [Noel, Brice P. Y.; van den Broeke, Michiel R.] Univ Utrecht, Inst Marine &amp; Atmospher Res, Utrecht, Netherlands; [Petersen, Dorthe] Asiaq Greenland Survey, Nuuk, Greenland</t>
  </si>
  <si>
    <t>Geological Survey Of Denmark &amp; Greenland; University of Copenhagen; Danish Meteorological Institute DMI; Nansen Environmental &amp; Remote Sensing Center (NERSC); Western Norway University of Applied Sciences; Universidad de Magallanes; Utrecht University</t>
  </si>
  <si>
    <t>van As, D (corresponding author), Geol Survey Denmark &amp; Greenland, Copenhagen, Denmark.</t>
  </si>
  <si>
    <t>dva@geus.dk</t>
  </si>
  <si>
    <t>Ahlstrøm, Andreas Peter/E-5257-2014; Fausto, Robert S./K-6185-2018; Colgan, William/ITU-7055-2023; Box, Jason/H-5770-2013; Box, Jason E/AAE-1654-2019; Van den Broeke, Michiel R./F-7867-2011; Mernild, Sebastian H./M-5516-2013</t>
  </si>
  <si>
    <t>Ahlstrøm, Andreas Peter/0000-0001-8235-8070; Fausto, Robert S./0000-0003-1317-8185; Colgan, William/0000-0001-6334-1660; Box, Jason/0000-0003-0052-8705; Box, Jason E/0000-0003-0052-8705; Van den Broeke, Michiel R./0000-0003-4662-7565; Mernild, Sebastian H./0000-0003-0797-3975; van As, Dirk/0000-0002-6553-8982</t>
  </si>
  <si>
    <t>Commission for Scientific Research in Greenland; Danish Natural Science Research Council; Center for Permafrost (CENPERM); Department of Geosciences and Natural Resource Management (IGN); Greenland Analogue Project (GAP); Danish Energy Agency's (ENS) DANCEA program; Centre for Ice and Climate (CIC/NBI); CH2M HILL Polar Services (CPSpolar); Kangerlussuaq International Science Support (KISS); Greenland Survey (Asiaq); Polar Program of the Netherlands Organization for Scientific Research (NWO/NPP); Netherlands Earth System Science Center (NESSC)</t>
  </si>
  <si>
    <t>Commission for Scientific Research in Greenland; Danish Natural Science Research Council(Danish Natural Science Research Council); Center for Permafrost (CENPERM); Department of Geosciences and Natural Resource Management (IGN); Greenland Analogue Project (GAP); Danish Energy Agency's (ENS) DANCEA program; Centre for Ice and Climate (CIC/NBI); CH2M HILL Polar Services (CPSpolar); Kangerlussuaq International Science Support (KISS); Greenland Survey (Asiaq); Polar Program of the Netherlands Organization for Scientific Research (NWO/NPP); Netherlands Earth System Science Center (NESSC)</t>
  </si>
  <si>
    <t>Over the years, Watson River discharge monitoring has been (co)financed through various funding sources: the Commission for Scientific Research in Greenland, the Danish Natural Science Research Council, the Center for Permafrost (CENPERM), the Department of Geosciences and Natural Resource Management (IGN), the Greenland Analogue Project (GAP), and the Danish Energy Agency's (ENS) DANCEA program. We acknowledge support in Kangerlussuaq by the Centre for Ice and Climate (CIC/NBI), CH2M HILL Polar Services (CPSpolar), Kangerlussuaq International Science Support (KISS), and the Greenland Survey (Asiaq). BPYN and MRvdB acknowledge funding from the Polar Program of the Netherlands Organization for Scientific Research (NWO/NPP) and the Netherlands Earth System Science Center (NESSC).</t>
  </si>
  <si>
    <t>JUN 13</t>
  </si>
  <si>
    <t>e1433799</t>
  </si>
  <si>
    <t>10.1080/15230430.2018.1433799</t>
  </si>
  <si>
    <t>GN1JE</t>
  </si>
  <si>
    <t>WOS:000438744900001</t>
  </si>
  <si>
    <t>Barker, JD; Grottoli, AG; Lyons, WB</t>
  </si>
  <si>
    <t>Barker, Joel D.; Grottoli, Andrea G.; Lyons, W. Berry</t>
  </si>
  <si>
    <t>Stable isotope evidence for the biogeochemical transformation of ancient organic matter beneath Suess Glacier, Antarctica</t>
  </si>
  <si>
    <t>McMurdo Dry Valleys; subglacial biogeochemistry; stable isotopes; nitrogen cycling; basal ice</t>
  </si>
  <si>
    <t>BASAL ICE; NITROGEN; CARBON; LAKES; PRESERVATION; ABUNDANCE</t>
  </si>
  <si>
    <t>Glaciers overrun organic matter (OM) during periods of advance, making this overrun OM available as a metabolic substrate for subglacial microbes. The biogeochemical fate of this overrun OM remains poorly understood, ultimately limiting our understanding of subglacial biogeochemical cycling, particularly for cold-based glaciers. This study presents evidence for the biogeochemical transformation of algal mat material that was overrun by a cold-based glacier (Suess Glacier, Taylor Valley, Antarctica) during its advance 4840-3570 years BP. We use a suite of stable isotope analyses to show that active nitrogen cycling has depleted N-isotope values to amongst the lowest reported in Taylor Valley (-15.59 parts per thousand) from an initial value of similar to-1.88 parts per thousand, while potentially depleting C-isotope values by 2.46 parts per thousand. While this study examines biogeochemical conditions beneath a single glacier, all glaciers export meltwater during the melt season that may host algae and other OM in proglacial streams and lakes that may be overridden during glacier advance. As such, subglacial nitrogen cycling detected here may represent processes that occur in cold zones beneath glaciers generally.</t>
  </si>
  <si>
    <t>[Barker, Joel D.; Grottoli, Andrea G.; Lyons, W. Berry] Ohio State Univ, Sch Earth Sci, 275 Mendenhall Lab, Columbus, OH 43210 USA; [Barker, Joel D.; Lyons, W. Berry] Ohio State Univ, Byrd Polar &amp; Climate Res Ctr, Columbus, OH 43210 USA</t>
  </si>
  <si>
    <t>University System of Ohio; Ohio State University; University System of Ohio; Ohio State University</t>
  </si>
  <si>
    <t>Barker, JD (corresponding author), Ohio State Univ, Sch Earth Sci, 275 Mendenhall Lab, Columbus, OH 43210 USA.</t>
  </si>
  <si>
    <t>barker.246@osu.edu</t>
  </si>
  <si>
    <t>Grottoli, Andrea G./C-9736-2009</t>
  </si>
  <si>
    <t>Barker, Joel/0000-0003-1661-2709; Grottoli, Andrea/0000-0001-6053-9452</t>
  </si>
  <si>
    <t>McMurdo Dry Valleys Long Term Ecological Research (LTER) program</t>
  </si>
  <si>
    <t>The authors would like to thank Alex Wolfe for imaging and identifying the diatoms, as well as the McMurdo Dry Valleys Long Term Ecological Research (LTER) program for supporting the fieldwork component of this project. We are thankful to Martyn Tranter and two anonymous reviewers who greatly improved the quality of this manuscript.</t>
  </si>
  <si>
    <t>e1448643</t>
  </si>
  <si>
    <t>10.1080/15230430.2018.1448643</t>
  </si>
  <si>
    <t>GN1HC</t>
  </si>
  <si>
    <t>WOS:000438738400001</t>
  </si>
  <si>
    <t>Gray, LJ; Anstey, JA; Kawatani, Y; Lu, H; Osprey, S; Schenzinger, V</t>
  </si>
  <si>
    <t>Gray, Lesley J.; Anstey, James A.; Kawatani, Yoshio; Lu, Hua; Osprey, Scott; Schenzinger, Verena</t>
  </si>
  <si>
    <t>Surface impacts of the Quasi Biennial Oscillation</t>
  </si>
  <si>
    <t>STRATOSPHERIC POLAR VORTEX; MADDEN-JULIAN OSCILLATION; SOLAR-CYCLE; TROPOSPHERE; QBO; WEATHER; WINTER; WAVE; REPRESENTATION; REANALYSIS</t>
  </si>
  <si>
    <t>Teleconnections between the Quasi Biennial Oscillation (QBO) and the Northern Hemisphere zonally averaged zonal winds, mean sea level pressure (mslp) and tropical precipitation are explored. The standard approach that defines the QBO using the equatorial zonal winds at a single pressure level is compared with the empirical orthogonal function approach that characterizes the vertical profile of the equatorial winds. Results are interpreted in terms of three potential routes of influence, referred to as the tropical, subtropical and polar routes. A novel technique is introduced to separate responses via the polar route that are associated with the stratospheric polar vortex, from the other two routes. A previously reported mslp response in January, with a pattern that resembles the positive phase of the North Atlantic Oscillation under QBO westerly conditions, is confirmed and found to be primarily associated with a QBO modulation of the stratospheric polar vortex. This mid-winter response is relatively insensitive to the exact height of the maximum QBO westerlies and a maximum positive response occurs with westerlies over a relatively deep range between 10 and 70 hPa. Two additional mslp responses are reported, in early winter (December) and late winter (February/March). In contrast to the January response the early and late winter responses show maximum sensitivity to the QBO winds at similar to 20 and similar to 70 hPa respectively, but are relatively insensitive to the QBO winds in between (similar to 50 hPa). The late winter response is centred over the North Pacific and is associated with QBO influence from the lowermost stratosphere at tropical/subtropical latitudes in the Pacific sector. The early winter response con-sists of anomalies over both the North Pacific and Europe, but the mechanism for this response is unclear. Increased precipitation occurs over the tropical western Pacific under westerly QBO conditions, particularly during boreal summer, with maximum sensitivity to the QBO winds at 70 hPa. The band of precipitation across the Pacific associated with the Inter-tropical Convergence Zone (ITCZ) shifts southward under QBO westerly conditions. The empirical orthogonal function (EOF)-based analysis suggests that this ITCZ precipitation response may be particularly sensitive to the vertical wind shear in the vicinity of 70 hPa and hence the tropical tropopause temperatures.</t>
  </si>
  <si>
    <t>[Gray, Lesley J.; Osprey, Scott; Schenzinger, Verena] Univ Oxford, NCAS, Dept Ocean Atmosphere &amp; Planetary Phys, Oxford OX1 3PU, England; [Anstey, James A.] Univ Victoria, Canadian Ctr Climate Modelling &amp; Anal, Environm &amp; Climate Change Canada, Victoria, BC V8W 2Y2, Canada; [Kawatani, Yoshio] Japan Agcy Marine Earth Sci &amp; Technol, Yokohama, Kanagawa 2360001, Japan; [Lu, Hua] British Antarctic Survey, Cambridge CB3 0ET, England; [Schenzinger, Verena] Univ Vienna, Inst Meteorol &amp; Geophys, A-1090 Vienna, Austria</t>
  </si>
  <si>
    <t>University of Oxford; University of Victoria; Environment &amp; Climate Change Canada; Canadian Centre for Climate Modelling &amp; Analysis (CCCma); Japan Agency for Marine-Earth Science &amp; Technology (JAMSTEC); UK Research &amp; Innovation (UKRI); Natural Environment Research Council (NERC); NERC British Antarctic Survey; University of Vienna</t>
  </si>
  <si>
    <t>Gray, LJ (corresponding author), Univ Oxford, NCAS, Dept Ocean Atmosphere &amp; Planetary Phys, Oxford OX1 3PU, England.</t>
  </si>
  <si>
    <t>lesley.gray@physics.ox.ac.uk</t>
  </si>
  <si>
    <t>Osprey, Scott/P-6621-2016; Gray, Lesley J/D-3610-2009; Osprey, Scott/S-7908-2019; Lu, Hua/GXA-0276-2022; Osprey, Scott/GQI-3483-2022; Kawatani, Yoshio/B-1777-2013</t>
  </si>
  <si>
    <t>Osprey, Scott/0000-0002-8751-1211; Osprey, Scott/0000-0002-8751-1211; Lu, Hua/0000-0001-9485-5082; Osprey, Scott/0000-0002-8751-1211; Schenzinger, Verena/0000-0001-8630-9903; Anstey, James/0000-0001-6366-8647; Gray, Lesley/0000-0002-7803-9277; Kawatani, Yoshio/0000-0003-3260-8830</t>
  </si>
  <si>
    <t>UK Natural Environment Research Council (NERC) through the ACSIS (Atlantic Climate System Integrated Study) Programmes at the National Centre for Atmospheric Science; British Antarctic Survey; Belmont Grant [NE/P006779/1 - GOTHAM - 1505DC004/MW2]; JSPS [26287117, 15KK0178]; Environment Research and Technology Development Fund of the Environmental Restoration and Conservation Agency [2-1503]; Oxford through a Rhodes Scholarship; Grants-in-Aid for Scientific Research [15KK0178, 26287117] Funding Source: KAKEN; NERC [NE/P006779/1, NE/N018028/1, NE/N018001/1, bas0100032, NE/M005828/1, NE/N010965/1] Funding Source: UKRI</t>
  </si>
  <si>
    <t>UK Natural Environment Research Council (NERC) through the ACSIS (Atlantic Climate System Integrated Study) Programmes at the National Centre for Atmospheric Science; British Antarctic Survey; Belmont Grant; JSPS(Ministry of Education, Culture, Sports, Science and Technology, Japan (MEXT)Japan Society for the Promotion of Science); Environment Research and Technology Development Fund of the Environmental Restoration and Conservation Agency; Oxford through a Rhodes Scholarship; Grants-in-Aid for Scientific Research(Ministry of Education, Culture, Sports, Science and Technology, Japan (MEXT)Japan Society for the Promotion of ScienceGrants-in-Aid for Scientific Research (KAKENHI)); NERC(UK Research &amp; Innovation (UKRI)Natural Environment Research Council (NERC))</t>
  </si>
  <si>
    <t>The authors wish to thank the two reviewers, Marvin Geller and Chaim Garfinkel, for their very helpful and constructive comments that resulted in a much improved manuscript. Lesley J. Gray, Hua Lu and Scott Osprey acknowledge funding from the UK Natural Environment Research Council (NERC) through support of the ACSIS (Atlantic Climate System Integrated Study) Programmes at the National Centre for Atmospheric Science (LG), the British Antarctic Survey (HL), and Belmont Grant NE/P006779/1 - GOTHAM - 1505DC004/MW2 (SO). Yoshio Kawatani was supported by JSPS KAKENHI grant numbers 26287117 and 15KK0178 and by the Environment Research and Technology Development Fund (2-1503) of the Environmental Restoration and Conservation Agency. Verena Schenzinger acknowledges doctoral study support at Oxford through a Rhodes Scholarship.</t>
  </si>
  <si>
    <t>10.5194/acp-18-8227-2018</t>
  </si>
  <si>
    <t>GJ3HA</t>
  </si>
  <si>
    <t>WOS:000435181500004</t>
  </si>
  <si>
    <t>Mura-Jornet, I; Pimentel, C; Dantas, GPM; Petry, MV; González-Acuña, D; Barbosa, A; Lowther, AD; Kovacs, KM; Poulin, E; Vianna, JA</t>
  </si>
  <si>
    <t>Mura-Jornet, Isidora; Pimentel, Carolina; Dantas, Gisele P. M.; Petry, Maria Virginia; Gonzalez-Acuna, Daniel; Barbosa, Andres; Lowther, Andrew D.; Kovacs, Kit M.; Poulin, Elie; Vianna, Juliana A.</t>
  </si>
  <si>
    <t>Chinstrap penguin population genetic structure: one or more populations along the Southern Ocean?</t>
  </si>
  <si>
    <t>Seabirds; Pygoscelis antarcticus; Dispersal; Gene flow; Microsatellites; D-loop; Sex-biased; Antarctica</t>
  </si>
  <si>
    <t>MULTILOCUS GENOTYPE DATA; SEX-BIASED DISPERSAL; KING-GEORGE-ISLAND; PYGOSCELIS-ANTARCTICA; SHETLAND ISLANDS; MANTEL TEST; FLOW; MARKERS; BIRDS; DIFFERENTIATION</t>
  </si>
  <si>
    <t>Background: Historical factors, demography, reproduction and dispersal are crucial in determining the genetic structure of seabirds. In the Antarctic marine environment, penguins are a major component of the avian biomass, dominant predators and important bioindicators of ecological change. Populations of chinstrap penguins have decreased in nearly all their breeding sites, and their range is expanding throughout the Antarctic Peninsula. Population genetic structure of this species has been studied in some colonies, but not between breeding colonies in the Antarctic Peninsula or at the species' easternmost breeding colony (Bouvetoya). Results: Connectivity, sex-biased dispersal, diversity, genetic structure and demographic history were studied using 12 microsatellite loci and a mitochondrial DNA region (HVRI) in 12 breeding colonies in the South Shetland Islands (SSI) and the Western Antarctic Peninsula (WAP), and one previously unstudied sub-Antarctic island, 3600 km away from the WAP (Bouvetoya). High genetic diversity, evidence of female bias-dispersal and a sign of population expansion after the last glacial maximum around 10,000 mya were detected. Limited population genetic structure and lack of isolation by distance throughout the region were found, along with no differentiation between the WAP and Bouvetoya (overall microsatellite F-ST = 0.002, p = 0.273; mtDNA F-ST = -0.004, p = 0.766), indicating long distance dispersal. Therefore, genetic assignment tests could not assign individuals to their population(s) of origin. The most differentiated location was Georges Point, one of the southernmost breeding colonies of this species in the WAP. Conclusions: The subtle differentiation found may be explained by some combination of low natal philopatric behavior, high rates of dispersal and/or generally high mobility among colonies of chinstrap penguins compared to other Pygoscelis species.</t>
  </si>
  <si>
    <t>[Mura-Jornet, Isidora; Vianna, Juliana A.] Pontificia Univ Catolica Chile, Fac Agron &amp; Ingn Forestal, Dept Ecosistemas &amp; Medio Ambiente, Av Vicuna Mackenna 4860, Santiago, Chile; [Pimentel, Carolina; Poulin, Elie] Univ Chile, Fac Ciencias, Dept Ciencias Ecol, Inst Ecol &amp; Biodiversidad, Las Palmeras 3425, Santiago, Chile; [Dantas, Gisele P. M.] Pontificia Univ Catolica Minas Gerais, PPG Biol Vertebrate, Av Dom Jose Gaspar 500,Predio 41, BR-30535901 Belo Horizonte, MG, Brazil; [Petry, Maria Virginia] Univ Vale Rio dos Sinos, Lab Ornitol &amp; Anim Marinhos, Av Unisinos, BR-950 Sao Leopoldo, RS, Brazil; [Gonzalez-Acuna, Daniel] Univ Concepcion, Fac Ciencias Vet, Dept Ciencias Pecuarias, Av Vicente Mendez 595, Chillan 3780000, CP, Chile; [Barbosa, Andres] CSIC, Museo Nacl Ciencias Nat, Dept Ecol Evolut, C Jose Gutierrez Abascal 2, E-28006 Madrid, Spain; [Lowther, Andrew D.; Kovacs, Kit M.] Norwegian Polar Res Inst, Tromso, Norway</t>
  </si>
  <si>
    <t>Pontificia Universidad Catolica de Chile; Universidad de Chile; Pontificia Universidade Catolica de Minas Gerais; Universidade do Vale do Rio dos Sinos (Unisinos); Universidad de Concepcion; Consejo Superior de Investigaciones Cientificas (CSIC); CSIC - Museo Nacional de Ciencias Naturales (MNCN); Norwegian Polar Institute</t>
  </si>
  <si>
    <t>Vianna, JA (corresponding author), Pontificia Univ Catolica Chile, Fac Agron &amp; Ingn Forestal, Dept Ecosistemas &amp; Medio Ambiente, Av Vicuna Mackenna 4860, Santiago, Chile.</t>
  </si>
  <si>
    <t>Petry, Maria Virginia/AAG-5333-2021; Dantas, Gisele PM/T-6782-2019; Poulin, Elie/C-2654-2012; Barbosa, Andrés/C-3208-2008; Lowther, Andrew/T-2511-2019; petry, maria/K-8410-2013; Vianna, Juliana/E-9847-2015</t>
  </si>
  <si>
    <t>Dantas, Gisele PM/0000-0001-5282-7577; Poulin, Elie/0000-0001-7736-0969; Barbosa, Andrés/0000-0001-8434-3649; Lowther, Andrew/0000-0003-4294-3157; petry, maria/0000-0002-7870-7394; Mura-Jornet, Isidora/0000-0003-2516-8590; Vianna, Juliana/0000-0003-2330-7825</t>
  </si>
  <si>
    <t>Chilean Antarctic Institute [INACH T_27-10, G_06-11, RT_12-14]; FONDECYT project [1150517]; CONICYT project [PIA ACT172065 GAB, CONICYT-PCHA/MagisterNacional/2016-22162312]; National Council for Scientific and Technological Research - CNPq [482501/2013-8, INCT-APA 574018/2008-5]; Spanish Ministry of Economy and Competitiveness [CGL2004-01348, CGL2007-60369, CTM2011-24427]</t>
  </si>
  <si>
    <t>Chilean Antarctic Institute; FONDECYT project(Comision Nacional de Investigacion Cientifica y Tecnologica (CONICYT)CONICYT FONDECYT); CONICYT project(Comision Nacional de Investigacion Cientifica y Tecnologica (CONICYT)); National Council for Scientific and Technological Research - CNPq(Conselho Nacional de Desenvolvimento Cientifico e Tecnologico (CNPQ)Consejo Nacional de Investigaciones Cientificas y Tecnicas (CONICET)); Spanish Ministry of Economy and Competitiveness(Spanish Government)</t>
  </si>
  <si>
    <t>Financial support for this study was provided by the Chilean Antarctic Institute (INACH T_27-10, G_06-11, RT_12-14), FONDECYT projects (1150517), CONICYT PIA ACT172065 GAB, CONICYT-PCHA/MagisterNacional/2016-22162312, National Council for Scientific and Technological Research - CNPq (n 482501/2013-8; INCT-APA 574018/2008-5) and the Spanish Ministry of Economy and Competitiveness (CGL2004-01348, CGL2007-60369, CTM2011-24427). None of the funding body had any role in the design of the study and collection, analysis and interpretation of the data, nor in the manuscript.</t>
  </si>
  <si>
    <t>BIOMED CENTRAL LTD</t>
  </si>
  <si>
    <t>236 GRAYS INN RD, FLOOR 6, LONDON WC1X 8HL, ENGLAND</t>
  </si>
  <si>
    <t>10.1186/s12862-018-1207-0</t>
  </si>
  <si>
    <t>GJ2UW</t>
  </si>
  <si>
    <t>WOS:000435130300001</t>
  </si>
  <si>
    <t>Hutchinson, DK; de Boer, AM; Coxall, HK; Caballero, R; Nilsson, J; Baatsen, M</t>
  </si>
  <si>
    <t>Hutchinson, David K.; de Boer, Agatha M.; Coxall, Helen K.; Caballero, Rodrigo; Nilsson, Johan; Baatsen, Michiel</t>
  </si>
  <si>
    <t>Climate sensitivity and meridional overturning circulation in the late Eocene using GFDL CM2.1</t>
  </si>
  <si>
    <t>SEA-SURFACE TEMPERATURES; DRAKE PASSAGE; OLIGOCENE TRANSITION; ANTARCTIC GLACIATION; SOUTHERN-OCEAN; HEAT-TRANSPORT; ICE; WATER; MODEL; EVOLUTION</t>
  </si>
  <si>
    <t>The Eocene-Oligocene transition (EOT), which took place approximately 34 Ma ago, is an interval of great interest in Earth's climate history, due to the inception of the Antarctic ice sheet and major global cooling. Climate simulations of the transition are needed to help interpret proxy data, test mechanistic hypotheses for the transition and determine the climate sensitivity at the time. However, model studies of the EOT thus far typically employ control states designed for a different time period, or ocean resolution on the order of 3 degrees. Here we developed a new higher resolution palaeoclimate model configuration based on the GFDL CM2.1 climate model adapted to a late Eocene (38 Ma) palaeogeography reconstruction. The ocean and atmosphere horizontal resolutions are 1 degrees similar to 1.5 degrees and 3 degrees 3.75 ffi respectively. This represents a significant step forward in resolving the ocean geography, gateways and circulation in a coupled climate model of this period. We run the model under three different levels of atmospheric CO2: 400, 800 and 1600 ppm. The model exhibits relatively high sensitivity to CO2 compared with other recent model studies, and thus can capture the expected Eocene high latitude warmth within observed estimates of atmospheric CO2. However, the model does not capture the low meridional temperature gradient seen in proxies. Equatorial sea surface temperatures are too high in the model (3037 degrees C) compared with observations (max 32 degrees C), although observations are lacking in the warmest regions of the western Pacific. The model exhibits bipolar sinking in the North Pacific and Southern Ocean, which persists under all levels of CO2. North Atlantic surface salinities are too fresh to permit sinking (25-30 psu), due to surface transport from the very fresh Arctic (similar to 20 psu), where surface salinities approximately agree with Eocene proxy estimates. North Atlantic salinity increases by 1-2 psu when CO2 is halved, and similarly freshens when CO2 is doubled, due to changes in the hydrological cycle.</t>
  </si>
  <si>
    <t>[Hutchinson, David K.; de Boer, Agatha M.; Coxall, Helen K.] Stockholm Univ, Dept Geol Sci, S-10691 Stockholm, Sweden; [Caballero, Rodrigo; Nilsson, Johan] Stockholm Univ, Dept Meteorol, S-10691 Stockholm, Sweden; [Baatsen, Michiel] Univ Utrecht, IMAU, Princetonpl 5, NL-3584 CC Utrecht, Netherlands</t>
  </si>
  <si>
    <t>Stockholm University; Stockholm University; Utrecht University</t>
  </si>
  <si>
    <t>Hutchinson, DK (corresponding author), Stockholm Univ, Dept Geol Sci, S-10691 Stockholm, Sweden.</t>
  </si>
  <si>
    <t>david.hutchinson@geo.su.se</t>
  </si>
  <si>
    <t>Hutchinson, David/F-4564-2016; Caballero, Rodrigo/E-4637-2010; De Boer, Agatha M/H-4202-2012</t>
  </si>
  <si>
    <t>Hutchinson, David/0000-0001-9385-4782; Baatsen, Michiel/0000-0002-0123-7005; Coxall, Helen/0000-0002-2843-2898; Caballero, Rodrigo/0000-0002-5507-9209; Nilsson, Johan/0000-0002-9591-124X</t>
  </si>
  <si>
    <t>Bolin Centre for Climate Research; Swedish Research Council [2016-03912]; Netherlands Earth System Science Centre (NESSC); Ministry of Education, Culture and Science (OCW) [024.002.001]; Swedish Research Council [2016-03912] Funding Source: Swedish Research Council</t>
  </si>
  <si>
    <t>Bolin Centre for Climate Research; Swedish Research Council(Swedish Research Council); Netherlands Earth System Science Centre (NESSC); Ministry of Education, Culture and Science (OCW)(Ministry of Education, Culture, Sports, Science and Technology, Japan (MEXT)); Swedish Research Council(Swedish Research Council)</t>
  </si>
  <si>
    <t>This work was supported by the Bolin Centre for Climate Research, research areas 1 and 6, and the Swedish Research Council, project 2016-03912. Numerical simulations were performed using resources provided by the Swedish National Infrastructure for Computing (SNIC) at NSC, Linkoping. MB is supported by the Netherlands Earth System Science Centre (NESSC) and the Ministry of Education, Culture and Science (OCW), grant number 024.002.001. The authors thank Casimir de Lavergne and an anonymous reviewer for their constructive comments, which helped to improve the manuscript. Model data can be made available on request.</t>
  </si>
  <si>
    <t>10.5194/cp-14-789-2018</t>
  </si>
  <si>
    <t>GJ3IW</t>
  </si>
  <si>
    <t>WOS:000435187700001</t>
  </si>
  <si>
    <t>Birner, B; Buizert, C; Wagner, TJW; Severinghaus, JP</t>
  </si>
  <si>
    <t>Birner, Benjamin; Buizert, Christo; Wagner, Till J. W.; Severinghaus, Jeffrey P.</t>
  </si>
  <si>
    <t>The influence of layering and barometric pumping on firn air transport in a 2-D model</t>
  </si>
  <si>
    <t>POLAR FIRN; ISOTOPIC COMPOSITION; ANTARCTIC ICE; LAW DOME; GASES; FRACTIONATION; TEMPERATURES; MOVEMENT; CONVECTION; METHANE</t>
  </si>
  <si>
    <t>Ancient air trapped in ice core bubbles has been paramount to developing our understanding of past climate and atmospheric composition. Before air bubbles become isolated in ice, the atmospheric signal is altered in the firn column by transport processes such as advection and diffusion. However, the influence of low-permeability layers and barometric pumping (driven by surface pressure variability) on firn air transport is not well understood and is not readily captured in conventional one-dimensional (1-D) firn air models. Here we present a two-dimensional (2-D) trace gas advection-diffusion-dispersion model that accounts for discontinuous horizontal layers of reduced permeability. We find that layering or barometric pumping individually yields too small a reduction in gravitational settling to match observations. In contrast, when both effects are active, the model's gravitational fractionation is suppressed as observed. Layering focuses airflows in certain regions in the 2-D model, which acts to amplify the dispersive mixing resulting from barometric pumping. Hence, the representation of both factors is needed to obtain a realistic emergence of the lock-in zone. In contrast to expectations, we find that the addition of barometric pumping in the layered 2-D model does not substantially change the differential kinetic fractionation of fast-and slow-diffusing trace gases. Like 1-D models, the 2-D model substantially underestimates the amount of differential kinetic fractionation seen in actual observations, suggesting that further subgrid-scale processes may be missing in the current generation of firn air transport models. However, we find robust scaling relationships between kinetic isotope fractionation of different noble gas isotope and elemental ratios. These relationships may be used to correct for kinetic fractionation in future high-precision ice core studies and can amount to a bias of up to 0.45 degrees C in noble-gas-based mean ocean temperature reconstructions at WAIS Divide, Antarctica.</t>
  </si>
  <si>
    <t>[Birner, Benjamin; Severinghaus, Jeffrey P.] Univ Calif San Diego, Scripps Inst Oceanog, La Jolla, CA 92093 USA; [Buizert, Christo] Oregon State Univ, Coll Earth Ocean &amp; Atmospher Sci, Corvallis, OR 97331 USA; [Wagner, Till J. W.] Univ North Carolina Wilmington, Dept Phys &amp; Phys Oceanog, Wilmington, NC 28403 USA</t>
  </si>
  <si>
    <t>University of California System; University of California San Diego; Scripps Institution of Oceanography; Oregon State University; University of North Carolina; University of North Carolina Wilmington</t>
  </si>
  <si>
    <t>Birner, B (corresponding author), Univ Calif San Diego, Scripps Inst Oceanog, La Jolla, CA 92093 USA.</t>
  </si>
  <si>
    <t>bbirner@ucsd.edu</t>
  </si>
  <si>
    <t>Severinghaus, Jeffrey/0000-0001-8883-3119; Birner, Benjamin/0000-0003-3139-9897</t>
  </si>
  <si>
    <t>NSF [PLR-1543229, PLR-1543267]</t>
  </si>
  <si>
    <t>We would like to thank Jakob Keck, Alan Seltzer, and Ian Eisenman for providing computational resources and insightful discussions on the numerical implementation of firn air transport. Sarah Shackleton has provided helpful comments on the importance of disequilibrium in mean ocean temperature reconstruction. This work was supported by NSF grants PLR-1543229 and PLR-1543267.</t>
  </si>
  <si>
    <t>10.5194/tc-12-2021-2018</t>
  </si>
  <si>
    <t>GJ3DD</t>
  </si>
  <si>
    <t>WOS:000435154900002</t>
  </si>
  <si>
    <t>Souverijns, N; Gossart, A; Gorodetskaya, IV; Lhermitte, S; Mangold, A; Laffineur, Q; Delcloo, A; van Lipzig, NPM</t>
  </si>
  <si>
    <t>Souverijns, Niels; Gossart, Alexandra; Gorodetskaya, Irina V.; Lhermitte, Stef; Mangold, Alexander; Laffineur, Quentin; Delcloo, Andy; van Lipzig, Nicole P. M.</t>
  </si>
  <si>
    <t>How does the ice sheet surface mass balance relate to snowfall? Insights from a ground-based precipitation radar in East Antarctica</t>
  </si>
  <si>
    <t>DRONNING MAUD LAND; BLOWING-SNOW; ADELIE LAND; SNOWDRIFT SUBLIMATION; TEMPORAL VARIABILITY; MIZUHO STATION; DRIFTING SNOW; CLIMATE; ACCUMULATION; CLOUD</t>
  </si>
  <si>
    <t>Local surface mass balance (SMB) measurements are crucial for understanding changes in the total mass of the Antarctic Ice Sheet, including its contribution to sea level rise. Despite continuous attempts to decipher mechanisms controlling the local and regional SMB, a clear understanding of the separate components is still lacking, while snowfall measurements are almost absent. In this study, the different terms of the SMB are quantified at the Princess Elisabeth (PE) station in Dronning Maud Land, East Antarctica. Furthermore, the relationship between snowfall and accumulation at the surface is investigated. To achieve this, a unique collocated set of ground-based and in situ remote sensing instrumentation (Micro Rain Radar, ceilometer, automatic weather station, among others) was set up and operated for a time period of 37 months. Snowfall originates mainly from moist and warm air advected from lower latitudes associated with cyclone activity. However, snowfall events are not always associated with accumulation. During 38% of the observed snowfall cases, the freshly fallen snow is ablated by the wind during the course of the event. Generally, snow storms of longer duration and larger spatial extent have a higher chance of resulting in accumulation on a local scale, while shorter events usually result in ablation (on average 17 and 12 h respectively). A large part of the accumulation at the station takes place when preceding snowfall events were occurring in synoptic upstream areas. This fresh snow is easily picked up and transported in shallow drifting snow layers over tens of kilometres, even when wind speeds are relatively low (&lt; 7 ms(-1)). Ablation events are mainly related to katabatic winds originating from the Antarctic plateau and the mountain ranges in the south. These dry winds are able to remove snow and lead to a decrease in the local SMB. This work highlights that the local SMB is strongly influenced by synoptic upstream conditions.</t>
  </si>
  <si>
    <t>[Souverijns, Niels; Gossart, Alexandra; van Lipzig, Nicole P. M.] Katholieke Univ Leuven, Dept Earth &amp; Environm Sci, Leuven, Belgium; [Gorodetskaya, Irina V.] Univ Aveiro, Dept Phys, CESAM Ctr Environm &amp; Marine Studies, Aveiro, Portugal; [Lhermitte, Stef] Delft Univ Technol, Dept Geosci &amp; Remote Sensing, Delft, Netherlands; [Mangold, Alexander; Laffineur, Quentin; Delcloo, Andy] Royal Meteorol Inst Belgium, Observat Dept, Uccle, Belgium</t>
  </si>
  <si>
    <t>KU Leuven; Universidade de Aveiro; Delft University of Technology; Royal Meteorological Institute of Belgium</t>
  </si>
  <si>
    <t>Souverijns, N (corresponding author), Katholieke Univ Leuven, Dept Earth &amp; Environm Sci, Leuven, Belgium.</t>
  </si>
  <si>
    <t>niels.souverijns@kuleuven.be</t>
  </si>
  <si>
    <t>Gossart, Alexandra/AAK-8903-2020; Souverijns, Niels/AAB-2142-2019; Laffineur, Quentin/I-6345-2012; Lhermitte, Stef (Stefaan)/A-3385-2013; van Lipzig, Nicole/ABF-2964-2021; Delcloo, Andy/AFX-6906-2022; Gorodetskaya, Irina/K-1987-2015</t>
  </si>
  <si>
    <t>Gossart, Alexandra/0000-0002-1927-2685; Souverijns, Niels/0000-0003-4695-9754; Lhermitte, Stef (Stefaan)/0000-0002-1622-0177; van Lipzig, Nicole/0000-0003-2899-4046; Delcloo, Andy/0000-0001-5807-6241; Gorodetskaya, Irina/0000-0002-2294-7823; Laffineur, Quentin/0000-0002-7310-4666</t>
  </si>
  <si>
    <t>Belgian Science Policy Office (BELSPO) [BR/143/A2/AEROCLOUD]; Research Foundation Flanders (FWO) [G0C2215N]</t>
  </si>
  <si>
    <t>Belgian Science Policy Office (BELSPO)(Belgian Federal Science Policy Office); Research Foundation Flanders (FWO)(FWO)</t>
  </si>
  <si>
    <t>Two anonymous reviewers are acknowledged for their comments that significantly improved the manuscript. We thank the logistic teams for executing the yearly maintenance of our instruments at the Princess Elisabeth station and for their help by installing and setting up the new AWS. We thank Wim Boot, Carleen Reijmer, and Michiel van den Broeke (Utrecht University, Institute for Marine and Atmospheric Research Utrecht) for the development of the automatic weather station, technical support and raw data processing. Jan Lenaerts is acknowledged for sharing the data from the RACMO2.3 high-resolution simulation. This work was supported by the Belgian Science Policy Office (BELSPO; grant number BR/143/A2/AEROCLOUD) and the Research Foundation Flanders (FWO; grant number G0C2215N).</t>
  </si>
  <si>
    <t>JUN 12</t>
  </si>
  <si>
    <t>10.5194/tc-12-1987-2018</t>
  </si>
  <si>
    <t>GJ0LV</t>
  </si>
  <si>
    <t>WOS:000434946800002</t>
  </si>
  <si>
    <t>Ives, JD</t>
  </si>
  <si>
    <t>Ives, Jack D.</t>
  </si>
  <si>
    <t>Roger G. Barry, 1935-2018 IN MEMORIAM</t>
  </si>
  <si>
    <t>Biographical-Item</t>
  </si>
  <si>
    <t>[Ives, Jack D.] Univ Calif Irvine, Irvine, CA 92717 USA; [Ives, Jack D.] Carleton Univ, Ottawa, ON, Canada</t>
  </si>
  <si>
    <t>University of California System; University of California Irvine; Carleton University</t>
  </si>
  <si>
    <t>Ives, JD (corresponding author), Univ Calif Irvine, Irvine, CA 92717 USA.;Ives, JD (corresponding author), Carleton Univ, Ottawa, ON, Canada.</t>
  </si>
  <si>
    <t>Jack_Ives@carleton.ca</t>
  </si>
  <si>
    <t>INST ARCTIC ALPINE RES</t>
  </si>
  <si>
    <t>UNIV COLORADO, BOULDER, CO 80309 USA</t>
  </si>
  <si>
    <t>UNSP e1475949</t>
  </si>
  <si>
    <t>10.1080/15230430.2018.1475949</t>
  </si>
  <si>
    <t>GN1IF</t>
  </si>
  <si>
    <t>WOS:000438741900001</t>
  </si>
  <si>
    <t>Reese, R; Albrecht, T; Mengel, M; Asay-Davis, X; Winkelmann, R</t>
  </si>
  <si>
    <t>Reese, Ronja; Albrecht, Torsten; Mengel, Matthias; Asay-Davis, Xylar; Winkelmann, Ricarda</t>
  </si>
  <si>
    <t>Antarctic sub-shelf melt rates via PICO</t>
  </si>
  <si>
    <t>MARINE ICE-SHEET; AMUNDSEN SEA EMBAYMENT; MODEL PISM-PIK; WEST ANTARCTICA; EXPERIMENTAL-DESIGN; OCEAN CIRCULATION; THWAITES GLACIER; GROUNDING LINES; COUPLED MODEL; PART 1</t>
  </si>
  <si>
    <t>Ocean-induced melting below ice shelves is one of the dominant drivers for mass loss from the Antarctic Ice Sheet at present. An appropriate representation of sub-shelf melt rates is therefore essential for model simulations of marine-based ice sheet evolution. Continental-scale ice sheet models often rely on simple melt-parameterizations, in particular for long-term simulations, when fully coupled ice-ocean interaction becomes computationally too expensive. Such parameterizations can account for the influence of the local depth of the ice-shelf draft or its slope on melting. However, they do not capture the effect of ocean circulation underneath the ice shelf. Here we present the Potsdam Ice-shelf Cavity mOdel (PICO), which simulates the vertical overturning circulation in ice-shelf cavities and thus enables the computation of sub-shelf melt rates consistent with this circulation. PICO is based on an ocean box model that coarsely resolves ice shelf cavities and uses a boundary layer melt formulation. We implement it as a module of the Parallel Ice Sheet Model (PISM) and evaluate its performance under present-day conditions of the Southern Ocean. We identify a set of parameters that yield two-dimensional melt rate fields that qualitatively reproduce the typical pattern of comparably high melting near the grounding line and lower melting or refreezing towards the calving front. PICO captures the wide range of melt rates observed for Antarctic ice shelves, with an average of about 0.1 ma(-1) for cold sub-shelf cavities, for example, underneath Ross or Ronne ice shelves, to 16 ma(-1) for warm cavities such as in the Amundsen Sea region. This makes PICO a computationally feasible and more physical alternative to melt parameterizations purely based on ice draft geometry.</t>
  </si>
  <si>
    <t>[Reese, Ronja; Albrecht, Torsten; Mengel, Matthias; Asay-Davis, Xylar; Winkelmann, Ricarda] Potsdam Inst Climate Impact Res PIK, POB 60 12 03, D-14412 Potsdam, Germany; [Reese, Ronja; Albrecht, Torsten; Mengel, Matthias; Asay-Davis, Xylar; Winkelmann, Ricarda] Leibniz Assoc, POB 60 12 03, D-14412 Potsdam, Germany; [Asay-Davis, Xylar] Los Alamos Natl Lab, POB 1663,T-3,MS B216, Los Alamos, NM 87545 USA; [Reese, Ronja; Winkelmann, Ricarda] Univ Potsdam, Inst Phys &amp; Astron, Karl Liebknecht Str 24-25, D-14476 Potsdam, Germany</t>
  </si>
  <si>
    <t>Potsdam Institut fur Klimafolgenforschung; United States Department of Energy (DOE); Los Alamos National Laboratory; University of Potsdam</t>
  </si>
  <si>
    <t>Winkelmann, R (corresponding author), Potsdam Inst Climate Impact Res PIK, POB 60 12 03, D-14412 Potsdam, Germany.;Winkelmann, R (corresponding author), Leibniz Assoc, POB 60 12 03, D-14412 Potsdam, Germany.;Winkelmann, R (corresponding author), Univ Potsdam, Inst Phys &amp; Astron, Karl Liebknecht Str 24-25, D-14476 Potsdam, Germany.</t>
  </si>
  <si>
    <t>ricarda.winkelmann@pik-potsdam.de</t>
  </si>
  <si>
    <t>albrecht, torsten/J-8259-2019</t>
  </si>
  <si>
    <t>albrecht, torsten/0000-0001-7459-2860; Asay-Davis, Xylar/0000-0002-1990-892X; Reese, Ronja/0000-0001-7625-040X</t>
  </si>
  <si>
    <t>NASA [NNX17AG65G]; NSF [PLR-1603799, PLR-1644277]; DFG [SPP 1158, LE1448/6-1, LE1448/7-1]; AXA Research Fund; German Academic National Foundation; postgraduate scholarship programme of the state of Brandenburg; Evangelisches Studienwerk Villigst; German Climate Modeling Initiative (PalMod); Leibniz project DominoES; US Department of Energy, Office of Science, Office of Biological and Environmental Research [DE-SC0013038]; European Regional Development Fund (ERDF); German Federal Ministry of Education and Research; Land Brandenburg; U.S. Department of Energy (DOE) [DE-SC0013038] Funding Source: U.S. Department of Energy (DOE)</t>
  </si>
  <si>
    <t>NASA(National Aeronautics &amp; Space Administration (NASA)); NSF(National Science Foundation (NSF)); DFG(German Research Foundation (DFG)); AXA Research Fund(AXA Research Fund); German Academic National Foundation; postgraduate scholarship programme of the state of Brandenburg; Evangelisches Studienwerk Villigst; German Climate Modeling Initiative (PalMod); Leibniz project DominoES; US Department of Energy, Office of Science, Office of Biological and Environmental Research(United States Department of Energy (DOE)); European Regional Development Fund (ERDF)(European Union (EU)); German Federal Ministry of Education and Research(Federal Ministry of Education &amp; Research (BMBF)); Land Brandenburg; U.S. Department of Energy (DOE)(United States Department of Energy (DOE))</t>
  </si>
  <si>
    <t>Development of PISM is supported by NASA grant NNX17AG65G and NSF grants PLR-1603799 and PLR-1644277. Torsten Albrecht was supported by DFG priority program SPP 1158, project numbers LE1448/6-1 and LE1448/7-1. Matthias Mengel was supported by the AXA Research Fund. Ronja Reese was supported by the German Academic National Foundation, the postgraduate scholarship programme of the state of Brandenburg and the Evangelisches Studienwerk Villigst. The project is further supported by the German Climate Modeling Initiative (PalMod) and the Leibniz project DominoES. Xylar Asay-Davis was supported by the US Department of Energy, Office of Science, Office of Biological and Environmental Research under award no. DE-SC0013038. The authors gratefully acknowledge the European Regional Development Fund (ERDF), the German Federal Ministry of Education and Research and the Land Brandenburg for supporting this project by providing resources on the high performance computer system at the Potsdam Institute for Climate Impact Research.</t>
  </si>
  <si>
    <t>10.5194/tc-12-1969-2018</t>
  </si>
  <si>
    <t>WOS:000434946800001</t>
  </si>
  <si>
    <t>Bradley-Cook, JI; Virginia, RA</t>
  </si>
  <si>
    <t>Bradley-Cook, Julia, I; Virginia, Ross A.</t>
  </si>
  <si>
    <t>Landscape variation in soil carbon stocks and respiration in an Arctic tundra ecosystem, west Greenland</t>
  </si>
  <si>
    <t>Soil organic carbon; landscape heterogeneity; tundra; soil respiration; soil temperature</t>
  </si>
  <si>
    <t>ORGANIC-MATTER QUALITY; TEMPERATURE SENSITIVITY; PLANT COMMUNITY; CLIMATE; SHRUB; VEGETATION; STORAGE; CYCLE; DECOMPOSITION; UNCERTAINTY</t>
  </si>
  <si>
    <t>The magnitude and acceleration of carbon dioxide emissions from warming Arctic tundra soil is an important part of the Region's influence on the Earth's climate system. We investigated the links between soil carbon stocks, soil organic matter decomposition, vegetation heterogeneity, temperature, and environmental sensitivities in dwarf shrub tundra near Kangerlussuaq, Greenland. We quantified carbon stocks of forty-two soil profiles using bulk density estimates based on previous studies in the region. The soil profiles were located within six vegetation types at nine study sites, distributed across an environmental gradient. We also monitored air and soil temperature and measured in situ soil respiration to quantify variation in carbon flux between vegetation types. For spatial extrapolation, we created a high-resolution land cover classification map of the study area. Aside from a single soil profile taken from a fen soil (54.55 kg C m(-2); 2.13 kg N m(-2)), the highest carbon stocks were found in wet grassland soils (mean, 95% CI: 34.87 kg C m(-2), [27.30, 44.55]). These same grassland soils also had the highest mid-growing-season soil respiration rates. Our estimation of soil carbon stocks and mid-growing-season soil respiration measurements indicate that grassland soils are a hot spot for soil carbon storage and soil carbon dioxide efflux. Even though shrub, steppe, and mixed vegetation had lower average soil carbon stocks (14.66 - 20.17 kg C m(-2)), these vegetation types played an important role in carbon cycling at the landscape scale because they cover approximately 50 percent of the terrestrial landscape and store approximately 68 percent of the landscape soil organic carbon. The heterogeneous soil carbon stocks in this landscape may be sensitive to key environmental changes, such as shrub expansion and climate change. These environmental drivers could possibly result in a trend toward decreased soil carbon storage and increased release of greenhouse gases into the atmosphere.</t>
  </si>
  <si>
    <t>[Bradley-Cook, Julia, I] Dartmouth Coll, Ecol &amp; Evolutionary Biol Program, Dept Biol Sci, Hanover, NH 03755 USA; [Virginia, Ross A.] Dartmouth Coll, Environm Studies Program, Hanover, NH 03755 USA</t>
  </si>
  <si>
    <t>Dartmouth College; Dartmouth College</t>
  </si>
  <si>
    <t>Bradley-Cook, JI (corresponding author), Dartmouth Coll, Ecol &amp; Evolutionary Biol Program, Dept Biol Sci, Hanover, NH 03755 USA.</t>
  </si>
  <si>
    <t>julia.i.bradley-cook.gr@dartmouth.edu</t>
  </si>
  <si>
    <t>NSF [0801490]; Institute of Arctic Studies, in the Dickey Center for International Understanding at Dartmouth</t>
  </si>
  <si>
    <t>NSF(National Science Foundation (NSF)); Institute of Arctic Studies, in the Dickey Center for International Understanding at Dartmouth</t>
  </si>
  <si>
    <t>We are deeply grateful to Courtney Hammond Wagner and Ruth Heindel for superb field assistance, to Leehi Yona for helping with sample processing and analysis, and to Paul Zietz for laboratory support. Furthermore, we thank Amy Burzynski and Jonathan Chipman for contributions to the mapping and spatial analysis, Thomas Kraft for guidance on the ordination analysis, Ruth Heindel for providing comments on the manuscript, and all Virginia Lab members for moral support. We are thankful to CH2M Hill Polar Services for unfaltering logistical support in Kangerlussuaq that enabled productive fieldwork. This research was funded by an NSF grant (Award #: 0801490) to Ross Virginia, with additional support from the Institute of Arctic Studies, in the Dickey Center for International Understanding at Dartmouth.</t>
  </si>
  <si>
    <t>JUN 11</t>
  </si>
  <si>
    <t>e1420283</t>
  </si>
  <si>
    <t>10.1080/15230430.2017.1420283</t>
  </si>
  <si>
    <t>GN1KO</t>
  </si>
  <si>
    <t>WOS:000438749100001</t>
  </si>
  <si>
    <t>Conway, J; Bodeker, G; Cameron, C</t>
  </si>
  <si>
    <t>Conway, Jonathan; Bodeker, Greg; Cameron, Chris</t>
  </si>
  <si>
    <t>Bifurcation of potential vorticity gradients across the Southern Hemisphere stratospheric polar vortex</t>
  </si>
  <si>
    <t>OZONE LOSS; TRANSPORT; DIAGNOSTICS; SYSTEM</t>
  </si>
  <si>
    <t>The wintertime stratospheric westerly winds circling the Antarctic continent, also known as the Southern Hemisphere polar vortex, create a barrier to mixing of air between middle and high latitudes. This dynamical isolation has important consequences for export of ozone-depleted air from the Antarctic stratosphere to lower latitudes. The prevailing view of this dynamical barrier has been an annulus compromising steep gradients of potential vorticity (PV) that create a single semi-permeable barrier to mixing. Analyses presented here show that this barrier often displays a bifurcated structure where a double-walled barrier exists. The bifurcated structure manifests as enhanced gradients of PV at two distinct latitudes - usually on the inside and outside flanks of the region of highest wind speed. Metrics that quantify the bifurcated nature of the vortex have been developed and their variation in space and time has been analysed. At most isentropic levels between 395 and 850 K, bifurcation is strongest in mid-winter and decreases dramatically during spring. From August onwards a distinct structure emerges, where elevated bifurcation remains between 475 and 600 K, and a mostly single-walled barrier occurs at other levels. While bifurcation at a given level evolves from month to month, and does not always persist through a season, inter-annual variations in the strength of bifurcation display coherence across multiple levels in any given month. Accounting for bifurcation allows the region of reduced mixing to be better characterised. These results suggest that improved understanding of cross-vortex mixing requires consideration of the polar vortex not as a single mixing barrier but as a barrier with internal structure that is likely to manifest as more complex gradients in trace gas concentrations across the vortex barrier region.</t>
  </si>
  <si>
    <t>[Conway, Jonathan; Bodeker, Greg; Cameron, Chris] Bodeker Sci, 42 Russell St, Alexandra 9320, New Zealand</t>
  </si>
  <si>
    <t>Conway, J (corresponding author), Bodeker Sci, 42 Russell St, Alexandra 9320, New Zealand.</t>
  </si>
  <si>
    <t>jono@bodekerscientific.com</t>
  </si>
  <si>
    <t>Bodeker, Greg E/A-8870-2008</t>
  </si>
  <si>
    <t>Bodeker, Gregory/0000-0003-1094-5852; Conway, Jonathan/0000-0001-9276-7425</t>
  </si>
  <si>
    <t>Royal Society of New Zealand Marsden Fund research grant [BDS1401]</t>
  </si>
  <si>
    <t>Royal Society of New Zealand Marsden Fund research grant(Royal Society of New Zealand)</t>
  </si>
  <si>
    <t>This research was funded by a Royal Society of New Zealand Marsden Fund research grant titled The permeability of the Antarctic vortex, contract number BDS1401.</t>
  </si>
  <si>
    <t>JUN 8</t>
  </si>
  <si>
    <t>10.5194/acp-18-8065-2018</t>
  </si>
  <si>
    <t>GI7MR</t>
  </si>
  <si>
    <t>WOS:000434687100001</t>
  </si>
  <si>
    <t>Gess, R; Ahlberg, PE</t>
  </si>
  <si>
    <t>Gess, Robert; Ahlberg, Per Erik</t>
  </si>
  <si>
    <t>A tetrapod fauna from within the Devonian Antarctic Circle</t>
  </si>
  <si>
    <t>SOUTH-AFRICA; TRACKWAYS; IRELAND; ORIGIN; PERIOD</t>
  </si>
  <si>
    <t>Until now, all known fossils of tetrapods (limbed vertebrates with digits) and near-tetrapods (such as Elpistostege, Tiktaalik, and Panderichthys) from the Devonian period have come from localities in tropical to subtropical paleolatitudes. Most are from Laurussia, a continent incorporating Europe, Greenland, and North America, with only one body fossil and one footprint locality from Australia representing the southern supercontinent Gondwana. Here we describe two previously unknown tetrapods from the Late Devonian (late Famennian) Gondwana locality of Waterloo Farm in South Africa, then located within the Antarctic Circle, which demonstrate that Devonian tetrapods were not restricted to warm environments and suggest that they may have been global in distribution.</t>
  </si>
  <si>
    <t>[Gess, Robert] Rhodes Univ, Albany Museum, Grahamstown, South Africa; [Gess, Robert] Rhodes Univ, Geol Dept, Grahamstown, South Africa; [Ahlberg, Per Erik] Uppsala Univ, Dept Organismal Biol, Uppsala, Sweden</t>
  </si>
  <si>
    <t>Rhodes University; Rhodes University; Uppsala University</t>
  </si>
  <si>
    <t>Gess, R (corresponding author), Rhodes Univ, Albany Museum, Grahamstown, South Africa.;Gess, R (corresponding author), Rhodes Univ, Geol Dept, Grahamstown, South Africa.</t>
  </si>
  <si>
    <t>robg@imaginet.co.za</t>
  </si>
  <si>
    <t>Ahlberg, Per/E-8086-2013</t>
  </si>
  <si>
    <t>Ahlberg, Per/0000-0001-9054-2900; Gess, Robert/0000-0001-5441-9614</t>
  </si>
  <si>
    <t>South African Millennium Trust; South African DST-NRF Centre of Excellence in Palaeosciences (CoE-Pal); Knut and Alice Wallenberg Foundation</t>
  </si>
  <si>
    <t>South African Millennium Trust; South African DST-NRF Centre of Excellence in Palaeosciences (CoE-Pal); Knut and Alice Wallenberg Foundation(Knut &amp; Alice Wallenberg Foundation)</t>
  </si>
  <si>
    <t>R.G. acknowledges funding from the South African Millennium Trust and the South African DST-NRF Centre of Excellence in Palaeosciences (CoE-Pal). P.E.A. acknowledges a Wallenberg Scholarship from the Knut and Alice Wallenberg Foundation.</t>
  </si>
  <si>
    <t>10.1126/science.aaq1645</t>
  </si>
  <si>
    <t>GI6TJ</t>
  </si>
  <si>
    <t>WOS:000434635500046</t>
  </si>
  <si>
    <t>Cárdenas, CA; González-Aravena, M; Font, A; Hestetun, JT; Hajdu, E; Trefault, N; Malmbergg, M; Bongcarn-Rudloff, E</t>
  </si>
  <si>
    <t>Cardenas, Cesar A.; Gonzalez-Aravena, Marcelo; Font, Alejandro; Hestetun, Jon T.; Hajdu, Eduardo; Trefault, Nicole; Malmbergg, Maja; Bongcarn-Rudloff, Erik</t>
  </si>
  <si>
    <t>High similarity in the microbiota of cold-water sponges of the Genus Mycale from two different geographical areas</t>
  </si>
  <si>
    <t>Porifera; 16S rRNA; High throughput sequencing; Antarctica; Subantarctic; Magallanes; Cold-water filter feeders</t>
  </si>
  <si>
    <t>MARINE SPONGES; BACTERIAL COMMUNITY; HOST-SPECIFICITY; HOLOBIONT; TEMPERATURE; SYMBIONTS; ECOLOGY; VARIABILITY; DIVERSITY; EVOLUTION</t>
  </si>
  <si>
    <t>Sponges belonging to genus Mycale are common and widely distributed across the oceans and represent a significant component of benthic communities in term of their biomass, which in many species is largely composed by bacteria. However, the microbial communities associated with Mycale species inhabiting different geographical areas have not been previously compared. Here, we provide the first detailed description of the microbiota of two Mycale species inhabiting the sub-Antarctic Magellan region (53 degrees S) and the Western Antarctic Peninsula (62-64 degrees S), two geographically distant areas (&gt; 1,300 km) with contrasting environmental conditions. The sponges Mycale (Aegogropila) magellanica and Mycale (Oxymycale) acerata are both abundant members of benthic communities in the Magellan region and in Antarctica, respectively. High throughput sequencing revealed a remarkable similarity in the microbiota of both sponge species, dominated by Proteobacteria and Bacteroidetes, with both species sharing more than 74% of the OTUs. In contrast, 16% and 10% of the OTUs were found only in either M. magellanica or M. acerata, respectively. Interestingly, despite slight differences in the relative abundance, the most dominant OTUs were present in both species, whereas the unique OTUs had very low abundances (less than 1% of the total abundance). These results show a significant overlap among the microbiota of both Mycale species and also suggest the existence of a low level of specificity of the most dominant symbiont groups.</t>
  </si>
  <si>
    <t>[Cardenas, Cesar A.; Gonzalez-Aravena, Marcelo; Font, Alejandro] Inst Antartico Chileno, Dept Cient, Punta Arenas, Chile; [Hestetun, Jon T.] Univ Bergen, Dept Biol, Marine Biodivers Grp, Bergen, Norway; [Hajdu, Eduardo] Univ Fed Rio de Janeiro, Dept Invertebrados, Museu Nacl, Rio De Janeiro, Brazil; [Trefault, Nicole] Univ Mayor, GEMA Ctr Genom Ecol &amp; Environm, Santiago, Chile; [Malmbergg, Maja; Bongcarn-Rudloff, Erik] Swedish Univ Agr Sci, Dept Anim Breeding &amp; Genet, SLU Global Bioinformat Ctr, Uppsala, Sweden; [Malmbergg, Maja] Swedish Univ Agr Sci, Dept Biomed Sci &amp; Vet Publ Hlth, Sect Virol, Uppsala, Sweden</t>
  </si>
  <si>
    <t>University of Bergen; Universidade Federal do Rio de Janeiro; Universidad Mayor; Swedish University of Agricultural Sciences; Swedish University of Agricultural Sciences</t>
  </si>
  <si>
    <t>Cárdenas, CA (corresponding author), Inst Antartico Chileno, Dept Cient, Punta Arenas, Chile.</t>
  </si>
  <si>
    <t>ccardenas@inach.cl</t>
  </si>
  <si>
    <t>Cardenas, Cesar/ABF-1664-2020; Hestetun, Jon Thomassen/AAJ-2431-2020; González, Marcelo/ABF-1450-2020; Malmberg, Maja/H-1890-2014</t>
  </si>
  <si>
    <t>Hestetun, Jon Thomassen/0000-0003-2590-2433; Malmberg, Maja/0000-0002-4506-0408; Bongcam-Rudloff, Erik/0000-0002-1947-8288; Cardenas, Cesar/0000-0001-6662-6899; Gonzalez, Marcelo/0000-0001-9986-9504</t>
  </si>
  <si>
    <t>Comision de Ciencia y Tecnologia de Chile (CONICYT/FONDECYT/INACH/INICIACION) [11150129]; EU Marie Curie IRSES Project DEANN [PIRSES-GA-2013-612583]; National Council for Scientific and Technological Development [CNPq 476558/2012-3]; Carlos Chagas Filho Research Support Foundation of Rio de Janeiro State [FAPERJ E-26/102.292/2013]; Swedish Research Council for Environment, Agricultural Sciences and Spatial Planning, Formas [221-2012-586]</t>
  </si>
  <si>
    <t>Comision de Ciencia y Tecnologia de Chile (CONICYT/FONDECYT/INACH/INICIACION); EU Marie Curie IRSES Project DEANN(European Union (EU)Marie Curie Actions); National Council for Scientific and Technological Development(Conselho Nacional de Desenvolvimento Cientifico e Tecnologico (CNPQ)); Carlos Chagas Filho Research Support Foundation of Rio de Janeiro State; Swedish Research Council for Environment, Agricultural Sciences and Spatial Planning, Formas(Swedish Research Council Formas)</t>
  </si>
  <si>
    <t>This work was supported by the Comision de Ciencia y Tecnologia de Chile (CONICYT/FONDECYT/INACH/INICIACION/#11150129) and the EU Marie Curie IRSES Project DEANN (PIRSES-GA-2013-612583). Eduardo Hajdu received support from the National Council for Scientific and Technological Development grant (CNPq 476558/2012-3) and the Carlos Chagas Filho Research Support Foundation of Rio de Janeiro State (FAPERJ E-26/102.292/2013). Maja Malmberg received financial support from the Swedish Research Council for Environment, Agricultural Sciences and Spatial Planning, Formas (Grant Number 221-2012-586). The funders had no role in study design, data collection and analysis, decision to publish, or preparation of the manuscript.</t>
  </si>
  <si>
    <t>JUN 7</t>
  </si>
  <si>
    <t>e4935</t>
  </si>
  <si>
    <t>10.7717/peerj.4935</t>
  </si>
  <si>
    <t>GI7UF</t>
  </si>
  <si>
    <t>WOS:000434707000007</t>
  </si>
  <si>
    <t>Ottensmann, M; Stoffel, MA; Nichols, HJ; Hoffman, JI</t>
  </si>
  <si>
    <t>Ottensmann, Meinolf; Stoffel, Martin A.; Nichols, Hazel J.; Hoffman, Joseph I.</t>
  </si>
  <si>
    <t>GCalignR: An R package for aligning gas-chromatography data for ecological and evolutionary studies</t>
  </si>
  <si>
    <t>KIN RECOGNITION; ALIGNMENT; ALGORITHM</t>
  </si>
  <si>
    <t>Chemical cues are arguably the most fundamental means of animal communication and play an important role in mate choice and kin recognition. Consequently, there is growing interest in the use of gas chromatography (GC) to investigate the chemical basis of eco-evolutionary interactions. Both GC-MS (mass spectrometry) and FID (flame ionization detection) are commonly used to characterise the chemical composition of biological samples such as skin swabs. The resulting chromatograms comprise peaks that are separated according to their retention times and which represent different substances. Across chromatograms of different samples, homologous substances are expected to elute at similar retention times. However, random and often unavoidable experimental variation introduces noise, making the alignment of homologous peaks challenging, particularly with GC-FID data where mass spectral data are lacking. Here we present GCalignR, a user-friendly R package for aligning GC-FID data based on retention times. The package was developed specifically for ecological and evolutionary studies that seek to investigate similarity patterns across multiple and often highly variable biological samples, for example representing different sexes, age classes or reproductive stages. The package also implements dynamic visualisations to facilitate inspection and fine-tuning of the resulting alignments and can be integrated within a broader workflow in R to facilitate downstream multivariate analyses. We demonstrate an example workflow using empirical data from Antarctic fur seals and explore the impact of user-defined parameter values by calculating alignment error rates for multiple datasets. The resulting alignments had low error rates for most of the explored parameter space and we could also show that GCalignR performed equally well or better than other available software. We hope that GCalignR will help to simplify the processing of chemical datasets and improve the standardization and reproducibility of chemical analyses in studies of animal chemical communication and related fields.</t>
  </si>
  <si>
    <t>[Ottensmann, Meinolf; Stoffel, Martin A.; Hoffman, Joseph I.] Bielefeld Univ, Dept Anim Behav, Bielefeld, Germany; [Stoffel, Martin A.; Nichols, Hazel J.] Liverpool John Moores Univ, Sch Nat Sci &amp; Psychol, Fac Sci, Liverpool, Merseyside, England</t>
  </si>
  <si>
    <t>University of Bielefeld; Liverpool John Moores University</t>
  </si>
  <si>
    <t>Ottensmann, M (corresponding author), Bielefeld Univ, Dept Anim Behav, Bielefeld, Germany.</t>
  </si>
  <si>
    <t>meinolf.ottensmann@web.de</t>
  </si>
  <si>
    <t>Ottensmann, Meinolf/AAF-2032-2020; Hoffman, Joseph/K-7725-2012</t>
  </si>
  <si>
    <t>Ottensmann, Meinolf/0000-0003-3112-6928; Stoffel, Martin/0000-0003-4030-3543; Hoffman, Joseph/0000-0001-5895-8949</t>
  </si>
  <si>
    <t>Deutsche Forschungsgemeinschaft (DFG) [HO 5122/3-1]; Liverpool John Moores University</t>
  </si>
  <si>
    <t>Deutsche Forschungsgemeinschaft (DFG)(German Research Foundation (DFG)); Liverpool John Moores University</t>
  </si>
  <si>
    <t>This research was supported by a Deutsche Forschungsgemeinschaft (DFG) standard Grant (HO 5122/3-1) together with a dual PhD studentship from Liverpool John Moores University. The funders had no role in study design, data collection and analysis, decision to publish, or preparation of the manuscript.; We are grateful to Barbara Caspers and Sarah Goliike for helpful discussions and providing data for testing purposes during the development of the package. This research was supported by a Deutsche Forschungsgemeinschaft (DFG) standard Grant (HO 5122/3-1) to J.I.H. together with a dual PhD studentship from Liverpool John Moores University to M.A.S.</t>
  </si>
  <si>
    <t>e0198311</t>
  </si>
  <si>
    <t>10.1371/journal.pone.0198311</t>
  </si>
  <si>
    <t>GI5BF</t>
  </si>
  <si>
    <t>gold, Green Published, Green Submitted, Green Accepted</t>
  </si>
  <si>
    <t>WOS:000434384900030</t>
  </si>
  <si>
    <t>Huveneers, C; Watanabe, YY; Payne, NL; Semmens, JM</t>
  </si>
  <si>
    <t>Huveneers, Charlie; Watanabe, Yuuki Y.; Payne, Nicholas L.; Semmens, Jayson M.</t>
  </si>
  <si>
    <t>Interacting with wildlife tourism increases activity of white sharks</t>
  </si>
  <si>
    <t>accelerometry; Carcharodon carcharias; ecotourism; energy budget; metabolic rate</t>
  </si>
  <si>
    <t>LINEAR MIXED-MODEL; BEHAVIORAL-RESPONSES; CARCHARODON-CARCHARIAS; HUMAN DISTURBANCE; METABOLIC-RATE; ENVIRONMENTAL-CHANGE; BODY ACCELERATION; SOUTH-AUSTRALIA; DIVING TOURISM; ECOTOURISM</t>
  </si>
  <si>
    <t>Anthropogenic activities are dramatically changing marine ecosystems. Wildlife tourism is one of the fastest growing sectors of the tourism industry and has the potential to modify the natural environment and behaviour of the species it targets. Here, we used a novel method to assess the effects of wildlife tourism on the activity of white sharks (Carcharodon carcharias). High frequency three-axis acceleration loggers were deployed on ten white sharks for a total of similar to 9 days. A combination of multivariate and univariate analysis revealed that the increased number of strong accelerations and vertical movements when sharks are interacting with cage-diving operators result in an overall dynamic body acceleration (ODBA) similar to 61% higher compared with other times when sharks are present in the area where cage-diving occurs. Since ODBA is considered a proxy of metabolic rate, interacting with cage-divers is probably more costly than are normal behaviours of white sharks at the Neptune Islands. However, the overall impact of cage-diving might be small if interactions with individual sharks are infrequent. This study suggests wildlife tourism changes the instantaneous activity levels of white sharks, and calls for an understanding of the frequency of shark-tourism interactions to appreciate the net impact of ecotourism on this species' fitness.</t>
  </si>
  <si>
    <t>[Huveneers, Charlie] Flinders Univ S Australia, Coll Sci &amp; Engn, Adelaide, SA 5165, Australia; [Watanabe, Yuuki Y.; Payne, Nicholas L.] Natl Inst Polar Res, Tachikawa, Tokyo 1908518, Japan; [Watanabe, Yuuki Y.] SOKENDAI, Tachikawa, Tokyo 1908518, Japan; [Payne, Nicholas L.] Univ Roehampton, London SW15 4JD, England; [Semmens, Jayson M.] Univ Tasmania, Inst Marine &amp; Antarctic Studies, Fisheries &amp; Aquaculture Ctr, Taroona, Tas 7053, Australia</t>
  </si>
  <si>
    <t>Flinders University South Australia; Research Organization of Information &amp; Systems (ROIS); National Institute of Polar Research (NIPR) - Japan; Roehampton University; University of Tasmania</t>
  </si>
  <si>
    <t>Huveneers, C (corresponding author), Flinders Univ S Australia, Coll Sci &amp; Engn, Adelaide, SA 5165, Australia.</t>
  </si>
  <si>
    <t>Charlie.huveneers@flinders.edu.au</t>
  </si>
  <si>
    <t>Payne, Nicholas L/E-7811-2013; Watanabe, Yuuki/D-5079-2012</t>
  </si>
  <si>
    <t>Semmens, Jayson/0000-0003-1742-6692; Huveneers, Charlie/0000-0001-8937-1358; Payne, Nicholas/0000-0002-5274-471X; Watanabe, Yuuki/0000-0001-9731-1769</t>
  </si>
  <si>
    <t>Winifred Violet Scott Charitable Trust; Neiser Foundation; Nature Films Production; Japan Society for the Promotion of Science (JSPS) [25850138]; JSPS Invitational Fellowship for Research in Japan [L15560]; Grants-in-Aid for Scientific Research [16H04973, 25850138] Funding Source: KAKEN</t>
  </si>
  <si>
    <t>Winifred Violet Scott Charitable Trust; Neiser Foundation; Nature Films Production; Japan Society for the Promotion of Science (JSPS)(Ministry of Education, Culture, Sports, Science and Technology, Japan (MEXT)Japan Society for the Promotion of Science); JSPS Invitational Fellowship for Research in Japan; Grants-in-Aid for Scientific Research(Ministry of Education, Culture, Sports, Science and Technology, Japan (MEXT)Japan Society for the Promotion of ScienceGrants-in-Aid for Scientific Research (KAKENHI))</t>
  </si>
  <si>
    <t>This work was supported by the Winifred Violet Scott Charitable Trust; the Neiser Foundation; Nature Films Production; Grants-in-Aids for Scientific Research from the Japan Society for the Promotion of Science (JSPS) [25850138 to Y.Y.W.]; and a JSPS Invitational Fellowship for Research in Japan [L15560 to J.M.S.].</t>
  </si>
  <si>
    <t>JUN 6</t>
  </si>
  <si>
    <t>coy019</t>
  </si>
  <si>
    <t>10.1093/conphys/coy019</t>
  </si>
  <si>
    <t>GJ5ZP</t>
  </si>
  <si>
    <t>WOS:000435462600001</t>
  </si>
  <si>
    <t>Díaz, A; Gérard, K; González-Wevar, C; Maturana, C; Férai, JP; David, B; Saucède, T; Poulin, E</t>
  </si>
  <si>
    <t>Diaz, Angie; Gerard, Karin; Gonzalez-Wevar, Claudio; Maturana, Claudia; Ferai, Jean-Pierre; David, Bruno; Saucede, Thomas; Poulin, Elie</t>
  </si>
  <si>
    <t>Genetic structure and demographic inference of the regular sea urchin Sterechinus neumayeri (Meissner, 1900) in the Southern Ocean: The role of the last glaciation</t>
  </si>
  <si>
    <t>ANTARCTIC POLAR FRONT; MITOCHONDRIAL LINEAGES; TIME DEPENDENCY; CLIMATE-CHANGE; ICE-SHEET; MOLECULAR-BIOLOGY; SHETLAND ISLANDS; POPULATION; MARINE; DIVERSITY</t>
  </si>
  <si>
    <t>One of the most relevant characteristics of the extant Southern Ocean fauna is its resiliency to survive glacial processes of the Quaternary. These climatic events produced catastrophic habitat reductions and forced some marine benthic species to move, adapt or go extinct. The marine benthic species inhabiting the Antarctic upper continental shelf faced the Quaternary glaciations with different strategies that drastically modified population sizes and thus affected the amount and distribution of intraspecific genetic variation. Here we present new genetic information for the most conspicuous regular sea urchin of the Antarctic continental shelf, Sterechinus neumayeri. We studied the patterns of genetic diversity and structure in this broadcast-spawner across three Antarctic regions: Antarctic Peninsula, the Weddell Sea and Adelie Land in East Antarctica. Genetic analyses based on mitochondrial and nuclear markers suggested that S. neumayeri is a single genetic unit around the Antarctic continent. The species is characterized by low levels of genetic diversity and exhibits a typical star-like haplotype genealogy that supports the hypothesis of a single in situ refugium. Based on two mutation rates standardized for this genus, the Bayesian Skyline plot analyses detected a rapid demographic expansion after the Last Glacial Maximum. We propose a scenario of rapid postglacial expansion and recolonization of Antarctic shallow areas from a less ice-impacted refugium where the species survived the LGM. Considering the patterns of genetic diversity and structure recorded in the species, this refugium was probably located in East Antarctica.</t>
  </si>
  <si>
    <t>[Diaz, Angie] Univ Concepcion, Dept Zool, Barrio Univ S-N, Concepcion, Chile; [Gerard, Karin] Univ Magallanes, Fac Ciencias, Bulnes, Punta Arenas, Chile; [Gerard, Karin; Gonzalez-Wevar, Claudio] Univ Magallanes, Lab Ecol Mol Antartica &amp; Subantartica, Punta Arenas, Chile; [Gonzalez-Wevar, Claudio] Univ Austral Chile, Fac Ciencias, Inst Ciencias Marinas &amp; Limnol, Valdivia, Chile; [Gonzalez-Wevar, Claudio; Maturana, Claudia; Poulin, Elie] Univ Chile, Fac Ciencias, IEB, Dept Ciencias Ecol, Santiago, Chile; [Ferai, Jean-Pierre; Saucede, Thomas] Inst Mediterraneen Biodiversite &amp; Ecol Marine &amp; C, IMBE, Stn Marine Endoume, UMR 7263, Chemin Batterie Lions, Marseille, France; [David, Bruno] Univ Bourgogne, CNRS, UMR 6282, Biogeosci, Blvd Gabriel, Dijon, France; [David, Bruno] Museum Natl Hist Nat, Paris, France</t>
  </si>
  <si>
    <t>Universidad de Concepcion; Universidad de Magallanes; Universidad de Magallanes; Universidad Austral de Chile; Universidad de Chile; Centre National de la Recherche Scientifique (CNRS); CNRS - Institute of Ecology &amp; Environment (INEE); Aix-Marseille Universite; Institut de Recherche pour le Developpement (IRD); Universite de Bourgogne; Centre National de la Recherche Scientifique (CNRS); Museum National d'Histoire Naturelle (MNHN)</t>
  </si>
  <si>
    <t>Díaz, A (corresponding author), Univ Concepcion, Dept Zool, Barrio Univ S-N, Concepcion, Chile.</t>
  </si>
  <si>
    <t>angie.ddl@gmail.com</t>
  </si>
  <si>
    <t>Poulin, Elie/C-2654-2012; Gerard, Karin/H-6245-2014; FERAL, Jean-Pierre/M-9608-2019; Gérard, Karin/AAC-4911-2021; González-Wevar, Claudio Alejandro/AAD-6513-2021; DAVID, Bruno/N-8798-2013; Diaz, Angie/I-8033-2016</t>
  </si>
  <si>
    <t>Poulin, Elie/0000-0001-7736-0969; FERAL, Jean-Pierre/0000-0001-7627-0160; Gérard, Karin/0000-0003-0596-1348; Diaz, Angie/0000-0003-4944-588X</t>
  </si>
  <si>
    <t>Institute Antartico Chileno (INACH) [D05-09]; Comision Nacional de Investigacion Cientifica y Tecnologica (Conicyt) [D-21080136]; Fondo Nacional de Desarrollo Cientifico y Tecnologico (Fondecyt) [3130677]; Universidad de Concepcion [217.113.093-1]; Fondecyt [1161358, 1151336, 11140087]; INACH [RG_18-17, DT_04-16]; Conicyt [2115017]; Iniciativa Cientifica Milenio (ICM) projects [P05-002]; Programa de Financiamiento Basal (Institute de Ecologia y Biodiversidad - IEB) [PFB 023]; Programa de Investigacion Asociativa PIA-CONICYT [ACT172065]; Fondo de Financiamiento de Centros de Investigacion en Areas Prioritarias (FONDAP) [15150003]; Centro de Investigacion Dinamica de Ecosistemas Marinos (IDEAL)</t>
  </si>
  <si>
    <t>Institute Antartico Chileno (INACH); Comision Nacional de Investigacion Cientifica y Tecnologica (Conicyt)(Comision Nacional de Investigacion Cientifica y Tecnologica (CONICYT)); Fondo Nacional de Desarrollo Cientifico y Tecnologico (Fondecyt)(Comision Nacional de Investigacion Cientifica y Tecnologica (CONICYT)CONICYT FONDECYT); Universidad de Concepcion; Fondecyt(Comision Nacional de Investigacion Cientifica y Tecnologica (CONICYT)CONICYT FONDECYT); INACH; Conicyt(Comision Nacional de Investigacion Cientifica y Tecnologica (CONICYT)); Iniciativa Cientifica Milenio (ICM) projects; Programa de Financiamiento Basal (Institute de Ecologia y Biodiversidad - IEB); Programa de Investigacion Asociativa PIA-CONICYT; Fondo de Financiamiento de Centros de Investigacion en Areas Prioritarias (FONDAP)(Comision Nacional de Investigacion Cientifica y Tecnologica (CONICYT)CONICYT FONDAP); Centro de Investigacion Dinamica de Ecosistemas Marinos (IDEAL)</t>
  </si>
  <si>
    <t>This study was funded by the Institute Antartico Chileno (INACH) grant D05-09 and the Comision Nacional de Investigacion Cientifica y Tecnologica (Conicyt) Ph.D. Grant D-21080136 to AD. We also are grateful to the following projects: Fondo Nacional de Desarrollo Cientifico y Tecnologico (Fondecyt) Post Ph.D. project 3130677 and Universidad de Concepcion Internal project 217.113.093-1 to AD, regular Fondecyt project 1161358 to KG, regular Fondecyt project 1151336 to KG, Initiation Fondecyt Project 11140087 and INACH RG_18-17 to CAG-W, and Conicyt Ph.D. Grant 2115017 and INACH project DT_04-16 to CM. Finally, we mostly appreciate the support of the Iniciativa Cientifica Milenio (ICM) projects P05-002 and the Programa de Financiamiento Basal PFB 023 (Institute de Ecologia y Biodiversidad - IEB) to EP and CAG-W, the Programa de Investigacion Asociativa PIA-CONICYT ACT172065 to EP, AD, KG and CAG-W, and the Fondo de Financiamiento de Centros de Investigacion en Areas Prioritarias (FONDAP) project No15150003, Centro de Investigacion Dinamica de Ecosistemas Marinos (IDEAL). There was no additional external funding received for this study. All the specimens were collected under the regulation of the Chilean Antarctic Institute (INACH). The funders had no role in study design, data collection and analysis, decision to publish, or preparation of the manuscript.</t>
  </si>
  <si>
    <t>e0197611</t>
  </si>
  <si>
    <t>10.1371/journal.pone.0197611</t>
  </si>
  <si>
    <t>GI4VN</t>
  </si>
  <si>
    <t>WOS:000434369400030</t>
  </si>
  <si>
    <t>De Deckker, P</t>
  </si>
  <si>
    <t>De Deckker, Patrick</t>
  </si>
  <si>
    <t>On the long-ignored scientific achievements of the Belgica expedition 1897-1899</t>
  </si>
  <si>
    <t>Antarctic Peninsula; Gerlache Strait; climate change; glaciology; meteorology; oceanography</t>
  </si>
  <si>
    <t>ANTARCTIC PENINSULA; ICE-SHEET</t>
  </si>
  <si>
    <t>The Belgica expedition, which left Belgium in August 1897, was the first to spend 13 months continuously in Antarctic waters, before returning in late 1899. This was not only an exploratory venture, as new lands and oceans were charted, but more importantly it was an exceptional and successful scientific voyage. After the return of the expedition, a vast array of scientific data was processed and eventually 92 publications in some nine volumes funded by the Belgica Commission appeared over 40 years as a series called Resultats du voyage de la Belgica en 1897-99 sous le commandement de A. de Gerlache de Gomery - rapports scientifiques. Disappointingly, those significant results have been mostly ignored in the scientific literature and the paper here aims to inform scientists of the achievements of the Belgica expedition and where to obtain the information. Many of the climatological and oceanographic data obtained by the expeditioners ought to be examined in line with the changes that are occurring today in the Antarctic Peninsula region as a result of global warming. Some of the Belgica data form an important database to critically assess environmental changes over 120 years in the region of the Antarctic Peninsula.</t>
  </si>
  <si>
    <t>[De Deckker, Patrick] Australian Natl Univ, Res Sch Earth Sci, Canberra, ACT 2601, Australia</t>
  </si>
  <si>
    <t>De Deckker, P (corresponding author), Australian Natl Univ, Res Sch Earth Sci, Canberra, ACT 2601, Australia.</t>
  </si>
  <si>
    <t>patrick.dedeckker@anu.edu.au</t>
  </si>
  <si>
    <t>De Deckker, Patrick/0000-0003-3003-5143</t>
  </si>
  <si>
    <t>10.1080/17518369.2018.1474695</t>
  </si>
  <si>
    <t>GI3JU</t>
  </si>
  <si>
    <t>WOS:000434268400001</t>
  </si>
  <si>
    <t>Biersma, EM; Jackson, JA; Stech, M; Griffiths, H; Linse, K; Convey, P</t>
  </si>
  <si>
    <t>Biersma, Elisabeth M.; Jackson, Jennifer A.; Stech, Michael; Griffiths, Howard; Linse, Katrin; Convey, Peter</t>
  </si>
  <si>
    <t>Molecular Data Suggest Long-Term in Situ Antarctic Persistence Within Antarctica's Most Speciose Plant Genus, Schistidium</t>
  </si>
  <si>
    <t>bryophyte; polar; biogeography; biodiversity; survival; Antarctic; moss; bipolar</t>
  </si>
  <si>
    <t>SEXUAL REPRODUCTION; POPULATION-GENETICS; TAXONOMIC REVISION; PHYLOGENY; GRIMMIACEAE; DELIMITATIONS; CONSERVATION; BIOGEOGRAPHY; HAPLOTYPES; BRYOPHYTA</t>
  </si>
  <si>
    <t>From glacial reconstructions it is clear that Antarctic terrestrial life must have been extremely limited throughout Quaternary glacial periods. In contrast, recent biological studies provide clear evidence for long-term in situ persistence throughout glacial times within most extant Antarctic faunal and several microbial groups. However, even now, the evolutionary history of the Antarctic flora-despite playing major role in Antarctic ecosystems- remains poorly studied. We assessed the diversity, richness and relative age divergences within Schistidium (Grimmiaceae, Bryophyta), the most species-rich plant genus in the Antarctic, as well as the plant genus containing most Antarctic endemic species. We applied phylogenetic and molecular dating methods based on nuclear ribosomal Internal Transcribed Spacer sequences, including all known Antarctic Schistidium species with available sample material. We additionally investigated the continent-wide genetic diversity within the most common Antarctic representative of the genus-the endemic species Schistidium antarctici-and performed preliminary phylogeographic analyses of the bipolar species Schistidium rivulare. Most previously described Antarctic Schistidium species were genetically distinct, confirming their specific status. Interspecific divergences of all species took place at least similar to 1 Mya, suggesting a likely in situ persistence in Antarctica for (at least) all endemic Schistidium species. The widespread endemic species, Schistidium antarctici, diverged from other Antarctic congeners in the late Miocene, thereby revealing the oldest extant plant species currently known in Antarctica, and providing increasing support for the hypothesis of vegetation survival through multiple glacial periods. Within S. antarctic! we identified several distinct clades dividing the eastern Antarctic Peninsula and Scotia Arc islands from the western Antarctic Peninsula and all continental locations. This suggests that the mountainous spine on the Antarctic Peninsula forms a strong barrier to gene flow in this species, while increased genetic diversity in the northern Maritime Antarctic indicates likely glacial refugia in this area. This study provides an important first step toward assessing the diversity and evolutionary history of the most speciose moss genus in the Antarctic. The multi-million year presence of several endemic species contributes to studies on their adaptive potential to survive climate change over both historical and contemporary timescales.</t>
  </si>
  <si>
    <t>[Biersma, Elisabeth M.; Jackson, Jennifer A.; Linse, Katrin; Convey, Peter] British Antarctic Survey, Cambridge, England; [Biersma, Elisabeth M.; Griffiths, Howard] Univ Cambridge, Dept Plant Sci, Cambridge, England; [Stech, Michael] Naturalis Biodivers Ctr, Leiden, Netherlands; [Stech, Michael] Leiden Univ, Leiden, Netherlands</t>
  </si>
  <si>
    <t>UK Research &amp; Innovation (UKRI); Natural Environment Research Council (NERC); NERC British Antarctic Survey; University of Cambridge; Naturalis Biodiversity Center; Leiden University; Leiden University - Excl LUMC</t>
  </si>
  <si>
    <t>Biersma, EM (corresponding author), British Antarctic Survey, Cambridge, England.;Biersma, EM (corresponding author), Univ Cambridge, Dept Plant Sci, Cambridge, England.</t>
  </si>
  <si>
    <t>elibi@bas.ac.uk</t>
  </si>
  <si>
    <t>Jackson, Jennifer A/E-7997-2013; Biersma, Elisabeth Machteld/AAL-9818-2020; Biersma, Elisabeth Machteld/JKI-1084-2023; Convey, Peter/AAV-5728-2020</t>
  </si>
  <si>
    <t>Biersma, Elisabeth Machteld/0000-0002-9877-2177; Convey, Peter/0000-0001-8497-9903; Jackson, Jennifer/0000-0003-4158-1924</t>
  </si>
  <si>
    <t>Natural Environment Research Council (NERC) [NE/K50094X/1]; NERC; NERC [bas0100036, NE/K50094X/1] Funding Source: UKRI</t>
  </si>
  <si>
    <t>Natural Environment Research Council (NERC)(UK Research &amp; Innovation (UKRI)Natural Environment Research Council (NERC)); NERC(UK Research &amp; Innovation (UKRI)Natural Environment Research Council (NERC)); NERC(UK Research &amp; Innovation (UKRI)Natural Environment Research Council (NERC))</t>
  </si>
  <si>
    <t>We thank Sharon Robinson for providing new sample material from Wilkes Land, the curators of the AAS herbarium at the British Antarctic Survey (BAS), UK, and the Herbarium of the Botanic Garden Meise, Belgium, for providing herbarium material. The support of the Instituto Antartico Chileno (INACH) in assisting the authors' (EB and PC) collection of fresh specimens is gratefully acknowledged. We are grateful to Laura Gerrish (MAGIC, BAS) for preparing part of Figure 3. This study was funded by a Natural Environment Research Council (NERC) PhD studentship (ref NE/K50094X/1) to EB and NERC core funding to the BAS Biodiversity, Evolution and Adaptation Team. It also contributes to the Scientific Committee on Antarctic Research (SCAR) State of the Antarctic Ecosystem program.</t>
  </si>
  <si>
    <t>JUN 5</t>
  </si>
  <si>
    <t>10.3389/fevo.2018.00077</t>
  </si>
  <si>
    <t>HC2WO</t>
  </si>
  <si>
    <t>WOS:000451662800001</t>
  </si>
  <si>
    <t>Staniland, LJ; Ratcliffe, N; Trathan, PN; Forcada, J</t>
  </si>
  <si>
    <t>Staniland, Iain J.; Ratcliffe, Norman; Trathan, Philip N.; Forcada, Jaume</t>
  </si>
  <si>
    <t>Long term movements and activity patterns of an Antarctic marine apex predator: The leopard seal</t>
  </si>
  <si>
    <t>HYDRURGA-LEPTONYX; WINTER DISPERSAL; PRYDZ BAY; FUR SEALS; BEHAVIOR; ABUNDANCE; RATES</t>
  </si>
  <si>
    <t>Leopard seals are an important Antarctic apex predator that can affect marine ecosystems through local predation. Here we report on the successful use of micro geolocation logging sensor tags to track the movements, and activity, of four leopard seals for trips of between 142-446 days including one individual in two separate years. Whilst the sample size is small the results represent an advance in our limited knowledge of leopard seals. We show the longest periods of tracking of leopard seals' migratory behaviour between the pack ice, close to the Antarctic continent, and the sub-Antarctic island of South Georgia. It appears that these tracked animals migrate in a directed manner towards Bird Island and, during their residency, use this as a central place for foraging trips as well as exploiting the local penguin and seal populations. Movements to the South Orkney Islands were also recorded, similar to those observed in other predators in the region including the krill fishery. Analysis of habitat associations, taking into account location errors, indicated the tracked seals had an affinity for shallow shelf water and regions of sea ice. Wet and dry sensors revealed that seals hauled out for between 22 and 31% of the time with maximum of 74 hours and a median of between 9 and 11 hours. The longest period a seal remained in the water was between 13 and 25 days. Fitting GAMMs showed that haul out rates changed throughout the year with the highest values occurring during the summer which has implications for visual surveys. Peak haul out occurred around midday for the months between October and April but was more evenly spread across the day between May and September. The seals' movements between, and behaviour within, areas important to breeding populations of birds and other seals, coupled with the dynamics of the region's fisheries, shows an understanding of leopard seal ecology is vital in the management of the Southern Ocean resources.</t>
  </si>
  <si>
    <t>[Staniland, Iain J.; Ratcliffe, Norman; Trathan, Philip N.; Forcada, Jaume] Nat Environm Reach Council, British Antarct Survey, Cambridge, Cambs, England</t>
  </si>
  <si>
    <t>Staniland, LJ (corresponding author), Nat Environm Reach Council, British Antarct Survey, Cambridge, Cambs, England.</t>
  </si>
  <si>
    <t>ijst@bas.ac.uk</t>
  </si>
  <si>
    <t>Forcada, Jaume/GYU-0677-2022</t>
  </si>
  <si>
    <t>Staniland, Iain/0000-0003-2736-9134</t>
  </si>
  <si>
    <t>BAS (The British Antarctic Survey); Natural Environmental Research Council; NERC [bas0100035] Funding Source: UKRI</t>
  </si>
  <si>
    <t>BAS (The British Antarctic Survey); Natural Environmental Research Council(UK Research &amp; Innovation (UKRI)Natural Environment Research Council (NERC)); NERC(UK Research &amp; Innovation (UKRI)Natural Environment Research Council (NERC))</t>
  </si>
  <si>
    <t>This work was supported by BAS (The British Antarctic Survey) core funding and the Natural Environmental Research Council. The funders had no role in study design, data collection and analysis, decision to publish, or preparation of the manuscript.</t>
  </si>
  <si>
    <t>e0197767</t>
  </si>
  <si>
    <t>10.1371/journal.pone.0197767</t>
  </si>
  <si>
    <t>GI1KD</t>
  </si>
  <si>
    <t>WOS:000434128400007</t>
  </si>
  <si>
    <t>Pärn, J; Affolter, S; Ivask, J; Johnson, S; Kirsimäe, K; Leuenberger, M; Martma, T; Raidla, V; Schloemer, S; Sepp, H; Vaikmäe, R; Walraevens, K</t>
  </si>
  <si>
    <t>Parn, Joonas; Affolter, Stephane; Ivask, Juri; Johnson, Sean; Kirsimae, Kalle; Leuenberger, Markus; Martma, Tonu; Raidla, Valle; Schloemer, Stefan; Sepp, Holar; Vaikmae, Rein; Walraevens, Kristine</t>
  </si>
  <si>
    <t>Redox zonation and organic matter oxidation in palaeogroundwater of glacial origin from the Baltic Artesian Basin</t>
  </si>
  <si>
    <t>Palaeohydrogeology; Redox zonation; Isotopic composition of sulphate; Bacterial sulphate reduction</t>
  </si>
  <si>
    <t>CAMBRIAN-VENDIAN AQUIFER; BACTERIAL SULFATE REDUCTION; SULFUR ISOTOPE FRACTIONATION; SHALLOW SANDY AQUIFER; OXYGEN-ISOTOPE; GEOCHEMICAL EVOLUTION; DISSOLVED SULFATE; DISSIMILATORY SULFATE; MICROBIAL COMMUNITIES; SEAWATER CHEMISTRY</t>
  </si>
  <si>
    <t>Ordovician-Cambrian aquifer system (O-Cm) in the northern part of the Baltic Artesian Basin (BAB), Estonia, is part of a unique groundwater reservoir where groundwater originating from glacial meltwater recharge from the Scandinavian Ice Sheet is preserved. The distribution of redox zones in the anoxic O-Cm aquifer system is unusual. Strongly reducing conditions are found near the modern recharge area characterized by low concentrations of sulphate (&lt; 5 mg.L-1) and the presence of CH4 (up to 3.26 vol%). The concentrations of SO42-increase and concentrations of CH4 decrease farther down the groundwater flow path. Sulphate in fresh glacial palaeogroundwater originates probably from pyrite oxidation while brackish waters have gained their sulphate through mixing with relict saline formation waters residing in the deeper parts of the aquifer system. Stable isotopic composition of sulphate, especially relations between delta O-18(SO4)- delta O-18(water) (Delta O-18(SO4-) (H2O) from + 20.5 to + 31.1 parts per thousand) and delta S-34(SO4)-delta S-34(H2S) (Delta S-34(SO4-) (H2S) value of + 47.9 parts per thousand) support a widespread occurrence of bacterial sulphate reduction in fresh glacial palaeogroundwater. We propose, that the observed unusual redox zonation is a manifestation of two different flow systems in the O-Cm aquifer system: 1) the topographically driven flow system which drives the infiltration of waters through the overlying carbonate formation in the modern recharge area; 2) the relict flow system farther down the groundwater flow path which developed as a response to large hydraulic gradients imposed by the Scandinavian Ice Sheet in Pleistocene. Thus, the strongly reducing conditions surrounding the modern recharge area may show the extent to which post-glacial recharge has influenced the aquifer system. O-Cm aquifer system is an example of an aquifer that has not reached a near-equilibrium state with respect to present day flow conditions and still exhibits hydrogeochemical patterns established under the influence of a continental ice sheet in Pleistocene.</t>
  </si>
  <si>
    <t>[Parn, Joonas; Ivask, Juri; Martma, Tonu; Raidla, Valle; Vaikmae, Rein] Tallinn Univ Technol, Dept Geol, Ehitajate Tee 5, EE-19086 Tallinn, Estonia; [Parn, Joonas; Raidla, Valle] Geol Survey Estonia, Dept Hydrogeol &amp; Environm Geol, Kreutzwaldi 5, EE-44314 Rakvere, Estonia; [Affolter, Stephane; Leuenberger, Markus] Univ Bern, Inst Phys, Climate &amp; Environm Phys, CH-3012 Bern, Switzerland; [Affolter, Stephane] Int Fdn High Altitude Res Stn Jungfraujoch &amp; Gorn, CH-3012 Bern, Switzerland; [Johnson, Sean] Univ Coll Cork, Sch Biol Earth &amp; Environm Sci, iCRAG, Cork, Ireland; [Johnson, Sean] Univ Tasmania, Inst Marine &amp; Antarctic Sci, Hobart, Tas, Australia; [Kirsimae, Kalle; Sepp, Holar] Univ Tartu, Dept Geol, Ravila 14a, EE-50411 Tartu, Estonia; [Schloemer, Stefan] Fed Inst Geosci &amp; Nat Resources BGR, D-30655 Hannover, Germany; [Walraevens, Kristine] Univ Ghent, Lab Appl Geol &amp; Hydrogeol, B-9000 Ghent, Belgium</t>
  </si>
  <si>
    <t>Tallinn University of Technology; University of Bern; University College Cork; University of Tasmania; University of Tartu; Ghent University</t>
  </si>
  <si>
    <t>Pärn, J (corresponding author), Tallinn Univ Technol, Dept Geol, Ehitajate Tee 5, EE-19086 Tallinn, Estonia.</t>
  </si>
  <si>
    <t>joonas.parn@ttu.ee</t>
  </si>
  <si>
    <t>Affolter, Stéphane/HMD-8494-2023; Raidla, Valle/M-7827-2019; Vaikmäe, Rein/H-2691-2019; Leuenberger, Markus C/K-9655-2016; Pärn, Joonas/B-7805-2019; Pärn, Joonas/AAC-9479-2022; Kirsimäe, Kalle/H-9610-2018; Vaikmae, Rein/A-8509-2012; Raidla, Valle/H-4813-2012; Martma, Tonu/B-7386-2019; Ivask, Juri/B-7953-2019</t>
  </si>
  <si>
    <t>Affolter, Stéphane/0000-0002-6646-9018; Vaikmäe, Rein/0000-0002-9837-163X; Leuenberger, Markus C/0000-0003-4299-6793; Pärn, Joonas/0000-0002-7161-2923; Kirsimäe, Kalle/0000-0002-1221-3623; Raidla, Valle/0000-0003-3153-5836; Martma, Tonu/0000-0001-5894-7692; Ivask, Juri/0000-0001-8542-4280; Johnson, Sean/0000-0001-9015-3809; Schloemer, Stefan/0000-0002-7706-4235</t>
  </si>
  <si>
    <t>Estonian Research Council Project [IUT19-22, PUTJD127]; Archimedes Foundation [16-3.5/948]</t>
  </si>
  <si>
    <t>Estonian Research Council Project(Estonian Research Council); Archimedes Foundation</t>
  </si>
  <si>
    <t>The activities of the present study were supported by the Estonian Research Council Project IUT19-22 (R.V.), PUTJD127 (V.R.) and Archimedes Foundation (16-3.5/948) Kristjan Jaak Scholarship (J.P.). The paper is a contribution to the INQUA/UNESCO supported G@GPS Project. The authors would like to thank Zoltan Kern from the Research Centre for Astronomy and Earth Sciences, Budapest and Balazs Kohan from Eotvos Lorand University for their help in preparing the spatial distribution maps for Fe2+ and S42- presented in the study. Authors would also like to thank Konrads Popovs from University of Latvia, Riga for helping with data concerning Cambrian aquifer system in Latvia. Last but not least, we would like to thank Jill Van Reybrouck for Mnand Fe-measurements carried out in Ghent University and Reeli Parn for linguistic improvements. The manuscript was substantially improved by constructive comments by Ian Cartwright and Francis H. Chapelle.</t>
  </si>
  <si>
    <t>10.1016/j.chemgeo.2018.04.027</t>
  </si>
  <si>
    <t>GG2MY</t>
  </si>
  <si>
    <t>WOS:000432528200012</t>
  </si>
  <si>
    <t>Adam, MK; Jarrett-Wilkins, C; Beards, M; Staykov, E; MacFarlane, LR; Bell, TDM; Matthews, JM; Manners, I; Faul, CFJ; Moens, PDJ; Ben, RN; Wilkinson, BL</t>
  </si>
  <si>
    <t>Adam, Madeleine K.; Jarrett-Wilkins, Charles; Beards, Michael; Staykov, Emiliyan; MacFarlane, Liam R.; Bell, Toby D. M.; Matthews, Jacqueline M.; Manners, Ian; Faul, Charl F. J.; Moens, Pierre D. J.; Ben, Robert N.; Wilkinson, Brendan L.</t>
  </si>
  <si>
    <t>1D Self-Assembly and Ice Recrystallization Inhibition Activity of Antifreeze Glycopeptide-Functionalized Perylene Bisimides</t>
  </si>
  <si>
    <t>CHEMISTRY-A EUROPEAN JOURNAL</t>
  </si>
  <si>
    <t>1D self-assembly; antifreeze glycopeptides; perylene bisimides; pi interactions; soft matter</t>
  </si>
  <si>
    <t>POLY(VINYL ALCOHOL); BIOLOGICAL APPLICATIONS; FREEZING RESISTANCE; PHYSICAL-PROPERTIES; ANTARCTIC FISHES; BUILDING-BLOCKS; POLAR FISH; PI-STACKS; GLYCOPROTEINS; WATER</t>
  </si>
  <si>
    <t>Antifreeze glycoproteins (AFGPs) are polymeric natural products that have drawn considerable interest in diverse research fields owing to their potent ice recrystallization inhibition (IRI) activity. Self-assembled materials have emerged as a promising class of biomimetic ice growth inhibitor, yet the development of AFGP-based supramolecular materials that emulate the aggregative behavior of AFGPs have not yet been reported. This work reports the first example of the 1D self-assembly and IRI activity of AFGP-functionalized perylene bisimides (AFGP-PBIs). Glycopeptide-functionalized PBIs underwent 1D self-assembly in water and showed modest IRI activity, which could be tuned through substitution of the PBI core. This work presents essential proof-of-principle for the development of novel IRIs as potential supramolecular cryoprotectants and glycoprotein mimics.</t>
  </si>
  <si>
    <t>[Moens, Pierre D. J.; Wilkinson, Brendan L.] Univ New England, Sch Sci &amp; Technol, Armidale, NSW 2351, Australia; [Adam, Madeleine K.; Staykov, Emiliyan; Ben, Robert N.] Univ Ottawa, Dept Chem &amp; Biomol Sci, Ottawa, ON K1N 6N5, Canada; [Jarrett-Wilkins, Charles; MacFarlane, Liam R.; Manners, Ian; Faul, Charl F. J.] Univ Bristol, Sch Chem, Bristol BS8 1TS, Avon, England; [Beards, Michael; Bell, Toby D. M.] Monash Univ, Sch Chem, Melbourne, Vic 3800, Australia; [Matthews, Jacqueline M.] Univ Sydney, Sch Life &amp; Environm Sci, Sydney, NSW 2006, Australia</t>
  </si>
  <si>
    <t>University of New England; University of Ottawa; University of Bristol; Monash University; University of Sydney</t>
  </si>
  <si>
    <t>Wilkinson, BL (corresponding author), Univ New England, Sch Sci &amp; Technol, Armidale, NSW 2351, Australia.</t>
  </si>
  <si>
    <t>Brendan.wilkinson@une.edu.au</t>
  </si>
  <si>
    <t>Matthews, Jacqueline M/A-7322-2013; Bell, Toby/D-5776-2019; Moens, Pierre/B-9076-2009; Faul, Charl/D-7859-2016</t>
  </si>
  <si>
    <t>Bell, Toby/0000-0002-4570-5595; Ben, Robert/0000-0002-4625-5389; Wilkinson, Brendan/0000-0003-1866-6540; Moens, Pierre/0000-0003-3121-5306; MacFarlane, Liam/0000-0002-4196-3431; Faul, Charl/0000-0001-6224-3073</t>
  </si>
  <si>
    <t>Australian Research Council DECRA award [DE130101673]; University of New England; Natural Sciences and Engineering Research Council of Canada (NSERC); Canadian Blood Services (CBS); Canadian Institutes of Health Research (CIHR); NSERC; Australian Research Council [DE130101673] Funding Source: Australian Research Council; EPSRC [EP/L022532/1] Funding Source: UKRI</t>
  </si>
  <si>
    <t>Australian Research Council DECRA award(Australian Research Council); University of New England; Natural Sciences and Engineering Research Council of Canada (NSERC)(Natural Sciences and Engineering Research Council of Canada (NSERC)); Canadian Blood Services (CBS); Canadian Institutes of Health Research (CIHR)(Canadian Institutes of Health Research (CIHR)); NSERC(Natural Sciences and Engineering Research Council of Canada (NSERC)); Australian Research Council(Australian Research Council); EPSRC(UK Research &amp; Innovation (UKRI)Engineering &amp; Physical Sciences Research Council (EPSRC))</t>
  </si>
  <si>
    <t>B.W. would like to thank the Australian Research Council DECRA award (DE130101673) and the University of New England for funding. R.N.B. acknowledges the Natural Sciences and Engineering Research Council of Canada (NSERC), Canadian Blood Services (CBS) and Canadian Institutes of Health Research (CIHR) for financial support. M.K.A. and E.S. would like to thank NSERC for a Canada Graduate Scholarship (CGS D) and Undergraduate Student Research Award (USRA), respectively.</t>
  </si>
  <si>
    <t>0947-6539</t>
  </si>
  <si>
    <t>1521-3765</t>
  </si>
  <si>
    <t>CHEM-EUR J</t>
  </si>
  <si>
    <t>Chem.-Eur. J.</t>
  </si>
  <si>
    <t>JUN 4</t>
  </si>
  <si>
    <t>10.1002/chem.201800857</t>
  </si>
  <si>
    <t>Chemistry, Multidisciplinary</t>
  </si>
  <si>
    <t>GI2QN</t>
  </si>
  <si>
    <t>WOS:000434216600006</t>
  </si>
  <si>
    <t>Markham, E; Brault, EK; Khairy, M; Robuck, AR; Goebel, ME; Cantwell, MG; Dickhut, RM; Lohmann, R</t>
  </si>
  <si>
    <t>Markham, Erin; Brault, Emily K.; Khairy, Mohammed; Robuck, Anna R.; Goebel, Michael E.; Cantwell, Mark G.; Dickhut, Rebecca M.; Lohmann, Rainer</t>
  </si>
  <si>
    <t>Time Trends of Polybrominated Diphenyl Ethers (PBDEs) in Antarctic Biota</t>
  </si>
  <si>
    <t>ACS OMEGA</t>
  </si>
  <si>
    <t>PERSISTENT ORGANIC POLLUTANTS; BROMINATED FLAME RETARDANTS; GEORGE ISLAND; ATMOSPHERE; BEHAVIOR; PREDATOR; LEGACY; PCBS; MILK; POPS</t>
  </si>
  <si>
    <t>Polybrominated diphenyl ethers (PBDEs) are emerged contaminants that were produced and used as flame retardants in numerous consumer and industrial applications for decades until banned. They remain ubiquitously present in the environment today. Here, a unique set of &gt;200 biotic samples from the Antarctic was analyzed for PBDEs, including phytoplankton, krill, fish, and fur seal milk, spanning several sampling seasons over 14 years. PBDE-47 and -99 were the dominant congeners determined in all samples, constituting &gt; 60% of total PBDEs. A temporal trend was observed for Sigma 7PBDE concentrations in fur seal milk, where concentrations significantly increased (R-2 = 0.57, p &lt; 0.05) over time (2000-2014). Results for krill and phytoplankton also suggested increasing PBDE concentrations over time. Trends of PBDEs in fur seal milk of individual seals sampled 1 or more years apart showed no clear temporal trends. Overall, there was no indication of PBDEs decreasing in Antarctic biota yet, whereas numerous studies have reported decreasing trends in the northern hemisphere. Similar PBDE concentrations in perinatal versus nonperinatal milk implied the importance of local PBDE sources for bioaccumulation. These results indicate the need for continued assessment of contaminant trends, such as PBDEs, and their replacements, in Antarctica.</t>
  </si>
  <si>
    <t>[Markham, Erin; Khairy, Mohammed; Robuck, Anna R.; Lohmann, Rainer] Univ Rhode Isl, Grad Sch Oceanog, 215 South Ferry Rd, Narragansett, RI 02882 USA; [Brault, Emily K.; Dickhut, Rebecca M.] Virginia Inst Marine Sci, 1208 Greate Rd, Gloucester Point, VA 23062 USA; [Goebel, Michael E.] NOAA Fisheries, Antarctic Ecosyst Res Div, Southwest Fisheries Sci Ctr, 8901 La Jolla Shores Dr, La Jolla, CA 92037 USA; [Cantwell, Mark G.] US EPA, Atlantic Ecol Div, Narragansett, RI 02882 USA; [Khairy, Mohammed] Alexandria Univ, Dept Environm Sci, Fac Sci, 21511 Moharam Bek, Alexandria, Egypt; [Brault, Emily K.] Univ Calif Santa Cruz, 1156 High St, Santa Cruz, CA 95064 USA</t>
  </si>
  <si>
    <t>University of Rhode Island; William &amp; Mary; Virginia Institute of Marine Science; National Oceanic Atmospheric Admin (NOAA) - USA; United States Environmental Protection Agency; Egyptian Knowledge Bank (EKB); Alexandria University; University of California System; University of California Santa Cruz</t>
  </si>
  <si>
    <t>Lohmann, R (corresponding author), Univ Rhode Isl, Grad Sch Oceanog, 215 South Ferry Rd, Narragansett, RI 02882 USA.</t>
  </si>
  <si>
    <t>rlohmann@uri.edu</t>
  </si>
  <si>
    <t>Lohmann, Rainer/B-1511-2008</t>
  </si>
  <si>
    <t>Robuck, Anna/0000-0002-3331-7579; Lohmann, Rainer/0000-0001-8796-3229</t>
  </si>
  <si>
    <t>National Science Foundation [ANT 1332492]</t>
  </si>
  <si>
    <t>R.L. acknowledges funding from the National Science Foundation (ANT 1332492) to understand emerging pollutant dynamics in the Antarctic. We acknowledge Hugh Ducklow (LDEO) and the National Science Foundation Palmer LTER (PLR 1440435) for intellectual and logistical support and thank Rebecca Dickhut (Virginia Institute of Marine Science) for her prior leadership on this grant. We thank Dr. Deborah Steinberg, Kate Ruck (Virginia Institute of Marine Science), and Dr. Heidi Geisz (Florida State University) for sample collection. We are grateful to the many field assistants that helped in capture and sample collection of fur seal milk, especially G.I. McDonald, Y. Tremblay, J. Lyons, R. Burner, R. Buchheit, N. Pussini, C. Bonin, and K. Pietrzak. We are also grateful for the support of Drs. Rennie S. Holt and George Watters, directors of the US-AMLR program, and to Dr. D.P. Costa, UCSC for their support of Pinniped research at Cape Shirreff. All Antarctic fur seal research and sample collection were conducted under Marine Mammal Protection Act Permit Nos. 1024, 774-1649, 774-1847, and 16472-01 granted by the Office of Protected Resources, National Marine Fisheries Service.</t>
  </si>
  <si>
    <t>AMER CHEMICAL SOC</t>
  </si>
  <si>
    <t>1155 16TH ST, NW, WASHINGTON, DC 20036 USA</t>
  </si>
  <si>
    <t>2470-1343</t>
  </si>
  <si>
    <t>ACS Omega</t>
  </si>
  <si>
    <t>JUN</t>
  </si>
  <si>
    <t>10.1021/acsomega.8b00440</t>
  </si>
  <si>
    <t>GK6YY</t>
  </si>
  <si>
    <t>gold, Green Submitted, Green Published, Green Accepted</t>
  </si>
  <si>
    <t>WOS:000436340500077</t>
  </si>
  <si>
    <t>Collins, EE; Galaska, MP; Halanych, KM; Mahon, AR</t>
  </si>
  <si>
    <t>Collins, E. E.; Galaska, M. P.; Halanych, K. M.; Mahon, A. R.</t>
  </si>
  <si>
    <t>Population Genomics of Nymphon australe Hodgson, 1902 (Pycnogonida, Nymphonidae) in the Western Antarctic</t>
  </si>
  <si>
    <t>BIOLOGICAL BULLETIN</t>
  </si>
  <si>
    <t>2b-RAD; 2b restriction site-associated DNA genotyping; ACC; Antarctic Circumpolar Current; APF; Antarctic Polar Front; COI; cytochrome c oxidase subunit I; DAPC; discriminant analysis of principle components; F-ST; fixation index; K; number of populations; LEA; Landscape and Ecological Associations; Mb; megabases (unit of length for DNA fragments=1 million nucleotides); mya; million years ago; PCA; Principal Component Analysis; RADseq; restriction site-associated DNA sequencing; SNP; single-nucleotide polymorphism</t>
  </si>
  <si>
    <t>CRYPTIC SPECIATION; POLAR FRONT; R-PACKAGE; DISPERSAL; SEA; INVERTEBRATES; ARTHROPODA; DIVERSITY; LINEAGES; PATTERNS</t>
  </si>
  <si>
    <t>Within the Southern Ocean, the Antarctic Circumpolar Current is hypothesized to facilitate a circumpolar distribution for many taxa, even though some, such as pycnogonids, are assumed to have limited ability to disperse, based on brooding life histories and adult ambulatory capabilities. With a number of contradictions to circumpolarity reported in the literature for other pycnogonids, alternative hypotheses have been explored, particularly for Nymphon australe, the most common species of Pycnogonida (sea spider) in the Southern Ocean. Glacial events have been hypothesized to impact the capacity of organisms to colonize suitable areas without ice coverage as refuge and without the eurybathic capacity to colonize deeper areas. In this study, we examine populations of one presumed circumpolar species, the pycnogonid N. australe, from throughout the Western Antarctic, using a 2b-RAD approach to detect genetic variation with single-nucleotide polymorphisms. Using this approach, we found that N. australe included two distinct groups from within &gt;5000-km sampling region. By using a discriminant analysis of principle components, sparse nonnegative matrix factorization, and admixture coefficient analysis, two distinctive populations were revealed in the Western Antarctic: one covered distances greater than 5000 km (Weddell, Western Antarctic Peninsula, and Ross Sea), and the other shared limited connectivity entrained within the Amundsen Sea. Under further scrutiny of the 3086 single-nucleotide polymorphisms in the data set, only 78 loci had alignment stacks between the two populations. We propose that the populations analyzed are divergent enough to constitute two different species from within this common Antarctic genus known for its phenotypic plasticity.</t>
  </si>
  <si>
    <t>[Collins, E. E.; Mahon, A. R.] Cent Michigan Univ, Dept Biol, Mt Pleasant, MI 48859 USA; [Galaska, M. P.; Halanych, K. M.] Auburn Univ, Dept Biol Sci, Auburn, AL 36849 USA</t>
  </si>
  <si>
    <t>Mahon, AR (corresponding author), Cent Michigan Univ, Dept Biol, Mt Pleasant, MI 48859 USA.</t>
  </si>
  <si>
    <t>mahon2a@cmich.edu</t>
  </si>
  <si>
    <t>Halanych, Ken M/A-9480-2009; Collins, Erin/M-6432-2019; Galaska, Mathew/L-3948-2019; Rochette, Mally/JFS-0030-2023</t>
  </si>
  <si>
    <t>Galaska, Mathew/0000-0002-4257-0170; Mahon, Andrew/0000-0002-5074-8725; , Erin/0000-0002-6097-8479</t>
  </si>
  <si>
    <t>National Science Foundation [NSF ANT-1043670, NSF ANT-1043745, OPP-0132032]; Central Michigan University College of Science and Engineering through an Earth and Ecosystem Sciences PhD program fellowship</t>
  </si>
  <si>
    <t>National Science Foundation(National Science Foundation (NSF)); Central Michigan University College of Science and Engineering through an Earth and Ecosystem Sciences PhD program fellowship</t>
  </si>
  <si>
    <t>We thank the National Science Foundation (NSF ANT-1043670 to ARM, NSF ANT-1043745, and OPP-0132032 to KMH) for the funding to collect the specimens and perform the research. This research was made possible with assistance from the captains and crews of NBP12-10, LMB13-12, LMG04-14, and LMG06-05. Additional support for this work to EEC was provided by the Central Michigan University College of Science and Engineering through an Earth and Ecosystem Sciences PhD program fellowship. This is Molette Biology Laboratory contribution no. 77 and Auburn University Marine Biology Program contribution no. 174.</t>
  </si>
  <si>
    <t>0006-3185</t>
  </si>
  <si>
    <t>1939-8697</t>
  </si>
  <si>
    <t>BIOL BULL-US</t>
  </si>
  <si>
    <t>Biol. Bull.</t>
  </si>
  <si>
    <t>10.1086/698691</t>
  </si>
  <si>
    <t>Biology; Marine &amp; Freshwater Biology</t>
  </si>
  <si>
    <t>Life Sciences &amp; Biomedicine - Other Topics; Marine &amp; Freshwater Biology</t>
  </si>
  <si>
    <t>GK8EJ</t>
  </si>
  <si>
    <t>WOS:000436450600004</t>
  </si>
  <si>
    <t>Cavieres, LA; Sanhueza, AK; Torres-Mellado, G; Casanova-Katny, A</t>
  </si>
  <si>
    <t>Cavieres, Lohengrin A.; Karen Sanhueza, Ana; Torres-Mellado, Gustavo; Casanova-Katny, Angelica</t>
  </si>
  <si>
    <t>Competition between native Antarctic vascular plants and invasive Poa annua changes with temperature and soil nitrogen availability</t>
  </si>
  <si>
    <t>Antarctica; Plant invasion; Warming; Competition; Poa annua; Deschampsia antarctica; Colobanthus quitensis</t>
  </si>
  <si>
    <t>CLIMATE-CHANGE; DESCHAMPSIA-ANTARCTICA; COLOBANTHUS-QUITENSIS; BIOLOGICAL INVASIONS; IMPACTS; COMMUNITIES; ECOSYSTEMS; RESPONSES; FUTURE; LOCALITIES</t>
  </si>
  <si>
    <t>Over the last decades human have introduced non-native organisms to Antarctica, including the grass species Poa annua. This non-native grass under constant growth temperatures has been shown negatively affect the growth of the only two native Antarctic vascular plants, Deschampsia antarctica and Colobanthus quitensis, under constant growth temperatures. However, whether there are changes in the interaction between these species under warmer conditions is an important question. In cold ecosystems, soil nutrient status directly affects plant responses to increases in temperature and Antarctic soils are highly variable in nutrient supply. Thus, in this study we experimentally assessed the interaction between the non-native Poa with the two native Antarctic vascular plant species at two different temperatures and levels of nutrient availability. Individual mats of the study species were collected in King George Island, and then transported to Concepcion where we conducted competition experiments. In the first experiment we used soil similar to that of Antarctica and plants in competition were grown at two temperatures: 5 degrees/2 degrees and 11 degrees/5 degrees C (day/ night temperature). In a second experiment plants were grown in these two temperature regimes, but we varied nitrogen (N) availability by irrigating plants with Hoagland solutions that contained 8000 or 300 mu M of N. Overall, Poa exerted a competitive effect on Deschampsia but only at the higher temperature and higher N availability. At 5 degrees/11 degrees C the competitive response of Deschampsia to Poa was of similar magnitude to the competitive effect of P. Deschatnpsia, and the competitive effect was greater with at low N. The competitive effect of Poa was similar to the competitive response of Colobanthus to Poa at both temperatures and N levels. Thus, at low temperatures and N soil content the native Antarctic species might withstand Poa invasion, but this might change with climate warming.</t>
  </si>
  <si>
    <t>[Cavieres, Lohengrin A.; Karen Sanhueza, Ana; Torres-Mellado, Gustavo] Univ Concepcion, Dept Bot, Fac Ciencias Nat &amp; Oceanog, Concepcion, Chile; [Cavieres, Lohengrin A.; Karen Sanhueza, Ana] IEB, Santiago, Chile; [Casanova-Katny, Angelica] Univ Catolica Temuco, NEA, Fac Recursos Nat, Temuco, Chile</t>
  </si>
  <si>
    <t>Universidad de Concepcion; Universidad Catolica de Temuco</t>
  </si>
  <si>
    <t>Cavieres, LA (corresponding author), Univ Concepcion, Dept Bot, Fac Ciencias Nat &amp; Oceanog, Concepcion, Chile.</t>
  </si>
  <si>
    <t>lcaviere@udec.cl</t>
  </si>
  <si>
    <t>Cavieres, Lohengrin A./A-9542-2010; Casanova-Katny, Angelica/M-3994-2014</t>
  </si>
  <si>
    <t>Cavieres, Lohengrin A./0000-0001-9122-3020; Casanova-Katny, Angelica/0000-0003-3860-1445</t>
  </si>
  <si>
    <t>FONDECYT [1120895]; CONICYT [PIA-ART 11-06, PFB-023]</t>
  </si>
  <si>
    <t>FONDECYT(Comision Nacional de Investigacion Cientifica y Tecnologica (CONICYT)CONICYT FONDECYT); CONICYT(Comision Nacional de Investigacion Cientifica y Tecnologica (CONICYT))</t>
  </si>
  <si>
    <t>Many thanks to Prof. Ray Callaway for helping us with English edition. Research funded by FONDECYT 1120895 and CONICYT PIA-ART 11-06. Additional support from CONICYT PFB-023 funding the Institute of Ecology and Biodiversity (IEB) is also acknowledged.</t>
  </si>
  <si>
    <t>10.1007/s10530-017-1650-7</t>
  </si>
  <si>
    <t>GG5EC</t>
  </si>
  <si>
    <t>WOS:000432717100018</t>
  </si>
  <si>
    <t>Murray, NJ; Marra, PP; Fuller, RA; Clemens, RS; Dhanjal-Adams, K; Gosbell, KB; Hassell, CJ; Iwamura, T; Melville, D; Minton, CDT; Riegen, AC; Rogers, DI; Woehler, EJ; Studds, CE</t>
  </si>
  <si>
    <t>Murray, Nicholas J.; Marra, Peter P.; Fuller, Richard A.; Clemens, Robert S.; Dhanjal-Adams, Kiran; Gosbell, Ken B.; Hassell, Chris J.; Iwamura, Takuya; Melville, David; Minton, Clive D. T.; Riegen, Adrian C.; Rogers, Danny I.; Woehler, Eric J.; Studds, Colin E.</t>
  </si>
  <si>
    <t>The large-scale drivers of population declines in a long-distance migratory shorebird</t>
  </si>
  <si>
    <t>ECOGRAPHY</t>
  </si>
  <si>
    <t>BAR-TAILED GODWITS; N-MIXTURE MODELS; NEW-ZEALAND; SURVIVAL; CONSEQUENCES; PRODUCTIVITY; ABUNDANCE; SELECTION; BEHAVIOR; FLIGHTS</t>
  </si>
  <si>
    <t>Migratory species can travel tens of thousands of kilometers each year, spending different parts of their annual cycle in geographically distinct locations. Understanding the drivers of population change is vital for conserving migratory species, yet the challenge of collecting data over entire geographic ranges has hindered attempts to identify the processes leading to observed population changes. Here, we use remotely sensed environmental data and bird count data to investigate the factors driving variability in abundance in two subspecies of a long-distance migratory shorebird, the bar-tailed godwit Limosa lapponica. We compiled a spatially and temporally explicit dataset of three environmental variables to identify the conditions experienced by each subspecies in each stage of their annual cycle (breeding, non-breeding and staging). We used a Bayesian N-mixture model to analyze 18 years of monthly count data from 21 sites across Australia and New Zealand in relation to the remote sensing data. We found that the abundance of one subspecies L.l. menzbieri in their non-breeding range was related to climate conditions in breeding grounds, and detected sustained population declines between 1995 and 2012 in both subspecies (L.l. menzbieri, -6.7% and L.l. baueri, -2.1% year(-1)). To investigate the possible causes of the declines, we quantified changes in habitat extent at 22 migratory staging sites in the Yellow Sea, East Asia, over a 25-year period and found -1.7% and -1.2% year(-1) loss of habitat at staging sites used by L.l. menzbieri and L.l. baueri, respectively. Our results highlight the need to identify environmental and anthropogenic drivers of population change across all stages of migration to allow the formulation of effective conservation strategies across entire migratory ranges.</t>
  </si>
  <si>
    <t>[Murray, Nicholas J.; Fuller, Richard A.; Clemens, Robert S.; Dhanjal-Adams, Kiran] Univ Queensland, Sch Biol Sci, St Lucia, Qld, Australia; [Murray, Nicholas J.] Univ New South Wales, Ctr Ecosyst Sci, Sch Biol Earth &amp; Environm Sci, Sydney, NSW, Australia; [Murray, Nicholas J.] CSIRO Climate Adaptat Flagship, Brisbane, Qld, Australia; [Marra, Peter P.; Studds, Colin E.] Natl Zool Pk, Migratory Bird Ctr, Smithsonian Conservat Biol Inst, Washington, DC USA; [Studds, Colin E.] Univ Maryland Baltimore Cty, Dept Geog &amp; Environm Syst, Baltimore, MD 21228 USA; [Hassell, Chris J.] Global Flyway Network, Broome, WA, Australia; [Iwamura, Takuya] Tel Aviv Univ, Dept Zool, Fac Life Sci, Tel Aviv, Israel; [Minton, Clive D. T.] Victorian Wader Study Grp, Melbourne, Vic, Australia; [Rogers, Danny I.] Arthur Rylah Inst Environm Res, Heidelberg, Vic, Australia; [Woehler, Eric J.] Univ Tasmania, Inst Marine &amp; Antarctic Studies, Sandy Bay, Tas, Australia</t>
  </si>
  <si>
    <t>University of Queensland; University of New South Wales Sydney; Commonwealth Scientific &amp; Industrial Research Organisation (CSIRO); Smithsonian Institution; Smithsonian National Zoological Park &amp; Conservation Biology Institute; University System of Maryland; University of Maryland Baltimore County; Tel Aviv University; Melbourne Genomics Health Alliance; Arthur Rylah Institute for Environmental Research (ARI); University of Tasmania</t>
  </si>
  <si>
    <t>Murray, NJ (corresponding author), Univ Queensland, Sch Biol Sci, St Lucia, Qld, Australia.</t>
  </si>
  <si>
    <t>n.murray@unsw.edu.au</t>
  </si>
  <si>
    <t>Murray, Nicholas J/E-4607-2016; Fuller, Richard/B-7971-2008; Iwamura, Takuya/D-1125-2018; Clemens, Robert/G-5433-2015; Studds, Colin/C-3701-2012</t>
  </si>
  <si>
    <t>Murray, Nicholas J/0000-0002-4008-3053; Fuller, Richard/0000-0001-9468-9678; Iwamura, Takuya/0000-0002-3740-7758; Dhanjal-Adams, Kiran/0000-0002-0496-8428; Woehler, Eric/0000-0002-1125-0748; Clemens, Robert/0000-0002-1359-5133; Studds, Colin/0000-0001-5715-1692</t>
  </si>
  <si>
    <t>0906-7590</t>
  </si>
  <si>
    <t>1600-0587</t>
  </si>
  <si>
    <t>Ecography</t>
  </si>
  <si>
    <t>10.1111/ecog.02957</t>
  </si>
  <si>
    <t>GI0WT</t>
  </si>
  <si>
    <t>WOS:000434091800002</t>
  </si>
  <si>
    <t>Fleming, CH; Sheldon, D; Fagan, WF; Leimgruber, P; Mueller, T; Nandintsetseg, D; Noonan, MJ; Olson, KA; Setyawan, E; Sianipar, A; Calabrese, JM</t>
  </si>
  <si>
    <t>Fleming, C. H.; Sheldon, D.; Fagan, W. F.; Leimgruber, P.; Mueller, T.; Nandintsetseg, D.; Noonan, M. J.; Olson, K. A.; Setyawan, E.; Sianipar, A.; Calabrese, J. M.</t>
  </si>
  <si>
    <t>Correcting for missing and irregular data in home-range estimation</t>
  </si>
  <si>
    <t>animal tracking data; autocorrelation; home range; irregular sampling; kernel density estimation; marine tracking data; utilization distribution</t>
  </si>
  <si>
    <t>HABITAT; TELEMETRY; SIZE; SCALE</t>
  </si>
  <si>
    <t>Home-range estimation is an important application of animal tracking data that is frequently complicated by autocorrelation, sampling irregularity, and small effective sample sizes. We introduce a novel, optimal weighting method that accounts for temporal sampling bias in autocorrelated tracking data. This method corrects for irregular and missing data, such that oversampled times are downweighted and undersampled times are upweighted to minimize error in the home-range estimate. We also introduce computationally efficient algorithms that make this method feasible with large data sets. Generally speaking, there are three situations where weight optimization improves the accuracy of home-range estimates: with marine data, where the sampling schedule is highly irregular, with duty cycled data, where the sampling schedule changes during the observation period, and when a small number of home-range crossings are observed, making the beginning and end times more independent and informative than the intermediate times. Using both simulated data and empirical examples including reef manta ray, Mongolian gazelle, and African buffalo, optimal weighting is shown to reduce the error and increase the spatial resolution of home-range estimates. With a conveniently packaged and computationally efficient software implementation, this method broadens the array of data sets with which accurate space-use assessments can be made.</t>
  </si>
  <si>
    <t>[Fleming, C. H.; Leimgruber, P.; Noonan, M. J.; Olson, K. A.; Calabrese, J. M.] Smithsonian Conservat Biol Inst, Natl Zool Pk, 1500 Remount Rd, Front Royal, VA 22630 USA; [Fleming, C. H.; Fagan, W. F.; Calabrese, J. M.] Univ Maryland, Dept Biol, College Pk, MD 20742 USA; [Sheldon, D.] Univ Massachusetts, Coll Informat &amp; Comp Sci, Amherst, MA 01003 USA; [Sheldon, D.] Mt Holyoke Coll, Dept Comp Sci, S Hadley, MA 01075 USA; [Mueller, T.; Nandintsetseg, D.] Senckenberg Gesell Nat Forsch, Senckenberg Biodivers &amp; Climate Res Ctr, Senckenberganlage 25, D-60325 Frankfurt, Main, Germany; [Mueller, T.; Nandintsetseg, D.] Goethe Univ, Dept Biol Sci, Max von Laue Str 9, D-60438 Frankfurt, Main, Germany; [Olson, K. A.] Wildlife Conservat Soc, Mongolia Program, San Business Ctr 201, Amar St 29,Small Ring Rd,Post 20A,Box 21, Ulaanbaatar, Mongolia; [Setyawan, E.] Manta Trust Indonesian Manta Project, Badung 80361, Bali, Indonesia; [Setyawan, E.] Univ Tasmania, Inst Marine &amp; Antarctic Studies, Launceston, Tas 7250, Australia; [Fleming, C. H.; Sianipar, A.] Conservat Int Indonesia, Marine Program, Jalan Pejaten Barat 16A, Jakarta 12550, Dki Jakarta, Indonesia</t>
  </si>
  <si>
    <t>Smithsonian Institution; Smithsonian National Zoological Park &amp; Conservation Biology Institute; University System of Maryland; University of Maryland College Park; University of Massachusetts System; University of Massachusetts Amherst; Mount Holyoke College; Senckenberg Biodiversitat &amp; Klima- Forschungszentrum (BiK-F); Senckenberg Gesellschaft fur Naturforschung (SGN); Goethe University Frankfurt; University of Tasmania; Conservation International - Indonesia</t>
  </si>
  <si>
    <t>Fleming, CH (corresponding author), Smithsonian Conservat Biol Inst, Natl Zool Pk, 1500 Remount Rd, Front Royal, VA 22630 USA.;Fleming, CH (corresponding author), Univ Maryland, Dept Biol, College Pk, MD 20742 USA.;Fleming, CH (corresponding author), Conservat Int Indonesia, Marine Program, Jalan Pejaten Barat 16A, Jakarta 12550, Dki Jakarta, Indonesia.</t>
  </si>
  <si>
    <t>flemingc@si.edu</t>
  </si>
  <si>
    <t>Setyawan, Edy/HKV-8474-2023; Noonan, Michael J/H-9613-2019; Setyawan, Edy/HZL-5003-2023; Calabrese, Justin M/B-9131-2012; Leimgruber, Peter/O-1304-2015; Mueller, Thomas/A-1740-2014</t>
  </si>
  <si>
    <t>Setyawan, Edy/0000-0001-6629-5997; Leimgruber, Peter/0000-0002-3682-0153; Mueller, Thomas/0000-0001-9305-7716</t>
  </si>
  <si>
    <t>U.S. NSF Advances in Biological Informatics Program [ABI-1458748]; Smithsonian Institution CGPS Grant; Robert Bosch Foundation; Conservation International-Indonesia; SEAA Aquarium in Singapore; Indonesian Ministry of Marine Affairs and Fisheries; USNSF; Ecology of Infectious Disease Program [DEB-0090323]; Division of Computing and Communication Foundations; Direct For Computer &amp; Info Scie &amp; Enginr [1522054] Funding Source: National Science Foundation</t>
  </si>
  <si>
    <t>U.S. NSF Advances in Biological Informatics Program; Smithsonian Institution CGPS Grant; Robert Bosch Foundation; Conservation International-Indonesia; SEAA Aquarium in Singapore; Indonesian Ministry of Marine Affairs and Fisheries(Ministry of Research and Technology of the Republic of Indonesia (RISTEK)); USNSF(National Science Foundation (NSF)); Ecology of Infectious Disease Program; Division of Computing and Communication Foundations; Direct For Computer &amp; Info Scie &amp; Enginr(National Science Foundation (NSF)NSF - Directorate for Computer &amp; Information Science &amp; Engineering (CISE))</t>
  </si>
  <si>
    <t>This work was supported by the U.S. NSF Advances in Biological Informatics Program (ABI-1458748 to J. M. Calabrese). M. J. Noonan was supported by a Smithsonian Institution CGPS Grant. T. Mueller, D. Nandintsetseg, and K. A. Olson were funded by the Robert Bosch Foundation. We thank Conservation International-Indonesia and the SEAA Aquarium in Singapore for sponsoring the manta satellite tag used in this study, and the Indonesian Ministry of Marine Affairs and Fisheries for their support and permitting for the manta tagging program. We also thank the Komodo National Park Authority and Greg Heighes and Dive Komodo (and especially dive guides Fabi and Wai) for their able assistance in our manta tagging efforts. We thank Paul Cross for providing the African buffalo data. The buffalo data collection was supported by the USNSF and NIH Ecology of Infectious Disease Program (DEB-0090323 to W. M. Getz).</t>
  </si>
  <si>
    <t>10.1002/eap.1704</t>
  </si>
  <si>
    <t>GI0WX</t>
  </si>
  <si>
    <t>WOS:000434092200011</t>
  </si>
  <si>
    <t>Shin, YJ; Houle, JE; Akoglu, E; Blanchard, JL; Bundy, A; Coll, M; Demarcq, H; Fu, CH; Fulton, EA; Heymans, JJ; Salihoglu, B; Shannon, L; Sporcic, M; Velez, L</t>
  </si>
  <si>
    <t>Shin, Yunne-Jai; Houle, Jennifer E.; Akoglu, Ekin; Blanchard, Julia L.; Bundy, Alida; Coll, Marta; Demarcq, Herve; Fu, Caihong; Fulton, Elizabeth A.; Heymans, Johanna J.; Salihoglu, Baris; Shannon, Lynne; Sporcic, Miriana; Velez, Laure</t>
  </si>
  <si>
    <t>The specificity of marine ecological indicators to fishing in the face of environmental change: A multi-model evaluation</t>
  </si>
  <si>
    <t>Ecosystem approach to fisheries; Indicator performance; Marine ecosystem models; Scenarios; Multi-model evaluation; Signil-to-noise ratio</t>
  </si>
  <si>
    <t>SIZE-BASED INDICATORS; SOUTHERN BENGUELA; ECOSYSTEM INDICATORS; REGIME SHIFTS; FISHERIES; MANAGEMENT; FRAMEWORK; SEA; BIODIVERSITY; SENSITIVITY</t>
  </si>
  <si>
    <t>Ecological indicators are widely used to characterise ecosystem health. In the marine environment, indicators have been developed to assess the ecosystem effects of fishing to support an ecosystem approach to fisheries. However, very little work on the performance and robustness of ecological indicators has been carried out. An important aspect of robustness is that indicators should respond specifically to changes in the pressures they are designed to detect (e.g. fishing) rather than changes in other drivers (e.g. environment). We adopted a multi model approach to compare and test the specificity of commonly used ecological indicators to capture fishing effects in the presence of environmental change and under different fishing strategies. We tested specificity in the presence of two types of environmental change: random, representing interannual climate variability and directional, representing climate change. We used phytoplankton biomass as a proxy of the environmental conditions, as this driver was comparable across all ecosystem models, then applied a signal-to-noise ratio analysis to test the specificity of indicators with random environmental change. For directional change, we used mean gradients to apportion the quantity of change in the indicators due to fishing and the environment. We found that depending on the fishing strategy and environmental change, ecological indicators could range from high to low specificity to fishing. As expected, the specificity of indicators to fishing almost always decreased as environmental variability increased. In 55-76% of the scenarios run with directional change in phytoplankton biomass across fishing strategies and ecosystem models, indicators were significantly more responsive to changes in fishing than to changes in phytoplankton biomass. This important result makes the tested ecological indicators good candidates to support fisheries management in a changing environment. Among the indicators, the catch over biomass ratio was most often the most specific indicator to fishing, whereas mean length was most often the most sensitive to change in phytoplankton biomass. However, the responses of indicators were highly variable depending on the ecosystem and fishing strategy under consideration. We therefore recommend that indicators should be tested in the particular ecosystem before they are used for monitoring and management purposes.</t>
  </si>
  <si>
    <t>[Shin, Yunne-Jai; Coll, Marta; Demarcq, Herve; Velez, Laure] Univ Montpellier, UMR MARBEC 248, CNRS, IFREMER,IRD, Pl Eugene Bataillon,CC093, F-34095 Montpellier, France; [Shin, Yunne-Jai; Coll, Marta; Demarcq, Herve; Velez, Laure] IRD, Ctr Sete, Ave Jean Monnet,CS30171, F-34203 Sete, France; [Shin, Yunne-Jai; Shannon, Lynne] Univ Cape Town, Marine Res MA RE Inst, Private Bag X3, ZA-7701 Rondebosch, South Africa; [Shin, Yunne-Jai; Shannon, Lynne] Univ Cape Town, Dept Biol Sci, Private Bag X3, ZA-7701 Rondebosch, South Africa; [Houle, Jennifer E.] Queens Univ Belfast, Sch Biol Sci, Inst Global Food Secur, 97 Lisburn Rd, Belfast BT9 7BL, Antrim, North Ireland; [Akoglu, Ekin] METU, Inst Marine Sci, Erdemli Mersin, Turkey; [Akoglu, Ekin; Salihoglu, Baris] OGS Ist Nazl Oceanog &amp; Geofis Sperimentale, Borgo Grotta Gigante 42-C, I-34010 Sgonico, TS, Italy; [Blanchard, Julia L.] Univ Tasmania, Ctr Marine Socioecol, Private Bag 129, Hobart, Tas 7001, Australia; [Blanchard, Julia L.] Univ Tasmania, Inst Marine &amp; Antarctic Studies, Private Bag 129, Hobart, Tas 7001, Australia; [Bundy, Alida] Fisheries &amp; Oceans Canada, Bedford Inst Oceanog, POB 1006, Dartmouth, NS B2Y 4A2, Canada; [Coll, Marta] CSIC, ICM, Inst Marine Sci, Passeig Maritim Barceloneta 37-49, Barcelona 08003, Spain; [Coll, Marta] Ecopath Int Initiat Res Assoc, Passeig Maritim Barceloneta 37-49, Barcelona 08003, Spain; [Fu, Caihong] Fisheries &amp; Oceans Canada, Pacific Biol Stn, 3190 Hammond Bay Rd, Nanaimo, BC V9T 6N7, Canada; [Fulton, Elizabeth A.; Sporcic, Miriana] CSIRO, Oceans &amp; Atmosphere Flagship, Hobart, Tas 7001, Australia; [Fulton, Elizabeth A.] Univ Tasmania, Ctr Marine Socioecol, Hobart, Tas, Australia; [Heymans, Johanna J.] Scottish Assoc Marine Sci, Scottish Marine Inst, Oban, Argyll, Scotland; [Heymans, Johanna J.] European Marine Board, VLIZ, Wandelaarkaai 7, B-8400 Oostende, Belgium</t>
  </si>
  <si>
    <t>Universite de Montpellier; Ifremer; Institut de Recherche pour le Developpement (IRD); Centre National de la Recherche Scientifique (CNRS); Institut de Recherche pour le Developpement (IRD); University of Cape Town; University of Cape Town; Queens University Belfast; Middle East Technical University; Istituto Nazionale di Oceanografia e di Geofisica Sperimentale; University of Tasmania; University of Tasmania; Fisheries &amp; Oceans Canada; Bedford Institute of Oceanography; Consejo Superior de Investigaciones Cientificas (CSIC); CSIC - Centro Mediterraneo de Investigaciones Marinas y Ambientales (CMIMA); CSIC - Instituto de Ciencias del Mar (ICM); Fisheries &amp; Oceans Canada; Commonwealth Scientific &amp; Industrial Research Organisation (CSIRO); University of Tasmania; UHI Millennium Institute</t>
  </si>
  <si>
    <t>Shin, YJ (corresponding author), Univ Montpellier, UMR MARBEC, Pl Eugene Bataillon,Batiment 24,CC093, F-34095 Montpellier 5, France.</t>
  </si>
  <si>
    <t>yunne-jai.shin@ird.fr; jennifer.houle@gmail.com; ekin@ims.metu.edu.tr; julia.blanchard@utas.edu.au; alida.bundy@dfo-mpo.gc.ca; mcoll@icm.csic.es; herve.demarcq@ird.fr; caihong.fu@dfo-mpo.gc.ca; Beth.Fulton@csiro.au; sheilaheymans@yahoo.com; baris@ims.metu.edu.tr; Lynne.Shannon@uct.ac.za; Miriana.Sporcic@csiro.au; laure.velez@hotmail.fr</t>
  </si>
  <si>
    <t>Demarcq, Herve/AAU-6514-2020; Blanchard, Julia L/E-4919-2010; Fulton, Beth/A-2871-2008; Shannon, Lynne J/A-1612-2015; Fulton, Beth/AAJ-1398-2021; Heymans, Johanna J/H-4848-2012; Akoglu, Ekin/Q-1587-2015; Coll, Marta/A-9488-2012; Shin, Yunne-Jai/A-7575-2012</t>
  </si>
  <si>
    <t>Demarcq, Herve/0000-0003-1995-1183; Fulton, Beth/0000-0002-5904-7917; Heymans, Johanna J/0000-0002-7290-8988; Akoglu, Ekin/0000-0002-2814-3527; velez, laure/0000-0001-9555-6770; Blanchard, Julia/0000-0003-0532-4824; Houle, Jennifer/0000-0001-8114-0993; Coll, Marta/0000-0001-6235-5868; Shin, Yunne-Jai/0000-0002-7259-9265</t>
  </si>
  <si>
    <t>IOC-UNESCO; Euromarine Consortium; South African Research Chair Initiative - South African Department of Science and Technology; EMIBIOS project (FRB Fondation pour la Recherche sur la Biodiversite) [APP-SCEN-2010-II]; Beaufort Marine Research Award under the Sea Change Strategy and the Strategy for Science Technology and Innovation; Marine Institute under the Marine Research Sub-Programme of the Irish National Development Plan; European project MEECE (FP7) [212085]; Marie Curie CIG grant; Spanish Research Program Ramon y Cajal; CSIRO; Australian Fisheries Research and Development Corporation of the Australian Government supported the development of Atlantis SE; UK Natural Environment Research Council and Department for Environment, Food and Rural Affairs, Marine Ecosystems Research Programme [NE/L003279/1]</t>
  </si>
  <si>
    <t>IOC-UNESCO; Euromarine Consortium; South African Research Chair Initiative - South African Department of Science and Technology; EMIBIOS project (FRB Fondation pour la Recherche sur la Biodiversite); Beaufort Marine Research Award under the Sea Change Strategy and the Strategy for Science Technology and Innovation; Marine Institute under the Marine Research Sub-Programme of the Irish National Development Plan; European project MEECE (FP7); Marie Curie CIG grant(Marie Curie Actions); Spanish Research Program Ramon y Cajal(German Research Foundation (DFG)); CSIRO(Commonwealth Scientific &amp; Industrial Research Organisation (CSIRO)); Australian Fisheries Research and Development Corporation of the Australian Government supported the development of Atlantis SE; UK Natural Environment Research Council and Department for Environment, Food and Rural Affairs, Marine Ecosystems Research Programme</t>
  </si>
  <si>
    <t>This is a contribution to the IndiSeas Working Group, co-funded by IOC-UNESCO and the Euromarine Consortium in 2015. L.J.S was supported through the South African Research Chair Initiative, funded through the South African Department of Science and Technology and administered by the South African National Research Foundation. J.E.H., L.V., and Y.J.S were funded by the EMIBIOS project (FRB Fondation pour la Recherche sur la Biodiversite, contract no APP-SCEN-2010-II). J.E.H. was supported by a Beaufort Marine Research Award carried out under the Sea Change Strategy and the Strategy for Science Technology and Innovation (2006-2013), with the support of the Marine Institute, funded under the Marine Research Sub-Programme of the Irish National Development Plan 2007-2013. L.J.S and Y.J.S. were funded by the European project MEECE (FP7, contract no212085). M.C. was supported by a Marie Curie CIG grant to BIOWEB project and the Spanish Research Program Ramon y Cajal. Funding from CSIRO and the Australian Fisheries Research and Development Corporation on behalf of the Australian Government supported the development of Atlantis SE. J.J.H was supported by the UK Natural Environment Research Council and Department for Environment, Food and Rural Affairs under the project MERP: Grant No. NE/L003279/1, Marine Ecosystems Research Programme.</t>
  </si>
  <si>
    <t>10.1016/j.ecolind.2018.01.010</t>
  </si>
  <si>
    <t>GD8KI</t>
  </si>
  <si>
    <t>WOS:000430760900031</t>
  </si>
  <si>
    <t>Fowles, AE; Stuart-Smith, RD; Hill, NA; Thomson, RJ; Strain, EMA; Alexander, TJ; Kirkpatrick, J; Edgar, GJ</t>
  </si>
  <si>
    <t>Fowles, Amelia E.; Stuart-Smith, Rick D.; Hill, Nicole A.; Thomson, Russell J.; Strain, Elisabeth M. A.; Alexander, Timothy J.; Kirkpatrick, James; Edgar, Graham J.</t>
  </si>
  <si>
    <t>Interactive responses of primary producers and grazers to pollution on temperate rocky reefs</t>
  </si>
  <si>
    <t>Epifauna; Herbivory; Aquaculture; Kelp; Invertebrates</t>
  </si>
  <si>
    <t>MOBILE EPIFAUNA; ASSEMBLAGES; BIODIVERSITY; HERBIVORES; MANAGEMENT; HABITATS; ESTUARY; BIOMASS; SYSTEMS; ALGAE</t>
  </si>
  <si>
    <t>Macroalgal beds provide important habitat structure and support primary production for rocky reef communities, but are increasingly degraded as a result of human pressures. Various sources of pollution can have both direct and interactive effects on stressed ecosystems. In particular, interactions involving invertebrate grazers could potentially weaken or strengthen the overall impact of pollution on macro algal beds. Using a paired impact-control experimental design, we tested the effects of multiple pollution sources (fish farms, marinas, sewerage, and stormwater) on translocated and locally established algal assemblages, while also considering the influence of invertebrate grazers. Marinas directly affected algal assemblages and also reduced densities of amphipods and other invertebrate mesograzers. Fish farms and sewerage outfalls tended to directly increase local establishment of foliose and leathery algae without any indication of changes in herbivory. Overall, pollution impacts on algae did not appear to be strongly mediated by changes in grazer abundance. Instead, mesograzer abundance was closely linked to availability of more complex algal forms, with populations likely to decline concurrently with loss of complex algal habitats. Macrograzers, such as sea urchins, showed no signs of a negative impact from any pollution source; hence, the influence of this group on algal dynamics is probably persistent and independent of moderate pollution levels, potentially adding to the direct impacts of pollution on algal beds in urbanised environments. (C) 2018 Elsevier Ltd. All rights reserved.</t>
  </si>
  <si>
    <t>[Fowles, Amelia E.; Stuart-Smith, Rick D.; Hill, Nicole A.; Strain, Elisabeth M. A.; Edgar, Graham J.] Univ Tasmania, Inst Marine &amp; Antarctic Studies, Private Bag 49, Hobart, Tas 7001, Australia; [Thomson, Russell J.] Western Sydney Univ, Ctr Res Math, Locked Bag 1797, Penrith, NSW 2751, Australia; [Strain, Elisabeth M. A.] Sydney Inst Marine Sci, Mosman, NSW 2068, Australia; [Alexander, Timothy J.] EAWAG Swiss Fed Inst Aquat Sci &amp; Technol, Ctr Ecol Evolut &amp; Biogeochem, Dept Fish Ecol &amp; Evolut, Seestr 79, CH-6047 Kastanienbaum, Switzerland; [Alexander, Timothy J.] Univ Bern, Inst Ecol &amp; Evolut, Div Aquat Ecol &amp; Evolut, Baltzerstr 6, CH-3012 Bern, Switzerland; [Kirkpatrick, James] Univ Tasmania, Sch Land &amp; Food, Discipline Geog &amp; Spatial Sci, Private Bag 77, Hobart, Tas 7001, Australia</t>
  </si>
  <si>
    <t>University of Tasmania; Western Sydney University; Sydney Institute of Marine Science; Swiss Federal Institutes of Technology Domain; Swiss Federal Institute of Aquatic Science &amp; Technology (EAWAG); University of Bern; University of Tasmania</t>
  </si>
  <si>
    <t>Stuart-Smith, RD (corresponding author), Univ Tasmania, Inst Marine &amp; Antarctic Studies, Private Bag 49, Hobart, Tas 7001, Australia.</t>
  </si>
  <si>
    <t>Hill, Nicole/AAI-7323-2021; Stuart-Smith, Rick D/M-1829-2013; Stuart-Smith, Rick/I-5214-2019; Edgar, Graham/AAY-3797-2020; Thomson, Russell/H-5653-2012; Strain, Elisabeth/U-3520-2017</t>
  </si>
  <si>
    <t>Hill, Nicole/0000-0001-9329-6717; Stuart-Smith, Rick D/0000-0002-8874-0083; Stuart-Smith, Rick/0000-0002-8874-0083; Edgar, Graham/0000-0003-0833-9001; Thomson, Russell/0000-0003-4949-4120; Kirkpatrick, James/0000-0003-2763-2692; Strain, Elisabeth/0000-0003-2165-9544</t>
  </si>
  <si>
    <t>We thank the many students and volunteers who assisted with field and laboratory research, particularly Tania Mendo, Luis Henriquez, Lara Marcus. Thanks to Simon Grove of the Tasmanian Museum and Art Gallery for assistance with identifying gastropod species, to Justin Hulls for assistance with GIS calculations and to Jon Lefcheck and Anna Cresswell for advice on structural equation modelling. Field activities were supported by the Australian Research Council, and scholarship funding for AEF provided by the Marine Biodiversity Hub, a collaborative partnership supported through the Australian Government's National Environmental Research Program.</t>
  </si>
  <si>
    <t>10.1016/j.envpol.2018.02.061</t>
  </si>
  <si>
    <t>GE4BI</t>
  </si>
  <si>
    <t>WOS:000431158900039</t>
  </si>
  <si>
    <t>Marx, SK; Kamber, BS; McGowan, HA; Petherick, LM; McTainsh, GH; Stromsoe, N; Hooper, JN; May, JH</t>
  </si>
  <si>
    <t>Marx, Samuel K.; Kamber, Balz S.; McGowan, Hamish A.; Petherick, Lynda M.; McTainsh, Grant H.; Stromsoe, Nicola; Hooper, James N.; May, Jan-Hendrik</t>
  </si>
  <si>
    <t>Palaeo-dust records: A window to understanding past environments</t>
  </si>
  <si>
    <t>LAST GLACIAL MAXIMUM; ATMOSPHERIC LEAD DEPOSITION; VOSTOK ANTARCTIC ICE; MURRAY-DARLING BASIN; DEEP-SEA SEDIMENTS; HIGH-LATITUDE DUST; AEOLIAN DUST; LATE QUATERNARY; EASTERN AUSTRALIA; TRACE-ELEMENTS</t>
  </si>
  <si>
    <t>Dust entrainment, transport over vast distances and subsequent deposition is a fundamental part of the Earth system. Yet the role and importance of dust has been underappreciated, due largely to challenges associated with recognising dust in the landscape and interpreting its depositional history. Despite these challenges, interest in dust is growing. Technical advances in remote sensing and modelling have improved understanding of dust sources and production, while advances in sedimentology, mineralogy and geochemistry (in particular) have allowed dust to be more easily distinguished within sedimentary deposits. This has facilitated the reconstruction of records of dust emissions through time. A key advance in our understanding of dust has occurred following the development of methods to geochemically provenance (fingerprint) dust to its source region. This ability has provided new information on dust transport pathways, as well as the reach and impact of dust. It has also expanded our understanding of the processes driving dust emissions over decadal to millennial timescales through linking dust deposits directly to source area conditions. Dust provenance studies have shown that dust emission, transport and deposition are highly sensitive to variability in climate. They also imply that dust emissions are not simply a function of the degree of aridity in source areas, but respond to a more complex array of conditions, including sediment availability. As well as recording natural variability, dust records are also shown to sensitively track the impact of human activity. This is reflected by both changing dust emission rates and changing dust chemistry. Specific examples of how dust responds to, and records change, are provided with our work on dust emissions from Australia, the most arid inhabited continent and the largest dust source in the Southern Hemisphere. These case studies show that Australian dust emissions reflect hydro-climate variability, with reorganisation of Australian dust source areas occurring during the mid to late Holocene. Dust emissions are shown to sensitively map the structure of the Last Glacial Maximum in Australia, demonstrating that this period was associated with enhanced, but also variable dust emissions, driven by changing sources area conditions. Finally we show how dust emissions have responded to the arrival of Europeans and the associated onset of broad-scale agriculture across the Australian continent.</t>
  </si>
  <si>
    <t>[Marx, Samuel K.; Hooper, James N.] Univ Wollongong, Sch Earth &amp; Environm Sci, GeoQuEST Res Ctr, Wollongong, NSW 2522, Australia; [Kamber, Balz S.] Trinity Coll Dublin, Sch Nat Sci, Dept Geol, Dublin 2, Ireland; [McGowan, Hamish A.] Univ Queensland, Sch Earth &amp; Environm Sci, Brisbane, Qld 4072, Australia; [Petherick, Lynda M.] Victoria Univ Wellington, Sch Geog Environm &amp; Earth Sci, Wellington, New Zealand; [McTainsh, Grant H.] Griffith Univ, Griffith Sch Environm, Atmospher Environm Res Ctr, Brisbane, Qld 4111, Australia; [Stromsoe, Nicola] Charles Darwin Univ, Coll Engn IT &amp; Environm, Darwin, NT 0909, Australia; [May, Jan-Hendrik] Univ Melbourne, Sch Geog, Melbourne, Vic, Australia</t>
  </si>
  <si>
    <t>University of Wollongong; Trinity College Dublin; University of Queensland; Victoria University Wellington; Griffith University; Charles Darwin University; University of Melbourne; Melbourne Genomics Health Alliance</t>
  </si>
  <si>
    <t>Marx, SK (corresponding author), Univ Wollongong, Sch Earth &amp; Environm Sci, GeoQuEST Res Ctr, Wollongong, NSW 2522, Australia.</t>
  </si>
  <si>
    <t>smarx@uow.edu.au</t>
  </si>
  <si>
    <t>McGowan, Hamish/AAD-9607-2021; Marx, Samuel K/D-1122-2013; Kamber, Balz/A-1823-2008</t>
  </si>
  <si>
    <t>Kamber, Balz/0000-0002-8720-0608; Stromsoe, Nicola/0000-0001-6042-6220; Hooper, James/0000-0002-1796-6800; Marx, Samuel/0000-0003-2333-5260</t>
  </si>
  <si>
    <t>10.1016/j.gloplacha.2018.03.001</t>
  </si>
  <si>
    <t>GG5UA</t>
  </si>
  <si>
    <t>WOS:000432760000002</t>
  </si>
  <si>
    <t>Turner, D; Lucieer, A; Malenovsky, Z; King, D; Robinson, SA</t>
  </si>
  <si>
    <t>Turner, Darren; Lucieer, Arko; Malenovsky, Zbynek; King, Diana; Robinson, Sharon A.</t>
  </si>
  <si>
    <t>Assessment of Antarctic moss health from multi-sensor UAS imagery with Random Forest Modelling</t>
  </si>
  <si>
    <t>INTERNATIONAL JOURNAL OF APPLIED EARTH OBSERVATION AND GEOINFORMATION</t>
  </si>
  <si>
    <t>UAV; UAS; Random Forest Models; Antarctica; Moss; Multispectral; Visible; Thermal; Digital Surface Model</t>
  </si>
  <si>
    <t>AERIAL VEHICLE UAV; IMAGING SPECTROSCOPY; WILKES-LAND; CLASSIFICATION; VEGETATION; TOPOGRAPHY; ACCURACY; PLANTS; INDEX</t>
  </si>
  <si>
    <t>Moss beds are one of very few terrestrial vegetation types that can be found on the Antarctic continent and as such mapping their extent and monitoring their health is important to environmental managers. Across Antarctica, moss beds are experiencing changes in health as their environment changes. As Antarctic moss beds are spatially fragmented with relatively small extent they require very high resolution remotely sensed imagery to monitor their distribution and dynamics. This study demonstrates that multi-sensor imagery collected by an Unmanned Aircraft System (UAS) provides a novel data source for assessment of moss health. In this study, we train a Random Forest Regression Model (RPM) with long-term field quadrats at a study site in the Windmill Islands, East Antarctica and apply it to UAS RGB and 6-band multispectral imagery, derived vegetation indices, 3D topographic data, and thermal imagery to predict moss health. Our results suggest that moss health, expressed as a percentage between 0 and 100% healthy, can be estimated with a root mean squared error (RMSE) between 7 and 12%. The RFM also quantifies the importance of input variables for moss health estimation showing the multispectral sensor data was important for accurate health prediction, such information being essential for planning future field investigations. The RPM was applied to the entire moss bed, providing an extrapolation of the health assessment across a larger spatial area. With further validation the resulting maps could be used for change detection of moss health across multiple sites and seasons.</t>
  </si>
  <si>
    <t>[Turner, Darren; Lucieer, Arko; Malenovsky, Zbynek] Univ Tasmania, Discipline Geog &amp; Spatial Sci, Sandy Bay, Tas 7005, Australia; [Malenovsky, Zbynek; King, Diana; Robinson, Sharon A.] Univ Wollongong, Sch Biol Sci, Australia Ctr Sustainable Ecosyst Solut, Wollongong, NSW 2522, Australia; [Malenovsky, Zbynek] Global Change Res Inst CAS, Dept Remote Sensing, Belidla 986-4a, CZ-60300 Brno, Czech Republic</t>
  </si>
  <si>
    <t>University of Tasmania; University of Wollongong; Czech Academy of Sciences; Global Change Research Centre of the Czech Academy of Sciences</t>
  </si>
  <si>
    <t>Turner, D (corresponding author), Univ Tasmania, Discipline Geog &amp; Spatial Sci, Sandy Bay, Tas 7005, Australia.</t>
  </si>
  <si>
    <t>Darren.Turner@utas.edu.au; Arko.Lucieer@utas.edu.au; zbynek.malenovsky@gmail.com; dhk442@uowmail.edu.au; sharonr@uow.edu.au</t>
  </si>
  <si>
    <t>King, Diana/K-1061-2019; Lucieer, Arko/F-1247-2013; Robinson, Sharon/B-2683-2008; Malenovský, Zbyněk/A-7819-2011; Turner, Darren/O-4839-2017</t>
  </si>
  <si>
    <t>King, Diana/0000-0001-6313-4450; Lucieer, Arko/0000-0002-9468-4516; Robinson, Sharon/0000-0002-7130-9617; Malenovský, Zbyněk/0000-0002-1271-8103; Turner, Darren/0000-0002-3029-6717</t>
  </si>
  <si>
    <t>Australian Research Council [DP110101714]; Australian Antarctic Division (AAD; Australian Antarctic Science Grant) [3130, 1313, 4046, 4361]; Australian Postgraduate Award; AAD</t>
  </si>
  <si>
    <t>Australian Research Council(Australian Research Council); Australian Antarctic Division (AAD; Australian Antarctic Science Grant); Australian Postgraduate Award(Australian Government); AAD</t>
  </si>
  <si>
    <t>This project was funded by Australian Research CouncilDP110101714 and Australian Antarctic Division (AAD; Australian Antarctic Science Grants 3130, 1313 and 4046, 4361). Logistic support was also provided by these AAD grants. DK would like to acknowledge funding from an Australian Postgraduate Award. We thank Jane Wasley, Johanna Turnbull for setting up the original quadrats, and ANARE expeditioners in for their field support.</t>
  </si>
  <si>
    <t>1569-8432</t>
  </si>
  <si>
    <t>1872-826X</t>
  </si>
  <si>
    <t>INT J APPL EARTH OBS</t>
  </si>
  <si>
    <t>Int. J. Appl. Earth Obs. Geoinf.</t>
  </si>
  <si>
    <t>10.1016/j.jag.2018.01.004</t>
  </si>
  <si>
    <t>GB9MS</t>
  </si>
  <si>
    <t>WOS:000429398500015</t>
  </si>
  <si>
    <t>Kim, D; Park, HJ; Kim, JH; Youn, UJ; Yang, YH; Casanova-Katny, A; Vargas, CM; Venegas, EZ; Park, H; Hong, SG</t>
  </si>
  <si>
    <t>Kim, Dockyu; Park, Ha Ju; Kim, Jung Ho; Youn, Ui Joung; Yang, Yung Hun; Casanova-Katny, Angelica; Munoz Vargas, Cristina; Venegas, Erick Zagal; Park, Hyun; Hong, Soon Gyu</t>
  </si>
  <si>
    <t>Passive warming effect on soil microbial community and humic substance degradation in maritime Antarctic region</t>
  </si>
  <si>
    <t>JOURNAL OF BASIC MICROBIOLOGY</t>
  </si>
  <si>
    <t>Antarctic soil; degradation; humic substances; microbial community</t>
  </si>
  <si>
    <t>CLIMATE-CHANGE; PENINSULA; BACTERIA; FUNGAL; MOSS; THAW</t>
  </si>
  <si>
    <t>Although the maritime Antarctic has undergone rapid warming, the effects on indigenous soil-inhabiting microorganisms are not well known. Passive warming experiments using open-top chamber (OTC) have been performed on the Fildes Peninsula in the maritime Antarctic since 2008. When the soil temperature was measured at a depth of 2-5cm during the 2013-2015 summer seasons, the mean temperature inside OTC (OTC-In) increased by approximately 0.8 degrees C compared with outside OTC (OTC-Out), while soil chemical and physical characteristics did not change. Soils (2015 summer) from OTC-In and OTC-Out were subjected to analysis for change in microbial community and degradation rate of humic substances (HS, the largest pool of recalcitrant organic carbon in soil). Archaeal and bacterial communities in OTC-In were minimally affected by warming compared with those in OTC-Out, with archaeal methanogenic Thermoplasmata slightly increased in abundance. The abundance of heterotrophic fungi Ascomycota was significantly altered in OTC-In. Total bacterial and fungal biomass in OTC-In increased by 20% compared to OTC-Out, indicating that this may be due to increased microbial degradation activity for soil organic matter (SOM) including HS, which would result in the release of more low-molecular-weight growth substrates from SOM. Despite the effects of warming on the microbial community over the 8-years-experiments warming did not induce any detectable change in content or structure of polymeric HS. These results suggest that increased temperature may have significant and direct effects on soil microbial communities inhabiting maritime Antarctic and that soil microbes would subsequently provide more available carbon sources for other indigenous microbes.</t>
  </si>
  <si>
    <t>[Kim, Dockyu; Park, Ha Ju; Youn, Ui Joung; Park, Hyun; Hong, Soon Gyu] Korea Polar Res Inst, Div Polar Life Sci, Incheon 21990, South Korea; [Kim, Jung Ho; Yang, Yung Hun] Konkuk Univ, Dept Microbial Engn, Seoul, South Korea; [Casanova-Katny, Angelica] Catholic Univ Temuco, Sch Environm Sci, Temuco, Chile; [Munoz Vargas, Cristina; Venegas, Erick Zagal] Univ Concepcion, Dept Soils &amp; Nat Resources, Chillan, Chile</t>
  </si>
  <si>
    <t>Korea Polar Research Institute (KOPRI); Konkuk University; Universidad Catolica de Temuco; Universidad de Concepcion</t>
  </si>
  <si>
    <t>Kim, D (corresponding author), Korea Polar Res Inst, Div Polar Life Sci, Incheon 21990, South Korea.</t>
  </si>
  <si>
    <t>envimic@kopri.re.kr</t>
  </si>
  <si>
    <t>Casanova-Katny, Angelica/M-3994-2014</t>
  </si>
  <si>
    <t>Park, Hyun/0000-0002-8055-2010; Munoz, Cristina/0000-0001-7439-8822</t>
  </si>
  <si>
    <t>Korea Polar Research Institute [PE16070, PE18090]; FONDECYT [1120895]; INACH [T0307]</t>
  </si>
  <si>
    <t>Korea Polar Research Institute(Korea Polar Research Institute of Marine Research Placement (KOPRI)); FONDECYT(Comision Nacional de Investigacion Cientifica y Tecnologica (CONICYT)CONICYT FONDECYT); INACH</t>
  </si>
  <si>
    <t>Korea Polar Research Institute, Grant numbers: PE16070, PE18090; FONDECYT, Grant number: 1120895; INACH, Grant number: T0307.</t>
  </si>
  <si>
    <t>0233-111X</t>
  </si>
  <si>
    <t>1521-4028</t>
  </si>
  <si>
    <t>J BASIC MICROB</t>
  </si>
  <si>
    <t>J. Basic Microbiol.</t>
  </si>
  <si>
    <t>10.1002/jobm.201700470</t>
  </si>
  <si>
    <t>GI2SX</t>
  </si>
  <si>
    <t>WOS:000434223300004</t>
  </si>
  <si>
    <t>Prasanna, K; Ghosh, P; Bhattacharya, SK; Rahul, P; Yoshimura, K; Anilkumar, N</t>
  </si>
  <si>
    <t>Prasanna, K.; Ghosh, Prosenjit; Bhattacharya, S. K.; Rahul, P.; Yoshimura, Kei; Anilkumar, N.</t>
  </si>
  <si>
    <t>Moisture rainout fraction over the Indian Ocean during austral summer based on 18O/16O ratios of surface seawater, rainwater at latitude range of 10°N-60°S</t>
  </si>
  <si>
    <t>JOURNAL OF EARTH SYSTEM SCIENCE</t>
  </si>
  <si>
    <t>Oxygen isotope ratio; Rayleigh distillation model; IsoGSM2 prediction; rainout fraction</t>
  </si>
  <si>
    <t>SOUTHERN-OCEAN; HYDROGEN ISOTOPES; CLOUD PROPERTIES; OXYGEN; PRECIPITATION; WATER; REANALYSIS; CYCLE</t>
  </si>
  <si>
    <t>Oxygen isotope ratios () of surface seawater and rainwater samples from the Indian Ocean region () during austral summer collected onboard ORV Sagar Nidhi during 2011-2013 have been measured along with salinity, sea surface temperature and relative humidity. The rainwater is isotopically lighter (by compared to the equilibrium condensation of the vapour arising from the seawater at the ambient condition. The isotopic composition of the vapour at high altitude responsible for the rain formation at the sampling location is estimated from a global atmospheric water isotope model (IsoGSM2). The apparent deficit of 5 can be explained by invoking a high degree of rainout (on average, about 70% of the overhead atmospheric moisture) during transport of the source vapour to the sampling location undergoing a Rayleigh fractionation. The required rainout fraction is higher (80%) in the latitude belt compared to the equatorial belt (60%). The pattern of variation in the rainout fraction with latitude is consistent with the well-known evaporation/precipitation processes in the Indian Ocean.</t>
  </si>
  <si>
    <t>[Prasanna, K.] Birbal Sahni Inst Palaeosci, Lucknow 226007, Uttar Pradesh, India; [Prasanna, K.; Ghosh, Prosenjit; Bhattacharya, S. K.; Rahul, P.] Indian Inst Sci, Ctr Earth Sci, Bengaluru, India; [Ghosh, Prosenjit] Indian Inst Sci, Divecha Ctr Climate Change, Bengaluru, India; [Yoshimura, Kei] Univ Tokyo, Atmosphere &amp; Sea Res Inst, Tokyo, Japan; [Yoshimura, Kei] Univ Tokyo, Inst Ind Sci, Tokyo, Japan; [Anilkumar, N.] Natl Ctr Antarctic &amp; Ocean Res, Vasco Da Gama, Goa, India</t>
  </si>
  <si>
    <t>Department of Science &amp; Technology (India); Birbal Sahni Institute of Palaeobotany (BSIP); Indian Institute of Science (IISC) - Bangalore; Indian Institute of Science (IISC) - Bangalore; University of Tokyo; University of Tokyo; Ministry of Earth Sciences (MoES) - India; National Centre for Polar and Ocean Research (NCPOR)</t>
  </si>
  <si>
    <t>Prasanna, K (corresponding author), Birbal Sahni Inst Palaeosci, Lucknow 226007, Uttar Pradesh, India.;Prasanna, K (corresponding author), Indian Inst Sci, Ctr Earth Sci, Bengaluru, India.</t>
  </si>
  <si>
    <t>naiduprasanna@gmail.com</t>
  </si>
  <si>
    <t>Naidu, Prasanna/T-4975-2019; Peethambaran, Rahul/R-6116-2016; Yoshimura, Kei/F-2041-2010</t>
  </si>
  <si>
    <t>Naidu, Prasanna/0000-0001-5162-3900; Peethambaran, Rahul/0000-0001-7305-0605; Yoshimura, Kei/0000-0002-5761-1561</t>
  </si>
  <si>
    <t>Ministry of Earth Sciences, Government of India; Divecha Centre for Climate Change, IISc Bangalore</t>
  </si>
  <si>
    <t>Ministry of Earth Sciences, Government of India(Ministry of Earth Science (MoES), Government of India); Divecha Centre for Climate Change, IISc Bangalore</t>
  </si>
  <si>
    <t>Author PK is grateful to Prof. Sunil Bajpai, Director BSIP for providing all necessary facilities and permission to publish the manuscript. All the authors thank Ministry of Earth Sciences, Government of India for providing financial support and crews of ORV Sagar Nidhi for onboard help. Authors PK, RP, PG and SKB thank Divecha Centre for Climate Change, IISc Bangalore for support. We note that there are no data sharing issues since all of the numerical information is provided in figures and tables in the paper.</t>
  </si>
  <si>
    <t>0253-4126</t>
  </si>
  <si>
    <t>0973-774X</t>
  </si>
  <si>
    <t>J EARTH SYST SCI</t>
  </si>
  <si>
    <t>J. Earth Syst. Sci.</t>
  </si>
  <si>
    <t>10.1007/s12040-018-0960-1</t>
  </si>
  <si>
    <t>Geosciences, Multidisciplinary; Multidisciplinary Sciences</t>
  </si>
  <si>
    <t>Geology; Science &amp; Technology - Other Topics</t>
  </si>
  <si>
    <t>GI2RR</t>
  </si>
  <si>
    <t>WOS:000434220000001</t>
  </si>
  <si>
    <t>Salama, NKG; Dale, AC; Ivanov, VV; Cook, PF; Pert, CC; Collins, CM; Rabe, B</t>
  </si>
  <si>
    <t>Salama, N. K. G.; Dale, A. C.; Ivanov, V. V.; Cook, P. F.; Pert, C. C.; Collins, C. M.; Rabe, B.</t>
  </si>
  <si>
    <t>Using biological-physical modelling for informing sea lice dispersal in Loch Linnhe, Scotland</t>
  </si>
  <si>
    <t>11th International Sea Lice Conference</t>
  </si>
  <si>
    <t>SEP 26-28, 2016</t>
  </si>
  <si>
    <t>Westport, IRELAND</t>
  </si>
  <si>
    <t>biological-physical model; disease management; dispersal modelling; salmon aquaculture; sea lice</t>
  </si>
  <si>
    <t>LEPEOPHTHEIRUS-SALMONIS; ATLANTIC SALMON; WEST-COAST; AREA MANAGEMENT; LOUSE; SALINITY; SALAR; INFESTATION; COPEPODIDS; DENSITY</t>
  </si>
  <si>
    <t>Sea lice are a constraint on the sustainable growth of Scottish marine salmonid aquaculture. As part of an integrated pest management approach, farms coordinate procedures within spatial units. We present observations of copepodids being at relatively greater density than nauplii in upper waters, which informs the development of surface layer sea lice transmission modelling of Loch Linnhe, Scotland, for informing farm parasite management. A hydrodynamic model is coupled with a biological particle-tracking model, with characteristics of plankton sea lice. Simulations are undertaken for May and October 2011-2013, forced by local wind data collected for those periods. Particles are continually released from positions representing farm locations, weighted by relative farm counts, over a 2-week period and tracked for a further 5days. A comparison is made between modelled relative concentrations against physical and biological surveys to provide confidence in model outputs. Connectivity between farm locations is determined in order to propose potential coordination areas. Generally, connectivity depends on flow patterns in the loch and decreases with increased farm separation. The connectivity indices are used to estimate the origins of the sea lice population composition at each site, which may influence medicinal regimens to avoid loss of efficacy.</t>
  </si>
  <si>
    <t>[Salama, N. K. G.; Cook, P. F.; Pert, C. C.; Collins, C. M.; Rabe, B.] Marine Lab, Marine Scotland Sci, Aberdeen, Scotland; [Dale, A. C.] Scottish Marine Inst, Scottish Assoc Marine Sci, Oban, Argyll, Scotland; [Ivanov, V. V.] Arctic &amp; Antarctic Res Inst, St Petersburg, Russia</t>
  </si>
  <si>
    <t>Marine Scotland Science (MSS); UHI Millennium Institute; Arctic &amp; Antarctic Research Institute</t>
  </si>
  <si>
    <t>Salama, NKG (corresponding author), Marine Lab, Marine Scotland Sci, Aberdeen, Scotland.</t>
  </si>
  <si>
    <t>nabeil.salama@gov.scot</t>
  </si>
  <si>
    <t>Ivanov, Vladimir/J-5979-2014; Salama, Nabeil/E-6551-2011; Dale, Andrew C/H-4847-2012</t>
  </si>
  <si>
    <t>Ivanov, Vladimir/0000-0003-2569-6027; Salama, Nabeil/0000-0002-5919-1847; Dale, Andrew C/0000-0002-9256-7770</t>
  </si>
  <si>
    <t>Scottish Government [FC11111, AQ00040, FW0050]</t>
  </si>
  <si>
    <t>Scottish Government</t>
  </si>
  <si>
    <t>Scottish Government, Grant/Award Number: FC11111, AQ00040, FW0050</t>
  </si>
  <si>
    <t>10.1111/jfd.12693</t>
  </si>
  <si>
    <t>GH6VF</t>
  </si>
  <si>
    <t>WOS:000433581500005</t>
  </si>
  <si>
    <t>Yang, LN; Zhou, L; Li, SJ; Wei, ZX</t>
  </si>
  <si>
    <t>Yang, Lina; Zhou, Lei; Li, Shujiang; Wei, Zexun</t>
  </si>
  <si>
    <t>Spreading of the South Pacific Tropical Water and Antarctic Intermediate Water Over the Maritime Continent</t>
  </si>
  <si>
    <t>Indonesian Throughflow; South Pacific Tropical Water; Antarctic Intermediate Water; passive tracers</t>
  </si>
  <si>
    <t>SIMULATED PASSIVE TRACER; INDONESIAN THROUGHFLOW; INDIAN-OCEAN; INTEROCEAN CIRCULATION; MASS TRANSFORMATION; GLOBAL CLIMATE; FRESH-WATER; SEAS; THERMOCLINE; PATHWAYS</t>
  </si>
  <si>
    <t>The three-dimensional climatological spreading of South Pacific waters over the Maritime Continent is examined using eddy-resolving simulations and a passive tracer method. Four pathways are summarized for the South Pacific Tropical Water and the Antarctic Intermediate Water through the Maritime Continent, including two direct pathways, namely, the Eastern Path and the Torres Strait Path, and two indirect pathways, namely, the Western Path and the South China Sea Path. Among them, according to tracer concentration distribution, the former two contribute most of the volume transport of the Indonesian Throughflow (ITF) originating from the South Pacific. The latter two experience two retroflections (i.e., the South Equatorial Current-Equatorial Undercurrent and the North Equatorial Countercurrent-North Equatorial Current) before entering the Indonesian Seas. The vertical distributions of the South Pacific waters along each path throughout the Indonesian Seas are also analyzed, revealing that the South Pacific salinity extrema greatly affect the intermediate and deep layers of the Indonesian Seas and ITF as well as the upper thermocline. Vertical fluxes, especially vertical advection, are vital to these Indo-Pacific water exchange processes. Sensitivity tests are conducted for the vertical diffusion coefficient and initial conditions, the results of which are robust. According to current study, the South Pacific has substantial impacts on the water properties throughout the Maritime Continent and the mass-energy exchanges between the Pacific and Indian Oceans.</t>
  </si>
  <si>
    <t>[Yang, Lina; Li, Shujiang; Wei, Zexun] State Ocean Adm, Inst Oceanog 1, Key Lab Marine Sci &amp; Numer Modeling, Qingdao, Peoples R China; [Yang, Lina; Zhou, Lei; Li, Shujiang; Wei, Zexun] Qingdao Natl Lab Marine Sci &amp; Technol, Lab Reg Oceanog &amp; Numer Modeling, Qingdao, Peoples R China; [Zhou, Lei] Shanghai Jiao Tong Univ, Inst Oceanog, Shanghai, Peoples R China</t>
  </si>
  <si>
    <t>First Institute of Oceanography, Ministry of Natural Resources; Laoshan Laboratory; Shanghai Jiao Tong University</t>
  </si>
  <si>
    <t>Wei, ZX (corresponding author), State Ocean Adm, Inst Oceanog 1, Key Lab Marine Sci &amp; Numer Modeling, Qingdao, Peoples R China.;Wei, ZX (corresponding author), Qingdao Natl Lab Marine Sci &amp; Technol, Lab Reg Oceanog &amp; Numer Modeling, Qingdao, Peoples R China.</t>
  </si>
  <si>
    <t>weizx@fio.org.cn</t>
  </si>
  <si>
    <t>Wei, Zexun/AAE-3058-2020; Wei, Zexun/IXD-9990-2023; Zhou, Lei/G-5200-2010</t>
  </si>
  <si>
    <t>Wei, Zexun/0000-0002-1217-6973; Zhou, Lei/0000-0002-0433-3991; Yang, Lina/0000-0002-8253-0245</t>
  </si>
  <si>
    <t>National Key Research and Development Program of China [2016YFC1402604]; National Program on Global Change and Air-Sea Interaction [GASI-IPOVAI-01-02, GASI-IPOVAI-02, GASI-IPOVAI-03]; National Natural Science Foundation of China [41706033, 41476025, 41506036, 41306031]; NSFC [U1606405]; Chinese Academy of Sciences [XDA11010304]</t>
  </si>
  <si>
    <t>National Key Research and Development Program of China; National Program on Global Change and Air-Sea Interaction; National Natural Science Foundation of China(National Natural Science Foundation of China (NSFC)); NSFC(National Natural Science Foundation of China (NSFC)); Chinese Academy of Sciences(Chinese Academy of Sciences)</t>
  </si>
  <si>
    <t>This work is supported by the National Key Research and Development Program of China (grant 2016YFC1402604), the National Program on Global Change and Air-Sea Interaction (grants GASI-IPOVAI-01-02, GASI-IPOVAI-02, and GASI-IPOVAI-03), the National Natural Science Foundation of China (grants 41706033, 41476025, 41506036, and 41306031), NSFC-Shandong Joint Fund for Marine Science Research Centers (grant U1606405), and Strategic Priority Research Program of the Chinese Academy of Sciences (grant XDA11010304). The OFES simulations are available at http://www.jamstec.go.jp/esc/fes/dods/OFES, the gridded Argo data are available at http://www.argo.ucsd.edu/Gridded_fields.html, the ETOPO2 topography was obtained from https://www.ngdc.noaa.gov/mgg/global/relief/ETOPO2, and the INSTANT observations were downloaded at http://www.marine.csiro.au/similar to cow074/index.htm.</t>
  </si>
  <si>
    <t>10.1029/2018JC013831</t>
  </si>
  <si>
    <t>GP4KP</t>
  </si>
  <si>
    <t>WOS:000440834100027</t>
  </si>
  <si>
    <t>Crawford, A; Crocker, G; Mueller, D; Desjardins, L; Saper, R; Carrieres, T</t>
  </si>
  <si>
    <t>Crawford, Anna; Crocker, Gregory; Mueller, Derek; Desjardins, Luc; Saper, Ron; Carrieres, Tom</t>
  </si>
  <si>
    <t>The Canadian Ice Island Drift, Deterioration and Detection (CI2D3) Database</t>
  </si>
  <si>
    <t>ANTARCTIC ICEBERGS; ECOSYSTEMS</t>
  </si>
  <si>
    <t>[Crawford, Anna; Crocker, Gregory; Mueller, Derek; Desjardins, Luc; Saper, Ron] Carleton Univ, Dept Geog &amp; Environm Studies, Water &amp; Ice Res Lab, B349 Loeb Bldg,1125 Colonel Dr, Ottawa, ON K1S 5B6, Canada; [Crocker, Gregory] Ballicater Consulting Ltd Kingston, Kingston, ON K7L 4B4, Canada; [Desjardins, Luc; Carrieres, Tom] Environm &amp; Climate Change Canada, Canadian Ice Serv, 373 Sussex Dr, Ottawa, ON K1N 7B1, Canada</t>
  </si>
  <si>
    <t>Carleton University; Environment &amp; Climate Change Canada; Meteorological Service of Canada; Canadian Ice Service</t>
  </si>
  <si>
    <t>Crawford, A (corresponding author), Carleton Univ, Dept Geog &amp; Environm Studies, Water &amp; Ice Res Lab, B349 Loeb Bldg,1125 Colonel Dr, Ottawa, ON K1S 5B6, Canada.</t>
  </si>
  <si>
    <t>anna.crawford@carleton.ca</t>
  </si>
  <si>
    <t>Mueller, Derek/0000-0003-1974-319X</t>
  </si>
  <si>
    <t>Government of Canada through Environment and Climate Change Canada; Government of Canada through Polar Knowledge Canada project 'Safe Passage'; Canadian Foundation for Innovation; Ontario Research Fund</t>
  </si>
  <si>
    <t>Government of Canada through Environment and Climate Change Canada; Government of Canada through Polar Knowledge Canada project 'Safe Passage'; Canadian Foundation for Innovation(Canada Foundation for Innovation); Ontario Research Fund</t>
  </si>
  <si>
    <t>This project was undertaken with the financial support of the Government of Canada through Environment and Climate Change Canada and through the Polar Knowledge Canada project 'Safe Passage'. Funding from the Canadian Foundation for Innovation and the Ontario Research Fund supported the purchase of computer equipment. RADARSAT-1 and -2 data were supplied by the Canadian Ice Service through a Joint Project Agreement. CI2D3 Database technicians Jeff Shepherd and Correy Schaad are thanked for their contributions to the database generation. Two groups of undergraduate students from Carleton University's GEOM 4008 and 4009 courses, instructed by Dan Patterson, developed customized ArcGIS tools for use during the CI2D3 Database generation. Group members included Adam Garbo, Sonya Haskell, Sara Mannseichner, Marisa Ramey, Cameron Samson, Diandra Buttazzoni, Ryder Burt, Erik Duncan, Malek Singer and Emma Zerr. Gregory Lewis-Paley and Sougal Bouh Ali assisted greatly in setting up the PostgreSQL database.</t>
  </si>
  <si>
    <t>10.1017/jog.2018.36</t>
  </si>
  <si>
    <t>GI8LW</t>
  </si>
  <si>
    <t>WOS:000434777300015</t>
  </si>
  <si>
    <t>Kim, TK; Kim, JE; Youn, UJ; Han, SJ; Kim, IC; Cho, CG; Yim, JH</t>
  </si>
  <si>
    <t>Kim, Tai Kyoung; Kim, Joung Eun; Youn, Ui Joung; Han, Se Jong; Kim, Il-Chan; Cho, Cheon-Gyu; Yim, Joung Han</t>
  </si>
  <si>
    <t>Total Syntheses of Lobaric Acid and Its Derivatives from the Antarctic Lichen Stereocaulon alpinum</t>
  </si>
  <si>
    <t>JOURNAL OF NATURAL PRODUCTS</t>
  </si>
  <si>
    <t>DEPSIDONE SYNTHESIS; ETHERS; METABOLITES; CELLS</t>
  </si>
  <si>
    <t>The first total syntheses of the natural products lobaric acid (1) and its derivatives isolated from the Antarctic lichen Stereocaulon alpinum are reported in this study. Lobarin (3), with a pseudodepsidone structure, was synthesized first in 11 steps by utilizing an Ullmann aryl ether coupling reaction, and lobaric acid was synthesized in an additional three steps by a seven-membered lactonization reaction. Various derivatives were also obtained from the prepared lobaric acid, and the synthetic compounds exhibited significant PTP1B inhibitory activities.</t>
  </si>
  <si>
    <t>[Kim, Tai Kyoung; Kim, Joung Eun; Youn, Ui Joung; Han, Se Jong; Kim, Il-Chan; Yim, Joung Han] KOPRI, Korea Polar Res Inst, Div Life Sci, Incheon 406840, South Korea; [Kim, Tai Kyoung; Cho, Cheon-Gyu] Hanyang Univ, Dept Chem, 222 Wangshimni Ro, Seoul 04763, South Korea</t>
  </si>
  <si>
    <t>Korea Polar Research Institute (KOPRI); Hanyang University</t>
  </si>
  <si>
    <t>Yim, JH (corresponding author), KOPRI, Korea Polar Res Inst, Div Life Sci, Incheon 406840, South Korea.</t>
  </si>
  <si>
    <t>jhyim@kopri.re.kr</t>
  </si>
  <si>
    <t>Cho, Cheon-Gyu/H-7374-2015</t>
  </si>
  <si>
    <t>HAN, Se Jong/0000-0001-9576-2179; Kim, Tai Kyoung/0000-0001-9045-3457</t>
  </si>
  <si>
    <t>Korea Polar Research Institute, KOPRI [PE18100]</t>
  </si>
  <si>
    <t>This work was supported by a grant from the Korea Polar Research Institute, KOPRI, under project PE18100.</t>
  </si>
  <si>
    <t>0163-3864</t>
  </si>
  <si>
    <t>1520-6025</t>
  </si>
  <si>
    <t>J NAT PROD</t>
  </si>
  <si>
    <t>J. Nat. Prod.</t>
  </si>
  <si>
    <t>10.1021/acs.jnatprod.8b00227</t>
  </si>
  <si>
    <t>Plant Sciences; Chemistry, Medicinal; Pharmacology &amp; Pharmacy</t>
  </si>
  <si>
    <t>Science Citation Index Expanded (SCI-EXPANDED); Index Chemicus (IC); Current Chemical Reactions (CCR-EXPANDED)</t>
  </si>
  <si>
    <t>GK8ZZ</t>
  </si>
  <si>
    <t>WOS:000436527100019</t>
  </si>
  <si>
    <t>Lachacz, A; Kalisz, B; Gielwanowska, I; Olech, M; Chwedorzewska, KJ; Kellmann-Sopyla, W</t>
  </si>
  <si>
    <t>Lachacz, Andrzej; Kalisz, Barbara; Gielwanowska, Irena; Olech, Maria; Chwedorzewska, Katarzyna J.; Kellmann-Sopyla, Wioleta</t>
  </si>
  <si>
    <t>Nutrient abundance and variability from soils in the coast of king George Island</t>
  </si>
  <si>
    <t>JOURNAL OF SOIL SCIENCE AND PLANT NUTRITION</t>
  </si>
  <si>
    <t>Polar soils; maritime Antarctic; ornithogenic soils</t>
  </si>
  <si>
    <t>SOUTH SHETLAND ISLANDS; MARITIME ANTARCTICA; WEST ANTARCTICA; ADMIRALTY BAY; VICTORIA LAND; PEDOGENESIS; PENINSULA; CRYOSOLS; ACCUMULATION; GELISOLS</t>
  </si>
  <si>
    <t>The goal of the study was to assess the levels of plant available nutrients in the soils of the Antarctic oasis of Point Thomas in the vicinity of Polish Antarctic Station H. Arctowski. Antarctic soils are undergoing transformations in the era of climatic changes and it is important to quantify changes in soil properties and determine the relationships between soil properties and ecological gradient. Total C and N were determined using CN analyser, mineral forms of nitrogen were determined colorimetrically, plant available P and K was analysed with Egner-Riehm method, Mg with Schachtschabel method and Fe, Mn, Cu, Zn were determined in 1M KCl using AAS (Atomic Absorption Spectrometry) method. The amounts of analysed compounds were dependent on organic matter, which was influenced by plant succession, and in some sites by the activity of seabirds. Most of organic matter was accumulated in the vicinity of penguin colony. All studied soils were abundant in plant available forms of studied macro- and micronutrients. In addition to translocation of biogens (mainly N and P) from the sea to the land by piscivorous birds, a dispersion of biogens on the entire ice-free area occurs. It is related to the occasional appearance of scua as well as the eolian topsoil dust input.</t>
  </si>
  <si>
    <t>[Lachacz, Andrzej; Kalisz, Barbara] Univ Warmia &amp; Mazuty Olsztyn, Fac Environm Management &amp; Agr, Dept Soil Sci &amp; Land Reclamat, Plac Lodzki 3, PL-10727 Olsztyn, Poland; [Gielwanowska, Irena; Kellmann-Sopyla, Wioleta] Univ Warmia &amp; Maztay Olsztyn, Fac Biol &amp; Biotechnolo, Dept Plant Physiol Genet &amp; Biotechnolov, Ul M Oczapowskiego 1A, PL-10719 Olsztyn, Poland; [Olech, Maria] Jagiellonian Univ, Inst Bot, Ul Kopernika 27, PL-31501 Krakow, Poland; [Gielwanowska, Irena; Olech, Maria; Chwedorzewska, Katarzyna J.] Polish Acad Sci, Inst Biochem &amp; Biophys, Dept Antarctic Biol, Ul Pawitiskiego 5a, PL-02106 Warsaw, Poland</t>
  </si>
  <si>
    <t>Jagiellonian University; Polish Academy of Sciences; Institute of Biochemistry &amp; Biophysics - Polish Academy of Sciences</t>
  </si>
  <si>
    <t>Kalisz, B (corresponding author), Univ Warmia &amp; Mazuty Olsztyn, Fac Environm Management &amp; Agr, Dept Soil Sci &amp; Land Reclamat, Plac Lodzki 3, PL-10727 Olsztyn, Poland.</t>
  </si>
  <si>
    <t>barbara.kalisz@uwm.edu.pl</t>
  </si>
  <si>
    <t>Chwedorzewska, Katarzyna/M-9721-2019; Kalisz, Barbara/C-3510-2018; Chwedorzewska, Katarzyna J/A-9480-2008</t>
  </si>
  <si>
    <t>Chwedorzewska, Katarzyna/0000-0001-6860-3666; Kalisz, Barbara/0000-0003-2071-9314; Gielwanowska, Irena/0000-0002-9001-1285; Lachacz, Andrzej/0000-0003-2902-2767</t>
  </si>
  <si>
    <t>Polish Ministry of Scientific Research and Higher Education [NN 303 796240]; research project of University of Warmia and Mazury in Olsztyn [20.610.007-300]</t>
  </si>
  <si>
    <t>Polish Ministry of Scientific Research and Higher Education(Ministry of Science and Higher Education, Poland); research project of University of Warmia and Mazury in Olsztyn</t>
  </si>
  <si>
    <t>This research was supported by the Polish Ministry of Scientific Research and Higher Education, grant no. NN 303 796240 and research project of University of Warmia and Mazury in Olsztyn No. 20.610.007-300. We would like to thank Mary N. Scherbatskoy (Blackland Centre, Scotland) for corrections made to the text.</t>
  </si>
  <si>
    <t>SOC CHILENA CIENCIA SUELO</t>
  </si>
  <si>
    <t>TEMUCO</t>
  </si>
  <si>
    <t>CASILLA 54-D, TEMUCO, 00000, CHILE</t>
  </si>
  <si>
    <t>0718-9516</t>
  </si>
  <si>
    <t>J SOIL SCI PLANT NUT</t>
  </si>
  <si>
    <t>J. Soil Sci. Plant Nutr.</t>
  </si>
  <si>
    <t>Plant Sciences; Environmental Sciences; Soil Science</t>
  </si>
  <si>
    <t>Plant Sciences; Environmental Sciences &amp; Ecology; Agriculture</t>
  </si>
  <si>
    <t>GP8SQ</t>
  </si>
  <si>
    <t>WOS:000441184300001</t>
  </si>
  <si>
    <t>Bharudin, I; Abu Bakar, MF; Hashim, NHF; Isa, MNM; Alias, H; Firdaus-Raih, M; Illias, RM; Najimudin, N; Mahadi, NM; Abu Bakar, FD; Murad, AMA</t>
  </si>
  <si>
    <t>Bharudin, Izwan; Abu Bakar, Mohd Faizal; Hashim, Noor Haza Fazlin; Isa, Mohd Noor Mat; Alias, Halimah; Firdaus-Raih, Mohd; Illias, Rosli Md; Najimudin, Nazalan; Mahadi, Nor Muhammad; Abu Bakar, Farah Diba; Murad, Abdul Munir Abdul</t>
  </si>
  <si>
    <t>Unravelling the adaptation strategies employed by Glaciozyma antarctica PI12 on Antarctic sea ice</t>
  </si>
  <si>
    <t>Antarctica; Antifreeze proteins; Cold adaptation; EST; Glaciozyma antarctica; Lipid content; mRNA; Psychrophilic; Sea ice</t>
  </si>
  <si>
    <t>EXPRESSED SEQUENCE TAGS; GENOME SEQUENCE; COLD ADAPTATION; FATTY-ACIDS; PSYCHROPHILIC YEAST; BIOFILM DEVELOPMENT; ANTIFREEZE PROTEIN; MEMBRANE-FLUIDITY; OXIDATIVE STRESS; BINDING PROTEINS</t>
  </si>
  <si>
    <t>Glaciozyma antarctica PI12, is a psychrophilic yeast isolated from Antarctic sea. In this work, Expressed Sequence Tags (EST) from cells exposed to three different temperatures; 15 degrees C,O degrees C and -12 degrees C were generated to identify genes associated with cold adaptation. A total of 5376 clones from each library were randomly picked and sequenced. Comparative analyses from the resulting ESTs in each condition identified several groups of genes required for cold adaptation. Additionally, 319 unique transcripts that encoded uncharacterised functions were identified in the -12 degrees C library and are currently unique to G. antarctica. Gene expression analysis using RT-qPCR revealed two of the unknown genes to be up-regulated at -12 degrees C compared to 0 degrees C and 15 degrees C. These findings further contribute to the collective knowledge into G. antarctica cold adaptation and as a resource for understanding the ecological and physiological tolerance of psychrophilic microbes in general.</t>
  </si>
  <si>
    <t>[Bharudin, Izwan; Hashim, Noor Haza Fazlin; Firdaus-Raih, Mohd; Abu Bakar, Farah Diba; Murad, Abdul Munir Abdul] Univ Kebangsaan Malaysia, Fac Sci &amp; Technol, Sch Biosci &amp; Biotechnol, Ukm Bangi 43600, Selangor, Malaysia; [Abu Bakar, Mohd Faizal; Isa, Mohd Noor Mat; Alias, Halimah; Mahadi, Nor Muhammad] Malaysia Genome Inst, Jalan Bangi Lama, Kajang 43000, Selangor, Malaysia; [Firdaus-Raih, Mohd] Univ Kebangsaan Malaysia, Inst Syst Biol, Ukm Bangi 43600, Selangor, Malaysia; [Illias, Rosli Md] Univ Teknol Malaysia, Dept Biosci Engn, Fac Chem &amp; Nat Resources Engn, Skudai 81310, Johor, Malaysia; [Najimudin, Nazalan] Univ Sains Malaysia, Sch Biol Sci, George Town 11800, Malaysia; [Hashim, Noor Haza Fazlin] Minist Nat Resources &amp; Environm, Water Qual Lab, Natl Hydraul Res Inst Malaysia, Seri Kembangan 43300, Selangor, Malaysia</t>
  </si>
  <si>
    <t>Universiti Kebangsaan Malaysia; Universiti Kebangsaan Malaysia; Universiti Teknologi Malaysia; Universiti Sains Malaysia</t>
  </si>
  <si>
    <t>Bharudin, I (corresponding author), Univ Kebangsaan Malaysia, Fac Sci &amp; Technol, Sch Biosci &amp; Biotechnol, Ukm Bangi 43600, Selangor, Malaysia.</t>
  </si>
  <si>
    <t>ibb@ukm.edu.my</t>
  </si>
  <si>
    <t>Murad, Abdul/CAG-9324-2022; Isa, Mohd Noor Mat/AAL-6458-2021; Abdul Murad, Abdul Munir/L-8575-2017; Najimudin, Nazalan/B-2952-2011; Firdaus-Raih, Mohd/A-9217-2011</t>
  </si>
  <si>
    <t>Abdul Murad, Abdul Munir/0000-0001-6402-7198; Firdaus-Raih, Mohd/0000-0003-4275-4663; Mat Isa, Mohd Noor/0000-0001-6426-9832; Hashim, Noor Haza Fazlin/0000-0002-6385-6469; Bharudin, Izwan/0000-0002-8908-4786</t>
  </si>
  <si>
    <t>Ministry of Science, Technology and Innovation (MOSTI), Malaysia [07-05-MGI-GMB014, 08-05-MGI-GMB001]; Australian Antarctic Division of the Academy of Science, Malaysia; Malaysian Antarctic Research Program (MARP) of the Academy of Science, Malaysia</t>
  </si>
  <si>
    <t>Ministry of Science, Technology and Innovation (MOSTI), Malaysia(Ministry of Energy, Science, Technology, Environment and Climate Change (MESTECC), Malaysia); Australian Antarctic Division of the Academy of Science, Malaysia; Malaysian Antarctic Research Program (MARP) of the Academy of Science, Malaysia</t>
  </si>
  <si>
    <t>This research was funded by the Ministry of Science, Technology and Innovation (MOSTI), Malaysia (research grants: 07-05-MGI-GMB014 and 08-05-MGI-GMB001). We acknowledge the support provided by the Australian Antarctic Division and the Malaysian Antarctic Research Program (MARP) of the Academy of Science, Malaysia.</t>
  </si>
  <si>
    <t>10.1016/j.marenvres.2018.03.007</t>
  </si>
  <si>
    <t>GG5TI</t>
  </si>
  <si>
    <t>WOS:000432758200017</t>
  </si>
  <si>
    <t>Mohan, M; Sreelakshmi, U; Sagar, MKV; Gopikrishna, VG; Pandit, GG; Sahu, SK; Tiwari, M; Ajmal, PY; Kannan, VM; Shukkur, MA; Krishnan, KP</t>
  </si>
  <si>
    <t>Mohan, Mahesh; Sreelakshmi, U.; Sagar, M. K. Vishnu; Gopikrishna, V. G.; Pandit, G. G.; Sahu, S. K.; Tiwari, M.; Ajmal, P. Y.; Kannan, V. M.; Shukkur, M. Abdul; Krishnan, K. P.</t>
  </si>
  <si>
    <t>Rate of sediment accumulation and historic metal contamination in a tidewater glacier fjord, Svalbard</t>
  </si>
  <si>
    <t>Pollution; Geochronology; Melting; Climate; Accumulation</t>
  </si>
  <si>
    <t>KONGSFJORDEN</t>
  </si>
  <si>
    <t>The sedimentation rates in Arctic fjords are influenced by the changes in the glacial inputs. The recent studies have indicated the retreat of glaciers due to climate change and subsequent increase in melt water outflow with high content of debris. The debris may contain natural and anthropogenically originated contaminants. The present study analysed the sedimentation rate in inner Kongsfjorden, Ny-Alesund, Svalbard using Pb-210/Po-210 dating technique. The sedimentation rate ranged between 0.22 and 0.37 cm/year during the last 112 years. The average sedimentation rate obtained was 0.28 cm/y. The rate has been increased during the last 20 years and it might be due to the increased influx of glacial melt water containing debris. Metals and other elements showed an increasing trend towards the surface and observed high deposition rate since 1970s, indicating influence of industrial emissions and it can be a potential threat to Arctic biota.</t>
  </si>
  <si>
    <t>[Mohan, Mahesh; Sreelakshmi, U.; Sagar, M. K. Vishnu; Gopikrishna, V. G.; Kannan, V. M.; Shukkur, M. Abdul] Mahatma Gandhi Univ, Sch Environm Sci, Kottayam 686560, Kerala, India; [Pandit, G. G.; Sahu, S. K.; Tiwari, M.; Ajmal, P. Y.] Bhabha Atom Res Ctr, Environm Monitoring &amp; Assessment Sect, Bombay, Maharashtra, India; [Krishnan, K. P.] Natl Ctr Antarctic &amp; Ocean Res, Vasco, Goa, India</t>
  </si>
  <si>
    <t>Mahatma Gandhi University, Kerala; Bhabha Atomic Research Center (BARC); Ministry of Earth Sciences (MoES) - India; National Centre for Polar and Ocean Research (NCPOR)</t>
  </si>
  <si>
    <t>Mohan, M (corresponding author), Mahatma Gandhi Univ, Sch Environm Sci, Kottayam 686560, Kerala, India.</t>
  </si>
  <si>
    <t>maheshmohan@mgu.ac.in</t>
  </si>
  <si>
    <t>VadakkadathMeethal Meethal, Kannan/JYP-8855-2024; g, g/JWP-4243-2024; Sahu, Shishir Kumar/F-1277-2018; G, G/GWR-3235-2022; G, G/JGM-5192-2023; P, Krishnan K/ABF-8783-2020; G, Gopikrishna V/M-5855-2017; Mohan, Mahesh/C-3076-2011</t>
  </si>
  <si>
    <t>VadakkadathMeethal Meethal, Kannan/0000-0003-2974-3724; Sahu, Shishir Kumar/0000-0002-7156-8512; G, Gopikrishna V/0000-0002-9364-2349; Mohan, Mahesh/0000-0003-1003-5357; Tiwari, Mahesh/0000-0001-6714-9668</t>
  </si>
  <si>
    <t>DST [5986SR/PURSE/2016]</t>
  </si>
  <si>
    <t>DST(Department of Science &amp; Technology (India))</t>
  </si>
  <si>
    <t>Authors acknowledge the logistic support given by ESSO-NCAOR, MoES during the field work and sampling. The financial support from DST (5986SR/PURSE/2016) (PURSE &amp; INSPIRE), Government of India is gratefully acknowledged.</t>
  </si>
  <si>
    <t>A</t>
  </si>
  <si>
    <t>10.1016/j.marpolbul.2018.04.057</t>
  </si>
  <si>
    <t>GL3SG</t>
  </si>
  <si>
    <t>WOS:000437060300053</t>
  </si>
  <si>
    <t>Sallée, JB</t>
  </si>
  <si>
    <t>Sallee, Jean-Baptiste</t>
  </si>
  <si>
    <t>Southern Ocean Warming</t>
  </si>
  <si>
    <t>ANTARCTIC BOTTOM WATER; MODELS HISTORICAL BIAS; SEA-LEVEL RISE; CIRCUMPOLAR CURRENT; HEAT UPTAKE; GLOBAL HEAT; CLIMATE; CARBON; ATLANTIC; TRENDS</t>
  </si>
  <si>
    <t>The Southern Ocean plays a fundamental role in global climate. With no continental barriers, it distributes climate signals among the Pacific, Atlantic, and Indian Oceans through its fast-flowing, energetic, and deep-reaching dominant current, the Antarctic Circumpolar Current. The unusual dynamics of this current, in conjunction with energetic atmospheric and ice conditions, make the Southern Ocean a key region for connecting the surface ocean with the world ocean's deep seas. Recent examinations of global ocean temperature show that the Southern Ocean plays a major role in global ocean heat uptake and storage. Since 2006, an estimated 60%-90% of global ocean heat content change associated with global warming is based in the Southern Ocean. But the warming of its water masses is inhomogeneous. While the upper 1,000 m of the Southern Ocean within and north of the Antarctic Circumpolar Current are warming rapidly, at a rate of 0.1 degrees-0.2 degrees C per decade, the surface subpolar seas south of this region are not warming or are slightly cooling. However, subpolar abyssal waters are warming at a substantial rate of similar to 0.05 degrees C per decade due to the formation of bottom waters on the Antarctic continental shelves. Although the processes at play in this warming and their regional distribution are beginning to become clear, the specific mechanisms associated with wind change, eddy activity, and ocean-ice interaction remain areas of active research, and substantial challenges persist to representing them accurately in climate models.</t>
  </si>
  <si>
    <t>[Sallee, Jean-Baptiste] Sorbonne Univ, CNRS, LOCEAN, Paris, France</t>
  </si>
  <si>
    <t>Centre National de la Recherche Scientifique (CNRS); Museum National d'Histoire Naturelle (MNHN); Sorbonne Universite</t>
  </si>
  <si>
    <t>Sallée, JB (corresponding author), Sorbonne Univ, CNRS, LOCEAN, Paris, France.</t>
  </si>
  <si>
    <t>jean-baptiste.sallee@locean-ipsl.upmc.fr</t>
  </si>
  <si>
    <t>SALLEE, Jean baptiste/HDO-5355-2022; SALLEE, Jean baptiste/A-5837-2010</t>
  </si>
  <si>
    <t>SALLEE, Jean baptiste/0000-0002-6109-5176</t>
  </si>
  <si>
    <t>European Research Council (ERC) under the European Union's Horizon 2020 research and innovation program [637770]</t>
  </si>
  <si>
    <t>European Research Council (ERC) under the European Union's Horizon 2020 research and innovation program(European Research Council (ERC))</t>
  </si>
  <si>
    <t>JBS has received funding from the European Research Council (ERC) under the European Union's Horizon 2020 research and innovation program (grant agreement 637770). The author thanks S. Gille, S. Josey, W. Llovel, C. Boning, and G. Johnson for kindly providing figure data.</t>
  </si>
  <si>
    <t>10.5670/oceanog.2018.215</t>
  </si>
  <si>
    <t>HD8QV</t>
  </si>
  <si>
    <t>WOS:000452824700012</t>
  </si>
  <si>
    <t>Nowicki, S; Seroussi, H</t>
  </si>
  <si>
    <t>Nowicki, Sophie; Seroussi, Helene</t>
  </si>
  <si>
    <t>Projections of Future Sea Level Contributions from the Greenland and Antarctic Ice Sheets CHALLENGES BEYOND DYNAMICAL ICE SHEET MODELING</t>
  </si>
  <si>
    <t>INTERCOMPARISON PROJECT; EXPERIMENTAL-DESIGN; OCEAN CIRCULATION; REGIONAL CLIMATE; WEST ANTARCTICA; MASS-LOSS; STREAM-B; GLACIER; SURFACE; FLOW</t>
  </si>
  <si>
    <t>As Earth's climate warms, rising sea levels are becoming a great concern. Providing substantiated and well-informed guidance on the amount and rate of future sea level rise is important, but remains challenging. Observations of the Greenland and Antarctic Ice Sheets-Earth's largest freshwater reservoirs-reveal their ongoing, rapid, and complex changes in response to an evolving climate. The improved understanding of ice sheet behavior resulting from observations is driving the development of ice sheet models, and is allowing better simulation of past, present, and future ice sheet evolution. However, insight into future changes requires a better understanding of how ice sheets interact with other components of the Earth system and associated feedbacks. As climate models start to include dynamical ice sheet components, our understanding of such interactions and the feedback mechanisms will advance. These new developments in ice sheet modeling and their implementation in climate models are timely, as observations indicate an accelerating contribution of ice sheets to sea level rise.</t>
  </si>
  <si>
    <t>[Nowicki, Sophie] NASA, Goddard Space Flight Ctr, Cryospher Sci Lab, Greenbelt, MD 20771 USA; [Seroussi, Helene] CALTECH, Jet Prop Lab, Pasadena, CA 91125 USA</t>
  </si>
  <si>
    <t>National Aeronautics &amp; Space Administration (NASA); NASA Goddard Space Flight Center; National Aeronautics &amp; Space Administration (NASA); NASA Jet Propulsion Laboratory (JPL); California Institute of Technology</t>
  </si>
  <si>
    <t>Nowicki, S (corresponding author), NASA, Goddard Space Flight Ctr, Cryospher Sci Lab, Greenbelt, MD 20771 USA.</t>
  </si>
  <si>
    <t>sophie.nowicki@nasa.gov</t>
  </si>
  <si>
    <t>Seroussi, Helene/AAX-5342-2021</t>
  </si>
  <si>
    <t>Seroussi, Helene/0000-0001-9201-1644</t>
  </si>
  <si>
    <t>NASA Cryosphere Sciences Program; NASA Modeling Analysis and Prediction Program; NASA Sea Level Change Program</t>
  </si>
  <si>
    <t>NASA Cryosphere Sciences Program; NASA Modeling Analysis and Prediction Program(National Aeronautics &amp; Space Administration (NASA)); NASA Sea Level Change Program</t>
  </si>
  <si>
    <t>The research described in this paper was carried out at NASA GSFC and the Jet Propulsion Laboratory, California Institute of Technology, under a contract with the National Aeronautics and Space Administration with funding from the NASA Cryosphere Sciences Program, the NASA Modeling Analysis and Prediction Program, and the NASA Sea Level Change Program. The authors thank B. Loomis and N. Schlegel for producing images and R. Cullather for helpful comments with an early draft of this manuscript. We thank the editor and the reviewers for insightful comments.</t>
  </si>
  <si>
    <t>10.5670/oceanog.2018.216</t>
  </si>
  <si>
    <t>WOS:000452824700018</t>
  </si>
  <si>
    <t>Carbayo, F; Silva, MS; Riutort, M; Alvarez-Presas, M</t>
  </si>
  <si>
    <t>Carbayo, Fernando; Silva, Marcos Santos; Riutort, Marta; Alvarez-Presas, Marta</t>
  </si>
  <si>
    <t>Rolling into the deep of the land planarian genus Choeradoplana (Tricladida, Continenticola, Geoplanidae) taxonomy</t>
  </si>
  <si>
    <t>ABGD; bPTP; BP&amp;P; Cryptic species; Flatworms; GMYC; Histology; Geoplaninae</t>
  </si>
  <si>
    <t>TERRESTRIAL FLATWORM PLATYHELMINTHES; SUB-ANTARCTIC ISLANDS; ATLANTIC FOREST; PHYLOGENETIC-RELATIONSHIPS; TAXA PLATYHELMINTHES; MOLECULAR PHYLOGENY; DIVERSITY; TERRICOLA; BIODIVERSITY; TURBELLARIA</t>
  </si>
  <si>
    <t>The land planarian genus Choeradoplana (Plathelminthes, Tricladida) is currently integrated by 13 species. In previous works, morphological variation in its type species, Choeradoplana iheringi, was reported, but no attempt to test whether it is just a single species has been made yet. In order to disentangle the taxonomy of this species and further members of the genus, we sampled new specimens and combined morphological and molecular data and also have evaluated the performance of diverse methods of molecular species delimitation. Our data point to the presence of two cryptic species named C. iheringi, plus two new species, all hidden under the same general appearance. An in-depth morphological study of the specimens allowed detection of diagnostic morphological traits in each species, for which we also propose a molecular diagnosis. This integrative taxonomic study demonstrates once again the usefulness of molecular tools to weigh minor morphological characteristics and thus reveal the existence of species that would otherwise remain cryptic. However, under certain parameters, the molecular methods may over-split species with a high genetic structure, maybe pointing to incipient speciation. This makes critical the use of these methods combined with a comprehensive morphological approach. We also present a comprehensive phylogenetic tree including most Choeradoplana species. The tree, well supported, allows making some preliminary inferences on the evolution of the group and its historical biogeography.</t>
  </si>
  <si>
    <t>[Carbayo, Fernando; Silva, Marcos Santos] Univ Sao Paulo, Lab Ecol &amp; Evolucao, Escola Artes Ciencias &amp; Humanidades, Av Arlindo Bettio 1000, BR-03828000 Sao Paulo, SP, Brazil; [Riutort, Marta; Alvarez-Presas, Marta] Univ Barcelona, Fac Biol, Dept Genet Microbiol &amp; Estadist, Av Diagonal 643, E-08028 Barcelona, Spain; [Riutort, Marta; Alvarez-Presas, Marta] Univ Barcelona, Inst Recerca Biodiversitat IRBio, Av Diagonal 643, E-08028 Barcelona, Spain</t>
  </si>
  <si>
    <t>Universidade de Sao Paulo; University of Barcelona; University of Barcelona</t>
  </si>
  <si>
    <t>Alvarez-Presas, M (corresponding author), Univ Barcelona, Fac Biol, Dept Genet Microbiol &amp; Estadist, Av Diagonal 643, E-08028 Barcelona, Spain.;Alvarez-Presas, M (corresponding author), Univ Barcelona, Inst Recerca Biodiversitat IRBio, Av Diagonal 643, E-08028 Barcelona, Spain.</t>
  </si>
  <si>
    <t>onaalvarez@ub.edu</t>
  </si>
  <si>
    <t>Álvarez-Presas, Marta/J-8078-2012; Riutort, Marta/B-6441-2009; Carbayo, Fernando/K-2408-2016</t>
  </si>
  <si>
    <t>Álvarez-Presas, Marta/0000-0002-4825-9965; Riutort, Marta/0000-0002-2134-7674; Carbayo, Fernando/0000-0002-8524-9715</t>
  </si>
  <si>
    <t>FAPESP [2016/18295-5]; Ministerio de Economia y Competitividad, Spain [CGL201123466]; SEG, the Sociedad Espanola de Genetica travel grant; Fundacao de Amparo a Pesquisa do Estado de Sao Paulo (FAPESP) [16/18295-5] Funding Source: FAPESP</t>
  </si>
  <si>
    <t>FAPESP(Fundacao de Amparo a Pesquisa do Estado de Sao Paulo (FAPESP)); Ministerio de Economia y Competitividad, Spain(Spanish Government); SEG, the Sociedad Espanola de Genetica travel grant; Fundacao de Amparo a Pesquisa do Estado de Sao Paulo (FAPESP)(Fundacao de Amparo a Pesquisa do Estado de Sao Paulo (FAPESP))</t>
  </si>
  <si>
    <t>We are grateful to the Instituto Chico Mendes de Conservacao da Biodiversidade (ICMBio), Instituto Estadual do Ambiente do Governo do Rio de Janeiro (INEA), and Fundacao de Amparo e Tecnologia do Meio Ambiente de Santa Catarina (FATMA) for licensing the fieldwork and Nivaldo Gularte and Juan R. E. Garcia (Paulo Lopes, SC) for their kind field support and generous hospitality. We thank Fernanda Megiolaro for the picture of C. iheringi photographed in Parobe. We also thank Claudia Olivares, Debora Redivo, Julio Pedroni, Leonardo Zerbone, Marilia Juca, and Welton Araujo for the sampling help. Thanks to Geison Castro and Lucas Beltrami (EACH) for the histological processing. Dr. Dieter Fiege (SNM, Frankfurt) and Dr. Helmut Sattman (NHM, Vienna) are thanked for their kind assistance to FC during the museum visits. Ana Vasques (MZUSP) is thanked for the loan of specimens deposited in MZUSP. Sergio Vanin (MZUSP) is acknowledged for his advice on the zoological nomenclature. Two anonymous reviewers are kindly thanked for their valuable comments and suggestions. FC has financial support from FAPESP (proc. 2016/18295-5). M. R. and M. A.-P. were supported by grant CGL201123466 of the Ministerio de Economia y Competitividad, Spain. M. A.-P. acknowledges support from SEG, the Sociedad Espanola de Genetica travel grant.</t>
  </si>
  <si>
    <t>10.1007/s13127-017-0352-4</t>
  </si>
  <si>
    <t>GG9GR</t>
  </si>
  <si>
    <t>WOS:000433009500004</t>
  </si>
  <si>
    <t>Oh, M; Kim, S; Lim, K; Kim, SY</t>
  </si>
  <si>
    <t>Oh, Mingi; Kim, Sehyun; Lim, Kyuseong; Kim, Soo Yong</t>
  </si>
  <si>
    <t>Time series analysis of the Antarctic Circumpolar Wave via symbolic transfer entropy</t>
  </si>
  <si>
    <t>PHYSICA A-STATISTICAL MECHANICS AND ITS APPLICATIONS</t>
  </si>
  <si>
    <t>Antarctic Circumpolar Wave; Symbolic transfer entropy; Climate; ENSO; Information flow</t>
  </si>
  <si>
    <t>INFORMATION-FLOW; TEMPERATURE</t>
  </si>
  <si>
    <t>An attempt to interpret a large-scale climate phenomenon in the Southern Ocean (SO), the Antarctic Circumpolar Wave (ACW), has been made using an information entropy method, symbolic transfer entropy (STE). Over the areas of 50-60 degrees S latitude belt, information flow for four climate variables, sea surface temperature (SST), sea-ice edge (SIE), sea level pressure (SLP) and meridional wind speed (MWS) is examined. We found a tendency that eastward flow of information is preferred only for oceanic variables, which is a main characteristic of the ACW, an eastward wave making a circuit around the Antarctica. Since the ACW is the coherent pattern in both ocean and atmosphere it is reasonable to infer that the tendency reflects the Antarctic Circumpolar Current (ACC) encircling the Antarctica, rather than an evidence of the ACW. We observed one common feature for all four variables, a strong information flow over the area of the eastern Pacific Ocean, which suggest a signature of El Nino Southern Oscillation (ENSO). (C) 2018 Elsevier B.V. All rights reserved.</t>
  </si>
  <si>
    <t>[Oh, Mingi; Kim, Sehyun; Kim, Soo Yong] Korea Adv Inst Sci &amp; Technol, Dept Phys, Daejeon 34141, South Korea; [Lim, Kyuseong] Inst Basic Sci, Ctr Neurosci Imaging Res, Suwon 16419, South Korea</t>
  </si>
  <si>
    <t>Korea Advanced Institute of Science &amp; Technology (KAIST); Institute for Basic Science - Korea (IBS)</t>
  </si>
  <si>
    <t>Kim, SY (corresponding author), Korea Adv Inst Sci &amp; Technol, Dept Phys, Daejeon 34141, South Korea.</t>
  </si>
  <si>
    <t>sykim@kaist.ac.kr</t>
  </si>
  <si>
    <t>Kim, Soo Yong/C-1944-2011</t>
  </si>
  <si>
    <t>National Research Foundation of Korea (NRF) - Korea government (MSIP) [2017R1A2B1009385]; Brain Korea 21 PLUS Project of Korea Government</t>
  </si>
  <si>
    <t>National Research Foundation of Korea (NRF) - Korea government (MSIP); Brain Korea 21 PLUS Project of Korea Government</t>
  </si>
  <si>
    <t>The authors are deeply grateful to unknown reviewers for constructive critics and comments that helped ameliorate this work. This work was partly supported by the National Research Foundation of Korea (NRF) grant funded by the Korea government (MSIP) (No. 2017R1A2B1009385) and partially by the Brain Korea 21 PLUS Project of Korea Government.</t>
  </si>
  <si>
    <t>0378-4371</t>
  </si>
  <si>
    <t>1873-2119</t>
  </si>
  <si>
    <t>PHYSICA A</t>
  </si>
  <si>
    <t>Physica A</t>
  </si>
  <si>
    <t>JUN 1</t>
  </si>
  <si>
    <t>10.1016/j.physa.2017.12.019</t>
  </si>
  <si>
    <t>Physics, Multidisciplinary</t>
  </si>
  <si>
    <t>GA7DD</t>
  </si>
  <si>
    <t>WOS:000428493900023</t>
  </si>
  <si>
    <t>Stark, JC; Wang, XC; Li, ZX; Rasmussen, B; Sheppard, S; Zi, JW; Clark, C; Hand, M; Li, WX</t>
  </si>
  <si>
    <t>Stark, J. Camilla; Wang, Xuan-Ce; Li, Zheng-Xiang; Rasmussen, Birger; Sheppard, Stephen; Zi, Jian-Wei; Clark, Christopher; Hand, Martin; Li, Wu-Xian</t>
  </si>
  <si>
    <t>In situ U-Pb geochronology and geochemistry of a 1.13 Ga mafic dyke suite at Bunger Hills, East Antarctica: The end of the Albany-Fraser Orogeny</t>
  </si>
  <si>
    <t>Antarctica; Bunger Hills; Mafic dykes; Geochronology; Geochemistry; Albany-Fraser Orogeny</t>
  </si>
  <si>
    <t>LARGE IGNEOUS PROVINCES; WINDMILL-ISLANDS; CONTINENTAL-CRUST; VESTFOLD HILLS; TRACE-ELEMENTS; SWARMS; MANTLE; EVOLUTION; WESTERN; CRATON</t>
  </si>
  <si>
    <t>Antarctica contains continental fragments of Australian, Indian and African affinities, and is one of the key elements in the reconstruction of Nuna, Rodinia and Gondwana. The Bunger Hills region in East Antarctica is widely interpreted as a remnant of the Mesoproterozoic Albany-Fraser Orogen, which formed during collision between the West Australian and Mawson cratons and is linked with the assembly of Rodinia. Previous studies have suggested that several generations of mafic dyke suites are present at Bunger Hills but an understanding of their origin and tectonic context is limited by the lack of precise age constraints. New in situ SHRIMP U-Pb zircon and baddeleyite dates of, respectively, 1134 +/- 9 Ma and 1131 +/- 16 Ma confirm an earlier Rb-Sr whole-rock age estimate of ca. 1140 Ma for emplacement of a major mafic dyke suite in the area. Existing and new geochemical data suggest that the source of the dyke involved an EMORB-like source reservoir that was contaminated by a lower crust-like component. The new age constraint indicates that the dykes post-date the last known phase of plutonism at Bunger Hills by ca. 20 million years and were emplaced at the end of Stage 2 of the Albany-Fraser Orogeny. In current models, post-orogenic uplift and progressive tectonic thinning of the lithosphere were associated with melting and reworking of lower and middle crust that produced abundant plutonic rocks at Bunger Hills. A major episode of mafic dyke emplacement following uplift, cooling, and plutonic activity with increasing mantle input, suggests that the dykes mark the end of a prolonged interval of thermal weakening of the lithosphere that may have been associated with continued mafic underplating during orogenic collapse. If the undated olivine gabbro dykes with similar trend, geochemistry and petrology at Windmill Islands are coeval with the ca. 1134 Ma dyke at Bunger Hills, this would suggest the presence of a major dyke swarm at least 400 km in extent. In such case, the dykes could have been emplaced laterally from a much more distant mantle source, possibly a plume, and interacted with the locally heterogeneous and variably metasomatised lithosphere.</t>
  </si>
  <si>
    <t>[Stark, J. Camilla; Li, Zheng-Xiang] Curtin Univ, Earth Dynam Res Grp, ARC Ctr Excellence Core Crust Fluid Syst CCFS, GPO Box U1987, Perth, WA 6845, Australia; [Stark, J. Camilla; Wang, Xuan-Ce; Li, Zheng-Xiang; Zi, Jian-Wei; Clark, Christopher] Curtin Univ, Inst Geosci Res TIGeR, Sch Earth &amp; Planetary Sci, GPO Box U1987, Perth, WA 6845, Australia; [Stark, J. Camilla; Wang, Xuan-Ce; Li, Zheng-Xiang; Sheppard, Stephen; Clark, Christopher] Curtin Univ, Sch Earth &amp; Planetary Sci, GPO Box U1987, Perth, WA 6845, Australia; [Rasmussen, Birger] Univ Western Australia, Sch Earth Sci, Perth, WA 6009, Australia; [Sheppard, Stephen] Prime Geol Mapping, POB 3014, Carlisle South, WA 6101, Australia; [Zi, Jian-Wei] China Univ Geosci, State Key Lab Geol Proc &amp; Mineral Resources, Wuhan 430074, Peoples R China; [Hand, Martin] Univ Adelaide, Sch Phys Sci, Dept Geol &amp; Geophys, Adelaide, SA 5005, Australia; [Li, Wu-Xian] Chinese Acad Sci, Guangzhou Inst Geochem, State Key Lab Isotope Geochem, Guangzhou 510640, Guangdong, Peoples R China</t>
  </si>
  <si>
    <t>Curtin University; University of Western Australia; Curtin University; Curtin University; University of Western Australia; China University of Geosciences; University of Adelaide; Chinese Academy of Sciences; Guangzhou Institute of Geochemistry, CAS</t>
  </si>
  <si>
    <t>Stark, JC (corresponding author), Curtin Univ, Sch Earth &amp; Planetary Sci, GPO Box U1987, Perth, WA 6845, Australia.</t>
  </si>
  <si>
    <t>c.stark@postgrad.curtin.edu.au</t>
  </si>
  <si>
    <t>Zi, Jian-Wei/A-4850-2011; Wang, Xuan-Ce/K-9270-2019; Li, Wuxian/A-6302-2009; Li, Zheng-Xiang/B-8827-2008; Clark, Chris/B-6471-2008</t>
  </si>
  <si>
    <t>Zi, Jian-Wei/0000-0001-8094-7568; Wang, Xuan-Ce/0000-0001-7276-6273; Li, Zheng-Xiang/0000-0003-4350-5976; Clark, Chris/0000-0001-9982-7849; Sheppard, Stephen/0000-0002-2517-5574; hand, martin/0000-0003-3743-9706; Rasmussen, Birger/0000-0002-2745-0904</t>
  </si>
  <si>
    <t>Australian Research Council Centre of Excellence for Core to Crust Fluid Systems [CE110001017]; ARC Laureate Fellowship grant [FL150100133]; ARC future fellowship grant [FT140100826]; Australian Antarctic Science Project [4191]; Curtin University ORD postgraduate scholarship; Australian Research Council; Auscope NCRIS</t>
  </si>
  <si>
    <t>Australian Research Council Centre of Excellence for Core to Crust Fluid Systems(Australian Research Council); ARC Laureate Fellowship grant(Australian Research Council); ARC future fellowship grant(Australian Research Council); Australian Antarctic Science Project; Curtin University ORD postgraduate scholarship; Australian Research Council(Australian Research Council); Auscope NCRIS(Australian GovernmentDepartment of Industry, Innovation and Science)</t>
  </si>
  <si>
    <t>Cristina Talavera and Hao Gao are thanked for their generous assistance with SHRIMP analyses and Ian Fitzsimons for his valuable feedback on an earlier draft. We thank Richard Ernst for his constructive and thoughtful review that greatly improved the manuscript. This work was supported by the Australian Research Council Centre of Excellence for Core to Crust Fluid Systems (CE110001017), ARC Laureate Fellowship grant to ZXL (FL150100133), ARC future fellowship grant to XCW (FT140100826), Australian Antarctic Science Project 4191 to MH and CC and Curtin University ORD postgraduate scholarship to JCS. Zircon and baddeleyite analyses were carried out on the Sensitive High Resolution Ion Micro Probe mass spectrometer (SHRIMP II) at the John de Laeter Centre, Curtin University, with the financial support of the Australian Research Council and Auscope NCRIS.</t>
  </si>
  <si>
    <t>10.1016/j.precamres.2018.02.023</t>
  </si>
  <si>
    <t>GK5MC</t>
  </si>
  <si>
    <t>WOS:000436218200005</t>
  </si>
  <si>
    <t>Farmery, AK; O'Kane, G; McManus, A; Green, BS</t>
  </si>
  <si>
    <t>Farmery, Anna K.; O'Kane, Gabrielle; McManus, Alexandra; Green, Bridget S.</t>
  </si>
  <si>
    <t>Consuming sustainable seafood: guidelines, recommendations and realities</t>
  </si>
  <si>
    <t>PUBLIC HEALTH NUTRITION</t>
  </si>
  <si>
    <t>Dietary guidelines; Fish stocks; n-3 Fatty acids; Sustainable diet</t>
  </si>
  <si>
    <t>CHAIN OMEGA-3 OILS; DIETARY GUIDELINES; ENVIRONMENTAL SUSTAINABILITY; FATTY-ACIDS; FISH OILS; HEALTHY; PERSPECTIVE; CONSUMPTION; CHALLENGES; PRINCIPLES</t>
  </si>
  <si>
    <t>Objective: Encouraging people to eat more seafood can offer a direct, cost-effective way of improving overall health outcomes. However, dietary recommendations to increase seafood consumption have been criticised following concern over the capacity of the seafood industry to meet increased demand, while maintaining sustainable fish stocks. The current research sought to investigate Australian accredited practising dietitians' (APD) and public health nutritionists' (PHN) views on seafood sustainability and their dietary recommendations, to identify ways to better align nutrition and sustainability goals. Design: A self-administered online questionnaire exploring seafood consumption advice, perceptions of seafood sustainability and information sources of APD and PHN. Qualitative and quantitative data were collected via open and closed questions. Quantitative data were analysed with chi(2) tests and reported using descriptive statistics. Content analysis was used for qualitative data. Setting: Australia. Subjects: APD and PHN were targeted to participate; the sample includes respondents from urban and regional areas throughout Australia. Results: Results indicate confusion around the concept of seafood sustainability and where to obtain information, which may limit health professionals' ability to recommend the best types of seafood to maximise health and sustainability outcomes. Respondents demonstrated limited understanding of seafood sustainability, with 7.5% (n 6/80) satisfied with their level of understanding. Conclusions: Nutrition and sustainability goals can be better aligned by increasing awareness on seafood that is healthy and sustainable. For health professionals to confidently make recommendations, or identify trade-offs, more evidence-based information needs to be made accessible through forums such as dietetic organisations, industry groups and nutrition programmes.</t>
  </si>
  <si>
    <t>[Farmery, Anna K.] Univ Tasmania, Inst Marine &amp; Antarctic Studies, Hobart, Tas 7001, Australia; [O'Kane, Gabrielle] Univ Canberra, Hlth Res Inst, Canberra, ACT, Australia; [McManus, Alexandra] Curtin Univ, Fac Hlth Sci, Perth, WA, Australia; [Green, Bridget S.] Univ Tasmania, Inst Marine &amp; Antarctic Studies, Hobart, Tas, Australia</t>
  </si>
  <si>
    <t>University of Tasmania; University of Canberra; Curtin University; University of Tasmania</t>
  </si>
  <si>
    <t>Farmery, AK (corresponding author), Univ Tasmania, Inst Marine &amp; Antarctic Studies, Hobart, Tas 7001, Australia.</t>
  </si>
  <si>
    <t>Anna.Farmery@utas.edu.au</t>
  </si>
  <si>
    <t>Green, Bridget S/G-3368-2014; Farmery, Anna/H-9696-2014; McManus, Alexandra/D-2952-2011</t>
  </si>
  <si>
    <t>Farmery, Anna/0000-0002-8938-0040; McManus, Alexandra/0000-0002-3348-3809</t>
  </si>
  <si>
    <t>Sustainable Food Flagship of the Institute for the Study of Social Change; Institute for Marine and Antarctic Science at the University Tasmania</t>
  </si>
  <si>
    <t>A.K.F. acknowledges funding support from the Sustainable Food Flagship of the Institute for the Study of Social Change as well as the Institute for Marine and Antarctic Science at the University Tasmania. The funders had no role in the design, analysis or writing of this article.</t>
  </si>
  <si>
    <t>1368-9800</t>
  </si>
  <si>
    <t>1475-2727</t>
  </si>
  <si>
    <t>PUBLIC HEALTH NUTR</t>
  </si>
  <si>
    <t>Public Health Nutr.</t>
  </si>
  <si>
    <t>10.1017/S1368980017003895</t>
  </si>
  <si>
    <t>Public, Environmental &amp; Occupational Health; Nutrition &amp; Dietetics</t>
  </si>
  <si>
    <t>GF7WR</t>
  </si>
  <si>
    <t>WOS:000432179600012</t>
  </si>
  <si>
    <t>Jeong, A; Lee, JI; Seong, YB; Balco, G; Yoo, KC; Yoon, HI; Domack, E; Rhee, HH; Yu, BY</t>
  </si>
  <si>
    <t>Jeong, Ara; Lee, Jae Il; Seong, Yeong Bae; Balco, Greg; Yoo, Kyu-Cheul; Yoon, Ho Il; Domack, Eugene; Rhee, Hyun Hee; Yu, Byung Yong</t>
  </si>
  <si>
    <t>Late Quaternary deglacial history across the Larsen B embayment, Antarctica</t>
  </si>
  <si>
    <t>Quaternary; Glaciation; Antarctica; Cosmogenic isotopes; Glacial geomorphology; Larsen ice shelf; Deglaciation; Meteoric Be-10; In-situ C-14</t>
  </si>
  <si>
    <t>SITU COSMOGENIC C-14; LAST GLACIAL MAXIMUM; A ICE SHELF; HOLOCENE CLIMATE; FLOW DYNAMICS; HALF-LIFE; ROSS SEA; BE-10; PENINSULA; SHEET</t>
  </si>
  <si>
    <t>We measured meteoric Be-10 variation throughout a marine sediment core from the Larsen B embayment (LBE) of the Antarctic Peninsula, and collected in situ Be-10 and C-14 exposure ages on terrestrial glacial deposits from the northern and southern margins of the LBE. We use these data to reconstruct Last Glacial Maximum (LGM) to present deglaciation and ice shelf change in the LBE. Core sedimentary fades and meteoric Be-10 data show a monotonic progression from subglacial deposits to sub-ice-shelf deposits to open-marine conditions, indicating that its collapse in 2002 was unprecedented since the LGM. Exposure-age data from the southern LBE indicate 40 m of ice surface lowering between 14 and 6 ka, then little change between 6 ka and the 2002 collapse. Exposure-age data from the northern LBE show a bimodal distribution in which clusters of apparent exposure ages in the ranges 4.9-5.1 ka and 1.0-2.0 ka coexist near 50 m elevation. Based on these results, other published terrestrial and marine deglaciation ages, and a compilation of sea bed imagery, we suggest a north-to-south progression of deglaciation in the northeast Antarctic Peninsula in response to Holocene atmospheric and oceanic warming. We argue that local topography and ice configuration inherited from the LGM, in addition to climate change, are important in controlling the deglaciation history in this region. (C) 2018 Elsevier Ltd. All rights reserved.</t>
  </si>
  <si>
    <t>[Jeong, Ara] Arizona State Univ, Sch Geog Sci &amp; Urban Planning, Tempe, AZ 85287 USA; [Lee, Jae Il; Yoo, Kyu-Cheul; Yoon, Ho Il] Korea Polar Res Inst, Incheon 21990, South Korea; [Seong, Yeong Bae; Rhee, Hyun Hee] Korea Univ, Dept Geog, Seoul 02841, South Korea; [Balco, Greg] Berkeley Geochronol Ctr, 2455 Ridge Rd, Berkeley, CA 94709 USA; [Domack, Eugene] Univ S Florida, Coll Marine Sci, 140 7th Ave South, St Petersburg, FL 33701 USA; [Yu, Byung Yong] Korea Inst Sci &amp; Technol, Adv Anal Ctr, AMS Lab, Seoul 02792, South Korea</t>
  </si>
  <si>
    <t>Arizona State University; Arizona State University-Tempe; Korea Polar Research Institute (KOPRI); Korea University; Berkeley Geochronolgy Center; State University System of Florida; University of South Florida; Korea Institute of Science &amp; Technology (KIST)</t>
  </si>
  <si>
    <t>Seong, YB (corresponding author), Korea Univ, Dept Geog, Seoul 02841, South Korea.</t>
  </si>
  <si>
    <t>ybseong@korea.ac.kr</t>
  </si>
  <si>
    <t>Seong, Yeong Bae/K-2420-2019; RHEE, Hyun Hee/ISA-4439-2023</t>
  </si>
  <si>
    <t>Seong, Yeong Bae/0000-0001-6605-3912; rhee, hyunhee/0000-0003-0738-1160; Jeong, Ara/0000-0002-0177-1187</t>
  </si>
  <si>
    <t>Korea Polar Research Institute [PE18030]</t>
  </si>
  <si>
    <t>We would express sincere thanks to all the participants boarding on the Araon cruise of 2013 austral summer. This work was supported by Korea Polar Research Institute (PE18030). Most sincere appreciation should be given to the captain of the Araon, Bong Wook Kim. Without his clear-sighted decision, the cruise cannot have been fruitful. We would thank Prof. Ronald Dorn and Lewis Owen for their invaluable comments on the early version of the manuscript. Two anonymous reviewers provide very constructive and helpful comments.</t>
  </si>
  <si>
    <t>1873-457X</t>
  </si>
  <si>
    <t>10.1016/j.quascirev.2018.04.011</t>
  </si>
  <si>
    <t>GG5TL</t>
  </si>
  <si>
    <t>WOS:000432758500009</t>
  </si>
  <si>
    <t>Chisham, G</t>
  </si>
  <si>
    <t>Chisham, G.</t>
  </si>
  <si>
    <t>Calibrating SuperDARN Interferometers Using Meteor Backscatter</t>
  </si>
  <si>
    <t>RADIO SCIENCE</t>
  </si>
  <si>
    <t>SuperDARN; interferometer; calibration; ionosphere; backscatter; geolocation</t>
  </si>
  <si>
    <t>HIGH-LATITUDE CONVECTION; HIGH-FREQUENCY RADAR; HF RADAR; F-REGION; ECHOES; IRREGULARITIES; DRIFT; IONOSPHERE</t>
  </si>
  <si>
    <t>Accurate geolocation of ionospheric backscatter measured by the Super Dual Auroral Radar Network (SuperDARN) high-frequency radars is critical for the integrity of polar ionospheric convection maps, which involve combining SuperDARN line-of-sight velocity measurements originating from multiple locations. Geolocation requires estimation of the propagation paths of the high-frequency radio signal to and from the scattering volume. The SuperDARN radars comprise both a main and interferometer antenna array to allow the estimation of the elevation angle of arrival of the returning signal, and hence its most likely propagation path. However, over the history of operation of SuperDARN (&gt;20years) elevation angle data have not been routinely used owing to problems with the calibration of phase difference measurements. Instead, virtual height models have been used to estimate the most likely propagation paths, and these are often of limited accuracy. Here we present a method for calibrating SuperDARN interferometer measurements using backscatter from meteor trails measured in the near field-of-view of the SuperDARN radars. We present estimates of calibration factors for the SuperDARN radar in Saskatoon, Canada, at different temporal resolutions: 3months, 10days, and 1day. The calibration factor varies over the 9-year interval studied, such that employing a single value for the whole interval would lead to significant errors in elevation angle measurements at times. The higher-resolution results show the ability of the technique to determine the calibration factor routinely at a high time resolution.</t>
  </si>
  <si>
    <t>[Chisham, G.] British Antarctic Survey, Cambridge, England</t>
  </si>
  <si>
    <t>Chisham, G (corresponding author), British Antarctic Survey, Cambridge, England.</t>
  </si>
  <si>
    <t>gchi@bas.ac.uk</t>
  </si>
  <si>
    <t>Chisham, Gareth/0000-0003-1151-5934</t>
  </si>
  <si>
    <t>Natural Environment Research Council; NERC [bas0100031, NE/R016038/1] Funding Source: UKRI</t>
  </si>
  <si>
    <t>This study is part of the British Antarctic Survey (BAS) Polar Science for Planet Earth Programme. It was funded by the Natural Environment Research Council. The author acknowledges the use of SuperDARN data. SuperDARN is a collection of radars funded by the national scientific funding agencies of Australia, Canada, China, France, Italy, Japan, Norway, South Africa, UK, and United States. We would like to thank the PI of the Saskatoon SuperDARN radar, Kathryn McWilliams (University of Saskatchewan, Canada), and the previous PI George Sofko. We are very grateful for the work of the Saskatoon SuperDARN engineers over the years covered in this study. The SuperDARN data are available from the BAS SuperDARN data mirror (https://www.bas.ac.uk/project/superdarn/#data).</t>
  </si>
  <si>
    <t>0048-6604</t>
  </si>
  <si>
    <t>1944-799X</t>
  </si>
  <si>
    <t>RADIO SCI</t>
  </si>
  <si>
    <t>Radio Sci.</t>
  </si>
  <si>
    <t>10.1029/2017RS006492</t>
  </si>
  <si>
    <t>Astronomy &amp; Astrophysics; Geochemistry &amp; Geophysics; Meteorology &amp; Atmospheric Sciences; Remote Sensing; Telecommunications</t>
  </si>
  <si>
    <t>GM0SH</t>
  </si>
  <si>
    <t>WOS:000437765500006</t>
  </si>
  <si>
    <t>Lletena-Martillo, Y; Peñaherrera-Palma, C; Espinoza, ER</t>
  </si>
  <si>
    <t>Lletena-Martillo, Yasmania; Penaherrera-Palma, Cesar; Espinoza, Eduardo R.</t>
  </si>
  <si>
    <t>Fish assemblages in three fringed mangrove bays of Santa Cruz Island, Galapagos Marine Reserve</t>
  </si>
  <si>
    <t>REVISTA DE BIOLOGIA TROPICAL</t>
  </si>
  <si>
    <t>fisheries; gill net; mangrove bays; marine ecology; environmental factors; Galapagos</t>
  </si>
  <si>
    <t>JUVENILE BLACKTIP SHARKS; CORAL-REEF FISH; CARCHARHINUS-LIMBATUS; COMMUNITY STRUCTURE; SPECIES COMPOSITION; HABITATS; ESTUARINE; ABUNDANCE; DIVERSITY; AUSTRALIA</t>
  </si>
  <si>
    <t>Mangrove-fringed bays are highly variable ecosystems that provide critical habitats for fish species. In this study we assessed the fish assemblage in three mangrove-fringed bays (Punta Rocafuerte, Saca Calzon and Garrapatero) in the Southeast side of Santa Cruz Island. Galapagos Marine Reserve. Using gillnets, we carried out a total of 108 fieldtrips from January 2010 to December 2011. A total of 1 773 bony and 740 cartilaginous fishes belonging to 26 species and 15 families were identified at the same sampling sites. Species richness was higher in the protected bay (Garrapatero) than in those open to fishing (Punta Rocafuerte, Saca Calzon). Blacktip sharks (Carcharhinus limbatus, n=729), Thoburn's mullets (Mugil thoburni, n- 492). Peruvian mojarras (Diapterus peruvianus, n= 440), milkfish (Chanos chanos, n= 206) and the yellow fin mojarras (Gerres cinereus, n= 197) were the most common species across sites and season (cold and warm). The abundance of the most common species varied seasonally, with C. limbatus and C. chanos being more abundant in the warm season (December to April), and M. thoburni, C. limbatus and G. cinereus in the cold season (June to October). Temperature was the most important driver of abundance in C. limbatus and C. chanos, while salinity influenced Umbrina galapagorum. This study represents the first evaluation of the fish assemblage composition and dynamics in mangrove-fringed bays in the Galapagos Marine Reserve.</t>
  </si>
  <si>
    <t>[Lletena-Martillo, Yasmania] San Francisco Quito Univ, Galapagos Inst Arts &amp; Sci GAIAS, Charles Darwin St, San Cristobal Isl, Ecuador; [Penaherrera-Palma, Cesar] Pontifical Catholic Univ Ecuador Manabi, Eudoro Loor St, Portoviejo, Manabi, Ecuador; [Penaherrera-Palma, Cesar] Univ Tasmania, Inst Marine &amp; Antarctic Studies, Private Bag 49, Hobart, Tas, Australia; [Penaherrera-Palma, Cesar; Espinoza, Eduardo R.] Galapagos Natl Pk Directorate, Marines Ecosyst Monitoring, Charles Darwin St, Santa Cruz Isl, Ecuador</t>
  </si>
  <si>
    <t>Universidad San Francisco de Quito; University of Tasmania</t>
  </si>
  <si>
    <t>Lletena-Martillo, Y (corresponding author), San Francisco Quito Univ, Galapagos Inst Arts &amp; Sci GAIAS, Charles Darwin St, San Cristobal Isl, Ecuador.</t>
  </si>
  <si>
    <t>yasmania.llerena@gmail.com; Cesar.Penaherrera@utas.edu.au; eespinoza@galapagos.gob.ec</t>
  </si>
  <si>
    <t>Directorate of the Galapagos National Park, Conservation International; Secretariat of Higher Education, Science, Technology and Innovation of the Ecuadorean Government, Swen Lorenz; Charles Darwin Foundation</t>
  </si>
  <si>
    <t>The authors would like to thank to the Directorate of the Galapagos National Park, Conservation International, the Secretariat of Higher Education, Science, Technology and Innovation (formerly known as SENESCYT) of the Ecuadorean Government, Swen Lorenz, and the Charles Darwin Foundation for providing the necessary funding to carry out this research. We are particularly indebted to Carlos Bailon (Don Gabino) and Don Nelson, the crew of the Ranger patrolling boats, Elsa Freshet, Janai Yepez, and all the volunteers who helped during the project's fieldtrips.</t>
  </si>
  <si>
    <t>SAN JOSE</t>
  </si>
  <si>
    <t>UNIVERSIDAD DE COSTA RICA CIUDAD UNIVERSITARIA, SAN JOSE, 00000, COSTA RICA</t>
  </si>
  <si>
    <t>0034-7744</t>
  </si>
  <si>
    <t>2215-2075</t>
  </si>
  <si>
    <t>REV BIOL TROP</t>
  </si>
  <si>
    <t>Rev. Biol. Trop.</t>
  </si>
  <si>
    <t>GM9WD</t>
  </si>
  <si>
    <t>WOS:000438605300014</t>
  </si>
  <si>
    <t>Jin, H; Zou, SS; Chen, G; Yan, CX; Zhang, SD; Yang, GT</t>
  </si>
  <si>
    <t>Jin, Han; Zou, Shasha; Chen, Gang; Yan, Chunxiao; Zhang, Shaodong; Yang, Guotao</t>
  </si>
  <si>
    <t>Formation and Evolution of Low-Latitude F Region Field-Aligned Irregularities During the 7-8 September 2017 Storm: Hainan Coherent Scatter Phased Array Radar and Digisonde Observations</t>
  </si>
  <si>
    <t>EQUATORIAL-SPREAD-F; ATMOSPHERE RADAR; PLASMA BUBBLES; SPATIAL RELATIONSHIP; BACKSCATTER PLUMES; DRIFT; IONOSPHERE; ONSET</t>
  </si>
  <si>
    <t>In this paper, we present a study of the low-latitude field-aligned irregularities formation and evolution during the 7-8 September 2017 geomagnetic storm by analyzing data of the very high frequency coherent radar installed at Fuke, Hainan Island of China (19.5 degrees N, 109.1 degrees E; magnetic latitude 9.58 degrees N) and a colocated Digisonde Portable Sounder. The prompt penetration of eastward interplanetary electric field associated with sudden southward turning of the interplanetary magnetic field Bz resulted in large ascent of the F layer, making conducive conditions at the bottomside of the layer for the growth of Rayleigh-Taylor instability and the development of the plasma irregularities in the postsunset hours. The irregularities persisted into the postmidnight sector when the southward interplanetary magnetic field Bz gradually decreased to the quiet time values. In addition, the base height of F layer at Fuke also showed a large elevation after midnight during two consecutive substorm onsets, suggesting that the substorm-induced overshielding penetration electric field may take over and modify the ambient zonal electric field in low-latitude ionosphere and induce the irregularities in the postmidnight sector. Moreover, different from the quiet time eastward movement of the irregularities observed over Fuke, the storm time irregularities displayed no zonal drift at the initial period and subsequently began drifting westward. The reversal of background plasma zonal drift velocity observed by Hainan digisonde characterized the storm time zonal drift pattern of the irregularities.</t>
  </si>
  <si>
    <t>[Jin, Han; Chen, Gang; Yan, Chunxiao; Zhang, Shaodong] Wuhan Univ, Elect Informat Sch, Wuhan, Hubei, Peoples R China; [Jin, Han; Zou, Shasha] Univ Michigan, Dept Climate &amp; Space Sci &amp; Engn, Ann Arbor, MI 48109 USA; [Yan, Chunxiao; Yang, Guotao] Chinese Acad Sci, Natl Space Sci Ctr, Beijing, Peoples R China</t>
  </si>
  <si>
    <t>Wuhan University; University of Michigan System; University of Michigan; Chinese Academy of Sciences; National Space Science Center, CAS</t>
  </si>
  <si>
    <t>Jin, H (corresponding author), Wuhan Univ, Elect Informat Sch, Wuhan, Hubei, Peoples R China.;Jin, H (corresponding author), Univ Michigan, Dept Climate &amp; Space Sci &amp; Engn, Ann Arbor, MI 48109 USA.</t>
  </si>
  <si>
    <t>jinhan@whu.edu.cn</t>
  </si>
  <si>
    <t>Yang, Guotao/N-8854-2013; Zhang, Shaodong/F-9888-2013; Huang, Kai/JVO-5066-2024; Zou, Shasha/G-2205-2011</t>
  </si>
  <si>
    <t>Zhang, Shaodong/0000-0003-3345-1927; chen, gang/0000-0002-6690-4024; Jin, Han/0000-0002-6990-0280; Zou, Shasha/0000-0001-7726-2349</t>
  </si>
  <si>
    <t>National Natural Science Foundation of China [41722404, 41474132]; NSF [AGS1400998, AGS1342968]</t>
  </si>
  <si>
    <t>National Natural Science Foundation of China(National Natural Science Foundation of China (NSFC)); NSF(National Science Foundation (NSF))</t>
  </si>
  <si>
    <t>This project was supported by the National Natural Science Foundation of China (41722404 and 41474132). S. Zou acknowledges the support of NSF AGS1400998 and AGS1342968. The authors acknowledge the use of the Hainan coherent scatter radar and Hainan digisonde data from the Chinese Meridian Project (http://data.meridian project.ac.cn/). The solar wind and IMF data as well as the SYM/H index are obtained from the OMNIWeb Data Explorer (https://omniweb.gsfc.nasa.gov/). The auroral activity indices AU/AL/AE are obtained from the World Data Center for Geomagnetism at Kyoto University (http://wdc.kugi.kyoto-u.ac.jp/). We thank Arctic and Antarctic Research Institute (AARI), Department of Geophysics (http://geophys.aari.ru) for use of the AARI magnetometers data.</t>
  </si>
  <si>
    <t>10.1029/2018SW001865</t>
  </si>
  <si>
    <t>GM7MF</t>
  </si>
  <si>
    <t>WOS:000438371500006</t>
  </si>
  <si>
    <t>Fonseca, R; Martín-Torres, J; Andersson, K</t>
  </si>
  <si>
    <t>Fonseca, Ricardo; Martin-Torres, Javier; Andersson, Kent</t>
  </si>
  <si>
    <t>Wind Forecasts for Rocket and Balloon Launches at the Esrange Space Center Using the WRF Model</t>
  </si>
  <si>
    <t>WEATHER AND FORECASTING</t>
  </si>
  <si>
    <t>Arctic; Forecast verification; skill; Hindcasts; Numerical weather prediction; forecasting; Short-range prediction; Numerical analysis; modeling</t>
  </si>
  <si>
    <t>ATMOSPHERIC BOUNDARY-LAYER; NONLOCAL CLOSURE-MODEL; POLAR WEATHER RESEARCH; PART I; SEA-ICE; DATA ASSIMILATION; RADIATION FOG; ARCTIC FJORDS; SENSITIVITY; SIMULATION</t>
  </si>
  <si>
    <t>High-altitude balloons and rockets are regularly launched at the Esrange Space Center (ESC) in Kiruna, Sweden, with the aim of retrieving atmospheric data for meteorological and space studies in the Arctic region. Meteorological conditions, particularly wind direction and speed, play a critical role in the decision of whether to go ahead with or postpone a planned launch. Given the lack of high-resolution wind forecasts for this remote region, the Weather Research and Forecasting (WRF) Model is used to downscale short-term forecasts given by the Global Forecast System (GFS) for the ESC for six 5-day periods in the warm, cold, and transition seasons. Three planetary boundary layer (PBL) schemes are considered: the local Mellor-Yamada-Janji (MYJ), the nonlocal Yonsei University (YSU), and the hybrid local-nonlocal Asymmetric Convective Model 2 (ACM2). The ACM2 scheme is found to provide the most skillful forecasts. An analysis of the WRF Model output against the launch criteria for two of the most commonly launched vehicles, the sounding rockets Veiculo de Sondagem Booster-30 (VSB-30) and Improved Orion, reveals probability of detection (POD) values that always exceeds 60% with the false alarm rate (FAR) generally below 50%. It is concluded that the WRF Model, in its present configuration, can be used to generate useful 5-day wind forecasts for the launches of these two rockets. The conclusions reached here are applicable to similar sites in the Arctic and Antarctic regions.</t>
  </si>
  <si>
    <t>[Fonseca, Ricardo; Martin-Torres, Javier] Lulea Univ Technol, Dept Comp Sci Elect &amp; Space Engn, Div Space Technol, Lulea, Sweden; [Martin-Torres, Javier] UGR, CSIC, Inst Andaluz Ciencias Tierra, Granada, Spain; [Andersson, Kent] Esrange Space Ctr, Swedish Space Corp, Kiruna, Sweden</t>
  </si>
  <si>
    <t>Lulea University of Technology; Consejo Superior de Investigaciones Cientificas (CSIC); CSIC - Instituto Andaluz de Ciencias de la Tierra (IACT); University of Granada; Swedish Space Corporation (SSC)</t>
  </si>
  <si>
    <t>Fonseca, R (corresponding author), Lulea Univ Technol, Dept Comp Sci Elect &amp; Space Engn, Div Space Technol, Lulea, Sweden.</t>
  </si>
  <si>
    <t>ricardo.fonseca@ltu.se</t>
  </si>
  <si>
    <t>Martin-Torres, Javier/G-6329-2015; Martin-Torres, Javier/M-3779-2019</t>
  </si>
  <si>
    <t>Martin-Torres, Javier/0000-0001-6479-2236; Fonseca, Ricardo/0000-0002-8562-7368</t>
  </si>
  <si>
    <t>Swedish National Space Board (SNSB) through the NRFP-3 program; Lulea University of Technology (LTU)</t>
  </si>
  <si>
    <t>This work is partly funded by the Swedish National Space Board (SNSB) through the NRFP-3 program and Lulea University of Technology (LTU). We are grateful to the High Performance Computing Center North (HPC2N) for providing the computer resources needed to perform the numerical experiments presented in this paper. We would like to acknowledge Martin Bysell, Klas Nehrman, Mikael Viertotak, and Per Baldemar from the Swedish Space Corporation (SSC), for their assistance and valuable discussions that helped to shape this paper. We would also like to thank three anonymous reviewers for their detailed and insightful comments and suggestions that helped to improve the quality of the paper.</t>
  </si>
  <si>
    <t>0882-8156</t>
  </si>
  <si>
    <t>1520-0434</t>
  </si>
  <si>
    <t>WEATHER FORECAST</t>
  </si>
  <si>
    <t>Weather Forecast.</t>
  </si>
  <si>
    <t>10.1175/waf-d-18-0031.1</t>
  </si>
  <si>
    <t>GL4DJ</t>
  </si>
  <si>
    <t>WOS:000437098000001</t>
  </si>
  <si>
    <t>Sivasankar, P; Rekadwad, B; Poongodi, S; Sivakumar, K; Parli, BV; Kumar, NA</t>
  </si>
  <si>
    <t>Sivasankar, Palaniappan; Rekadwad, Bhagwan; Poongodi, Subramaniam; Sivakumar, Kannan; Parli, Bhaskar Venkateswaran; Kumar, N. Anil</t>
  </si>
  <si>
    <t>Bioinformatics delimitation of the psychrophilic and psychrotolerant actinobacteria isolated from the Polar Frontal waters of the Southern Ocean</t>
  </si>
  <si>
    <t>Psychrophile; Psychrotolerant; Antarctic Ocean; Polar Front; Marine Actinobacteria</t>
  </si>
  <si>
    <t>RESPONSE QR CODES; DIGITAL DATA; HOT-SPRINGS; BACTERIAL; THERMOPHILES; DIVERSITY; UNKESHWAR; IDENTIFY; COMPARE; STRAINS</t>
  </si>
  <si>
    <t>Identification of microorganisms plays a key role in the determination of the composition of microbial diversity for bioprospecting of biotechnologically important biomolecules. Digitalization is the process that solve discrepancies in microbial identification and cataloguing their diversity in distinct ecological habitats. In view of this connection, the psychrophilic and psychrotolerant actinobacteria were isolated from the water samples of the Polar Frontal region of the Southern Ocean. 16S rRNA gene sequencing for identification of psychrophiles was carried out and sequences were deposited in NCBI GeneBank. 16S rRNA gene sequences were used to create QR codes, CGR, FCGR and GC plot. This generated digital data help to relate the diversity amongst the isolated actinobacterial strains. The digital data showed considerable divergence among the actinobacterial strains. This generated bioinformatics data is helpful in the delimitation of the psychrophilic and psychrotolerant actinobacteria. Thus, the present study is a robust and accurate method for the identification of Polar microorganisms in a fixed boundary. Hence, this work will help to assign a unique digital identity to microorganisms in near future [9-19]. (C) 2018 The Authors. Published by Elsevier lnc.</t>
  </si>
  <si>
    <t>[Sivasankar, Palaniappan] Periyar Univ, Dept Environm Sci, Salem 636011, Tamil Nadu, India; [Rekadwad, Bhagwan] Natl Ctr Cell Sci, Natl Ctr Microbial Resource, Pune 411021, Maharashtra, India; [Poongodi, Subramaniam; Sivakumar, Kannan] Annamalai Univ, Ctr Adv Study Marine Biol, Fac Marine Sci, Parangipettai 608502, Tamil Nadu, India; [Parli, Bhaskar Venkateswaran; Kumar, N. Anil] Natl Ctr Antarctic &amp; Ocean Res, Vasco Da Gama 403804, Goa, India</t>
  </si>
  <si>
    <t>Periyar University; Department of Biotechnology (DBT) India; National Centre for Cell Science, Pune (NCCS); Annamalai University; Ministry of Earth Sciences (MoES) - India; National Centre for Polar and Ocean Research (NCPOR)</t>
  </si>
  <si>
    <t>Rekadwad, B (corresponding author), Natl Ctr Cell Sci, Natl Ctr Microbial Resource, Pune 411021, Maharashtra, India.</t>
  </si>
  <si>
    <t>rekadwad@gmail.com</t>
  </si>
  <si>
    <t>Palaniappan, Sivasankar/D-6526-2013; Parli, Bhaskar/Y-4916-2019; Rekadwad, Bhagwan/A-1752-2011</t>
  </si>
  <si>
    <t>Palaniappan, Sivasankar/0000-0002-1930-7657; Parli, Bhaskar/0000-0002-0654-7520; Rekadwad, Bhagwan/0000-0002-0954-0180</t>
  </si>
  <si>
    <t>National Postdoctoral Fellowship Scheme (N-PDF) [PDF/2016/003905]; Science and Engineering Research Board, Department of Science and Technology (DST-SERB), Government of India [PDF/2016/003905]; Department of Biotechnology (DBT), Government of India [BT/PR5426/AAQ/3/599/2012]</t>
  </si>
  <si>
    <t>National Postdoctoral Fellowship Scheme (N-PDF); Science and Engineering Research Board, Department of Science and Technology (DST-SERB), Government of India; Department of Biotechnology (DBT), Government of India(Department of Biotechnology (DBT) India)</t>
  </si>
  <si>
    <t>The author PS thank the National Postdoctoral Fellowship Scheme (N-PDF, Grant No. PDF/2016/003905), Science and Engineering Research Board, Department of Science and Technology (DST-SERB) no.PDF/2016/003905), Government of India and K.S thank the Department of Biotechnology (DBT), Government of India (Grant no. BT/PR5426/AAQ/3/599/2012) for financial assistance.</t>
  </si>
  <si>
    <t>10.1016/j.dib.2018.03.014</t>
  </si>
  <si>
    <t>GZ9JQ</t>
  </si>
  <si>
    <t>WOS:000449815400073</t>
  </si>
  <si>
    <t>Smith, DM; Dunstone, NJ; Scaife, AA; Fiedler, EK; Copsey, D; Hardiman, SC</t>
  </si>
  <si>
    <t>Smith, Doug M.; Dunstone, Nick J.; Scaife, Adam A.; Fiedler, Emma K.; Copsey, Dan; Hardiman, Steven C.</t>
  </si>
  <si>
    <t>Atmospheric response to Arctic and Antarctic sea ice: The importance of ocean-atmosphere coupling and the background state (vol 30, pg 4547, 2017)</t>
  </si>
  <si>
    <t>[Smith, Doug M.; Dunstone, Nick J.; Scaife, Adam A.; Fiedler, Emma K.; Copsey, Dan; Hardiman, Steven C.] Met Off Hadley Ctr, Exeter, Devon, England</t>
  </si>
  <si>
    <t>Met Office - UK; Hadley Centre</t>
  </si>
  <si>
    <t>Smith, DM (corresponding author), Met Off Hadley Ctr, Exeter, Devon, England.</t>
  </si>
  <si>
    <t>doug.smith@metoffice.gov.uk</t>
  </si>
  <si>
    <t>Hardiman, Steven/HDO-0165-2022; Dunstone, Nick J/G-6304-2012; Smith, Doug/ABD-5204-2021</t>
  </si>
  <si>
    <t>10.1175/JCLI-D-18-0100.1</t>
  </si>
  <si>
    <t>HB0GF</t>
  </si>
  <si>
    <t>WOS:000450690300003</t>
  </si>
  <si>
    <t>Hsu, YC; Lee, CP; Wang, YL; Wu, CR; Lui, HK</t>
  </si>
  <si>
    <t>Hsu, Yu-Chen; Lee, Chung-Pan; Wang, You-Lin; Wu, Chau-Ron; Lui, Hon-Kit</t>
  </si>
  <si>
    <t>Leading El-Nino SST Oscillations around the Southern South American Continent</t>
  </si>
  <si>
    <t>SUSTAINABILITY</t>
  </si>
  <si>
    <t>HadISST; Antarctic Circumpolar Current; ACC; sea surface temperature; SST; ENSO</t>
  </si>
  <si>
    <t>RAINFALL VARIABILITY; CIRCULATION FEATURES; TROPICAL PACIFIC; ATLANTIC-OCEAN; ENSO; PRECIPITATION; SUMMER; TELECONNECTIONS; TEMPERATURE; EVENTS</t>
  </si>
  <si>
    <t>The inter-annual variations in the sea surface temperatures (SSTs) of the tropical and subtropical Pacific Ocean have been widely investigated, largely due to their importance in achieving the sustainable development of marine ecosystems under a changing climate. The El Nino-Southern Oscillation (ENSO) is a widely recognized variability. In the subpolar region in the southern hemisphere, the Antarctic Circumpolar Current (ACC) is one of the main sources of the Peru Current. A change in the SST in the Southern Ocean may change the physical properties of the seawater in the tropical and subtropical Pacific Ocean. However, the variations in the SST in the Southern Ocean have rarely been addressed. This study uses a 147-year (1870-2016) dataset from the Met Office Hadley Centre to show that the SST anomalies (SSTAs) in the oceans west and east of South America and the Antarctic Peninsula have strong positive (R = 0.56) and negative (R = -0.67) correlations with the Nino 3.4 SSTA, respectively. Such correlations are likely related to the changes in circulations of the ACC. We further show that, statistically, the temporal variations in the SSTAs of the ACC lead the Nino 3.4 SSTA by four to six months. Such findings imply that change in the strength of ENSO or circulation under the changing climate could change the climate in regions at higher latitudes as well.</t>
  </si>
  <si>
    <t>[Hsu, Yu-Chen; Lee, Chung-Pan] Natl Sun Yat Sen Univ, Dept Marine Environm &amp; Engn, Kaohsiung 80424, Taiwan; [Hsu, Yu-Chen; Lui, Hon-Kit] Taiwan Ocean Res Inst, Natl Appl Res Labs, Kaohsiung 80143, Taiwan; [Wang, You-Lin; Wu, Chau-Ron] Natl Taiwan Normal Univ, Dept Earth Sci, Taipei 11677, Taiwan</t>
  </si>
  <si>
    <t>National Sun Yat Sen University; National Applied Research Laboratories - Taiwan; National Taiwan Normal University</t>
  </si>
  <si>
    <t>Lee, CP (corresponding author), Natl Sun Yat Sen Univ, Dept Marine Environm &amp; Engn, Kaohsiung 80424, Taiwan.;Wu, CR (corresponding author), Natl Taiwan Normal Univ, Dept Earth Sci, Taipei 11677, Taiwan.</t>
  </si>
  <si>
    <t>annehsu@narlabs.org.tw; cplee@mail.nsysu.edu.tw; ylwang@ntnu.edu.tw; cwu@ntnu.edu.tw; hklui@narlabs.org.tw</t>
  </si>
  <si>
    <t>Wu, Chau-Ron/GDZ-5620-2022; LUI, HON KIT/E-1581-2014</t>
  </si>
  <si>
    <t>Wang, You-Lin/0000-0003-3526-8325; LUI, HON KIT/0000-0003-1089-1786</t>
  </si>
  <si>
    <t>Ministry of Science and Technology, ROC [MOST 104-2611-M-003-002-MY3]</t>
  </si>
  <si>
    <t>Ministry of Science and Technology, ROC</t>
  </si>
  <si>
    <t>The authors would like to thank Met Office Hadley Centre and NOAA for providing the invaluable data. We thank three anonymous reviewers' constructive comments which clarify and strengthen the manuscript. This research was supported by the Ministry of Science and Technology, ROC, under grants MOST 104-2611-M-003-002-MY3.</t>
  </si>
  <si>
    <t>2071-1050</t>
  </si>
  <si>
    <t>SUSTAINABILITY-BASEL</t>
  </si>
  <si>
    <t>Sustainability</t>
  </si>
  <si>
    <t>10.3390/su10061783</t>
  </si>
  <si>
    <t>Green &amp; Sustainable Science &amp; Technology; Environmental Sciences; Environmental Studies</t>
  </si>
  <si>
    <t>Science &amp; Technology - Other Topics; Environmental Sciences &amp; Ecology</t>
  </si>
  <si>
    <t>GK9LE</t>
  </si>
  <si>
    <t>WOS:000436570100095</t>
  </si>
  <si>
    <t>Lipovsky, BP</t>
  </si>
  <si>
    <t>Lipovsky, Bradley Paul</t>
  </si>
  <si>
    <t>Ice Shelf Rift Propagation and the Mechanics of Wave-Induced Fracture</t>
  </si>
  <si>
    <t>ice shelf; ice-ocean interaction; calving; wave propagation; seismology</t>
  </si>
  <si>
    <t>CRACK-PROPAGATION; EAST ANTARCTICA; SURFACE; GLACIERS; DYNAMICS; DEFORMATION; STABILITY; CREVASSES; TSUNAMI; FRONT</t>
  </si>
  <si>
    <t>Distant storms, tsunamis, and earthquakes generate waves on floating ice shelves. Previous studies, however, have disagreed about whether the resulting wave-induced stresses may cause ice shelf rift propagation. Most ice shelf rifts show long periods of dormancy suggesting that they have low background stress concentrations and may therefore be susceptible to wave-induced stresses. Here I quantify wave-induced stresses on the Ross Ice Shelf Nascent Rift and the Amery Ice Shelf Loose Tooth T2 Rift using passive seismology. I then relate these stresses to a fracture mechanical model of rift propagation that accounts for rift cohesive strength due to refrozen melange, ice inertia, and spatial heterogeneity in fracture toughness due to the presence of high toughness suture zones. I infer wave-induced stresses using the wave impedance tensor, a rank three tensor that relates seismically observable particle velocities to components of the stress tensor. I find that wave-induced stresses are an order of magnitude larger on the Ross Ice Shelf as compared to the Amery Ice Shelf. In the absence of additional rift strength, my model predicts that the Nascent Rift should have experienced extensive rift propagation. The observation that no such propagation occurred during this time therefore suggests that the Nascent Rift experiences strengthening from either refrozen melange or rift tip processes zone dynamics. This study illustrates one way in which passive seismology may illuminate glacier calving physics.</t>
  </si>
  <si>
    <t>[Lipovsky, Bradley Paul] Harvard Univ, Dept Earth &amp; Planetary Sci, 20 Oxford St, Cambridge, MA 02138 USA</t>
  </si>
  <si>
    <t>Harvard University</t>
  </si>
  <si>
    <t>Lipovsky, BP (corresponding author), Harvard Univ, Dept Earth &amp; Planetary Sci, 20 Oxford St, Cambridge, MA 02138 USA.</t>
  </si>
  <si>
    <t>brad_lipovsky@fas.harvard.edu</t>
  </si>
  <si>
    <t>Lipovsky, Bradley/0000-0003-4940-0745</t>
  </si>
  <si>
    <t>Department of Earth and Planetary Sciences at Harvard University</t>
  </si>
  <si>
    <t>This work was supported by a Postdoctoral Fellowship in the Department of Earth and Planetary Sciences at Harvard University. Discussions with Catherine Walker, Jim Rice, and Doug MacAyeal provided useful context for this study. Greg Wagner read an early version of this paper and provided feedback. Victor Tsai demanded better explanations. Marine Denolle asked several important questions. Olga Sergienko and an anonymous reviewer provided comments that significantly improved the quality of the manuscript. All of the data used in this study have been previously published: the seismic data are freely available at the IRIS Consortium website (http://doi.org/10.7914/SN/XV_2003 and http://doi.org/10.7914/SN/X9_2004) and the satellite imagery is available on the NSIDC website (http://nsidc.org/data/iceshelves_images/index_modis.html). Maps were made using the Antarctic mapping tools for MATLAB (Greene et al., 2017).</t>
  </si>
  <si>
    <t>10.1029/2017JC013664</t>
  </si>
  <si>
    <t>WOS:000440834100007</t>
  </si>
  <si>
    <t>Roach, LA; Horvat, C; Dean, SM; Bitz, CM</t>
  </si>
  <si>
    <t>Roach, Lettie A.; Horvat, Christopher; Dean, Samuel M.; Bitz, Cecilia M.</t>
  </si>
  <si>
    <t>An Emergent Sea Ice Floe Size Distribution in a Global Coupled Ocean-Sea Ice Model</t>
  </si>
  <si>
    <t>sea ice; floe size distribution; ocean-sea ice model; lateral melt; Artic; Antarctic</t>
  </si>
  <si>
    <t>THICKNESS DISTRIBUTION; SUMMER; EVOLUTION; GEOMETRY; COVER; WAVES; ZONE</t>
  </si>
  <si>
    <t>Sea ice is composed of discrete floes, which range in size across orders of magnitude. Here we present a model that represents the joint distribution of sea ice thickness and floe size. Unlike previous studies, we do not impose a particular form on the subgrid-scale floe size distribution. Floe sizes are determined prognostically by the interaction of five key physical processes: new ice formation, welding of floes in freezing conditions, lateral growth and melt, and fracture of floes by ocean surface waves. Coupled model results suggest that these processes capture first-order characteristics of the floe size distribution, including decay in the distribution with increasing floe size and basin-wide spatial variability in representative radius. Lateral melt and floe welding are particularly important, with wave fracture creating floes at preferred sizes. The addition of floe size dependence to the existing model physics results in significant reductions in sea ice concentration, particularly in summer and principally due to floe size-dependent lateral melt. The increased lateral melt alters partitioning of the melting potential, which reduces basal melt and increases sea ice thickness in some locations. These results suggest that including a floe size distribution may be important for accurate simulation of the polar climate system. Plain Language Summary Climate models simulate complex interactions between the ocean, atmosphere, land surface, and sea ice on vertical and horizontal grids. Within a model grid cell, which is typically around 1 degrees latitude/longitude horizontal resolution, the sea ice component currently only simulates the different thicknesses of any ice present. Real-life sea ice cover is made up of discrete pieces of ice called floes, which can have widely varying horizontal sizes. Here we present a new sea ice model which simulates both floe sizes as well as thicknesses. Floe sizes change when new ice is created, ice melts or freezes, or when floes are broken up by ocean waves. The new model alters the simulation of large-scale sea ice properties, which could be important for accurate representation of polar climate.</t>
  </si>
  <si>
    <t>[Roach, Lettie A.; Horvat, Christopher; Dean, Samuel M.] Natl Inst Water &amp; Atmospher Res, Natl Climate Ctr, Wellington, New Zealand; [Roach, Lettie A.] Victoria Univ Wellington, Sch Geog Environm &amp; Earth Sci, Wellington, New Zealand; [Horvat, Christopher] Brown Univ, Inst Brown Environm &amp; Soc, Providence, RI 02912 USA; [Bitz, Cecilia M.] Univ Washington, Atmospher Sci, Seattle, WA 98195 USA</t>
  </si>
  <si>
    <t>National Institute of Water &amp; Atmospheric Research (NIWA) - New Zealand; Victoria University Wellington; Brown University; University of Washington; University of Washington Seattle</t>
  </si>
  <si>
    <t>Roach, LA (corresponding author), Natl Inst Water &amp; Atmospher Res, Natl Climate Ctr, Wellington, New Zealand.;Roach, LA (corresponding author), Victoria Univ Wellington, Sch Geog Environm &amp; Earth Sci, Wellington, New Zealand.</t>
  </si>
  <si>
    <t>Lettie.Roach@niwa.co.nz</t>
  </si>
  <si>
    <t>Bitz, Cecilia M/S-8423-2016; Roach, Lettie/HKV-2511-2023; Dean, Samuel/F-7711-2011</t>
  </si>
  <si>
    <t>Roach, Lettie/0000-0003-4189-3928; Bitz, Cecilia/0000-0002-9477-7499; Horvat, Christopher/0000-0001-6512-0335; Dean, Samuel/0000-0001-6338-4601</t>
  </si>
  <si>
    <t>Marsden contract [VUW-1408]; Frank Knox Memorial Fellowship; US National Science Foundation [PLR-1643431]; NeSI; Ministry of Business, Innovation &amp; Employment's Research Infrastructure programme</t>
  </si>
  <si>
    <t>Marsden contract(Royal Society of New ZealandMarsden Fund (NZ)); Frank Knox Memorial Fellowship; US National Science Foundation(National Science Foundation (NSF)); NeSI; Ministry of Business, Innovation &amp; Employment's Research Infrastructure programme</t>
  </si>
  <si>
    <t>LR and SD were funded via Marsden contract VUW-1408. CH was supported by the Frank Knox Memorial Fellowship during parts of this work. CMB was supported by the US National Science Foundation PLR-1643431. The authors would like to thank Richard Gorman for producing the wave model hindcast, Erik Behrens for setting up the standard model NEMO-CICE configuration, and Elizabeth Hunke and an anonymous reviewer for their consideration of the manuscript. The authors also wish to acknowledge the contribution of NeSI high-performance computing facilities to the results of this research. NZ's national facilities are provided by the NZ eScience Infrastructure and funded jointly by NeSI's collaborator institutions and through the Ministry of Business, Innovation &amp; Employment's Research Infrastructure programme. Model output used in this manuscript is publicly available via Zenodo (https://doi.org/10.5281/zenodo.1193929). Access to the code via a Github repository is available from the corresponding author upon request.</t>
  </si>
  <si>
    <t>10.1029/2017JC013692</t>
  </si>
  <si>
    <t>WOS:000440834100021</t>
  </si>
  <si>
    <t>Jiang, H; Wang, HT; Wang, ZM; Yuan, YB</t>
  </si>
  <si>
    <t>Jiang, Hu; Wang, Haitao; Wang, Zemin; Yuan, Yunbin</t>
  </si>
  <si>
    <t>Real-Time Monitoring for BDS Signal-In-Space Anomalies Using Ground Observation Data</t>
  </si>
  <si>
    <t>signal-in-space (SIS); User-Range Error (URE); BeiDou Navigation Satellite System (BDS); User Range Accuracy (URA); SIS anomalies</t>
  </si>
  <si>
    <t>SATELLITE; PERFORMANCE; NAVIGATION; SYSTEM</t>
  </si>
  <si>
    <t>Signal-in-space (SIS) User Range Error (URE) is one of the major error sources for BeiDou Navigation Satellite System (BDS) applications and can reach tens of meters or even more. Therefore, real-time monitoring of SIS anomalies has a great realistic significance to guarantee the safety of users. According to an analysis of the BDS navigation messages, it showed that the User Range Accuracy (URA) index could not reflect the change of URE when it was abnormal. The conventional models using the relationship between URA and URE to monitor SIS anomalies are not suitable to the present BDS. Therefore, we use a prior information of SIS URE derived from ground observational data instead of URA to monitor BDS SIS anomalies. In order to realize the corresponding functions, we analysed the distribution of SIS UREs and obtained their prior models. Then, the monitoring threshold is determined using the prior models and a confidence interval instead of URA. The scheme was tested by applying to BDS SIS anomalies monitoring based on 13 ground tracking stations. The performance of this method was assessed by comparison with the satellite-health indicators from broadcast ephemeris. The results confirm that the method developed in this paper can rightly and timely detect abnormal SIS.</t>
  </si>
  <si>
    <t>[Jiang, Hu; Wang, Zemin] Wuhan Univ, Chinese Antarctic Ctr Surveying &amp; Mapping, Wuhan 430079, Hubei, Peoples R China; [Wang, Haitao; Yuan, Yunbin] Chinese Acad Sci, Inst Geodesy &amp; Geophys, State Key Lab Geodesy &amp; Earths Dynam, Wuhan 430077, Hubei, Peoples R China</t>
  </si>
  <si>
    <t>Wuhan University; Chinese Academy of Sciences; Innovation Academy for Precision Measurement Science &amp; Technology, CAS</t>
  </si>
  <si>
    <t>Wang, HT (corresponding author), Chinese Acad Sci, Inst Geodesy &amp; Geophys, State Key Lab Geodesy &amp; Earths Dynam, Wuhan 430077, Hubei, Peoples R China.</t>
  </si>
  <si>
    <t>jianghu@whu.edu.cn; whigg_wang@whigg.ac.cn; zmwang@whu.edu.cn; yybgps@whigg.ac.cn</t>
  </si>
  <si>
    <t>ZeMin, Wang/AAU-3422-2020</t>
  </si>
  <si>
    <t>National Natural Science Foundation of China [41474029, 41776195, 41574015]; Science and Technology Innovation Fund of Chinese Academy of Sciences [CXJJ-14-M18]; National Basic Research Program of China [2012CB825604]; CAS/SAFEA International Partnership Program for Creative Research Teams [KZZD-EW-TZ-05]</t>
  </si>
  <si>
    <t>National Natural Science Foundation of China(National Natural Science Foundation of China (NSFC)); Science and Technology Innovation Fund of Chinese Academy of Sciences; National Basic Research Program of China(National Basic Research Program of China); CAS/SAFEA International Partnership Program for Creative Research Teams(Chinese Academy of Sciences)</t>
  </si>
  <si>
    <t>This work was supported by the National Natural Science Foundation of China (41474029, 41776195, 41574015), the Science and Technology Innovation Fund of Chinese Academy of Sciences (CXJJ-14-M18), the National Basic Research Program of China (2012CB825604), and the CAS/SAFEA International Partnership Program for Creative Research Teams (KZZD-EW-TZ-05). We also would like to acknowledge the International GNSS Service (IGS) for providing the GPS data and the products used in our experiment.</t>
  </si>
  <si>
    <t>10.3390/s18061816</t>
  </si>
  <si>
    <t>GL0KD</t>
  </si>
  <si>
    <t>WOS:000436774300150</t>
  </si>
  <si>
    <t>Wu, T; Liu, JB; Li, Z; Liu, KK; Xu, BN</t>
  </si>
  <si>
    <t>Wu, Teng; Liu, Jingbin; Li, Zheng; Liu, Keke; Xu, Beini</t>
  </si>
  <si>
    <t>Accurate Smartphone Indoor Visual Positioning Based on a High-Precision 3D Photorealistic Map</t>
  </si>
  <si>
    <t>indoor visual positioning; photogrammetric vision; place recognition; image feature matching; smartphone positioning</t>
  </si>
  <si>
    <t>Indoor positioning is in high demand in a variety of applications, and indoor environment is a challenging scene for visual positioning. This paper proposes an accurate visual positioning method for smartphones. The proposed method includes three procedures. First, an indoor high-precision 3D photorealistic map is produced using a mobile mapping system, and the intrinsic and extrinsic parameters of the images are obtained from the mapping result. A point cloud is calculated using feature matching and multi-view forward intersection. Second, top-K similar images are queried using hamming embedding with SIFT feature description. Feature matching and pose voting are used to select correctly matched image, and the relationship between image points and 3D points is obtained. Finally, outlier points are removed using P3P with the coarse focal length. Perspective-four-point with unknown focal length and random sample consensus are used to calculate the intrinsic and extrinsic parameters of the query image and then to obtain the positioning of the smartphone. Compared with established baseline methods, the proposed method is more accurate and reliable. The experiment results show that 70 percent of the images achieve location error smaller than 0.9 m in a 10 m x 15.8 m room, and the prospect of improvement is discussed.</t>
  </si>
  <si>
    <t>[Wu, Teng; Liu, Jingbin; Liu, Keke; Xu, Beini] Wuhan Univ, State Key Lab Informat Engn Surveying Mapping &amp; R, Wuhan 430079, Hubei, Peoples R China; [Liu, Jingbin] Wuhan Univ, Collaborat Innovat Ctr Geospatial Technol, Wuhan 430079, Hubei, Peoples R China; [Li, Zheng] Wuhan Univ, Chinese Antarctic Ctr Surveying &amp; Mapping, Wuhan 430079, Hubei, Peoples R China; [Liu, Jingbin] Finnish Geospatial Res Inst, Dept Remote Sensing &amp; Photogrammetry, Masala 02430, Finland; [Liu, Jingbin] Finnish Geospatial Res Inst, Ctr Excellence Laser Scanning Res, Masala 02430, Finland</t>
  </si>
  <si>
    <t>Wuhan University; Wuhan University; Wuhan University; The National Land Survey of Finland; Finnish Geospatial Research Institute (FGI); The National Land Survey of Finland; Finnish Geospatial Research Institute (FGI)</t>
  </si>
  <si>
    <t>Liu, JB (corresponding author), Wuhan Univ, State Key Lab Informat Engn Surveying Mapping &amp; R, Wuhan 430079, Hubei, Peoples R China.;Liu, JB (corresponding author), Wuhan Univ, Collaborat Innovat Ctr Geospatial Technol, Wuhan 430079, Hubei, Peoples R China.;Liu, JB (corresponding author), Finnish Geospatial Res Inst, Dept Remote Sensing &amp; Photogrammetry, Masala 02430, Finland.;Liu, JB (corresponding author), Finnish Geospatial Res Inst, Ctr Excellence Laser Scanning Res, Masala 02430, Finland.</t>
  </si>
  <si>
    <t>whurswuteng@whu.edu.cn; jingbin.liu@whu.edu.cn; 2016206440005@whu.edu.cn; 2014301610276@whu.edu.cn; xubeini@whu.edu.cn</t>
  </si>
  <si>
    <t>Liu, Jingbin/AAE-8803-2020; SHI, YAN/HNI-1042-2023; Liu, keke/HKF-4509-2023</t>
  </si>
  <si>
    <t>Liu, Jingbin/0000-0001-6216-0956</t>
  </si>
  <si>
    <t>National Key Research Development Program of China [2016YFB0502204]; China postdoctoral science foundation [2017M622523]</t>
  </si>
  <si>
    <t>National Key Research Development Program of China; China postdoctoral science foundation(China Postdoctoral Science Foundation)</t>
  </si>
  <si>
    <t>This study was partially supported by the National Key Research Development Program of China (project No. 2016YFB0502204) and the China postdoctoral science foundation (2017M622523).</t>
  </si>
  <si>
    <t>10.3390/s18061974</t>
  </si>
  <si>
    <t>WOS:000436774300308</t>
  </si>
  <si>
    <t>Meredith, NP; Horne, RB; Kersten, T; Li, W; Bortnik, J; Sicard, A; Yearby, KH</t>
  </si>
  <si>
    <t>Meredith, Nigel P.; Horne, Richard B.; Kersten, Tobias; Li, Wen; Bortnik, Jacob; Sicard, Angelica; Yearby, Keith H.</t>
  </si>
  <si>
    <t>Global Model of Plasmaspheric Hiss From Multiple Satellite Observations</t>
  </si>
  <si>
    <t>Plasmaspheric Hiss; Radiation Belts; Plasmasphere</t>
  </si>
  <si>
    <t>EARTHS INNER MAGNETOSPHERE; DISCRETE CHORUS EMISSIONS; RADIATION BELT ELECTRONS; PITCH-ANGLE DIFFUSION; VAN ALLEN PROBES; RELATIVISTIC ELECTRONS; GEOMAGNETIC STORMS; EQUATORIAL NOISE; SCATTERING LOSS; ELF NOISE</t>
  </si>
  <si>
    <t>We present a global model of plasmaspheric hiss, using data from eight satellites, extending the coverage and improving the statistics of existing models. We use geomagnetic activity dependent templates to separate plasmaspheric hiss from chorus. In the region 22-14 magnetic local time (MLT) the boundary between plasmaspheric hiss and chorus moves to lower L* values with increasing geomagnetic activity. The average wave intensity of plasmaspheric hiss is largest on the dayside and increases with increasing geomagnetic activity from midnight through dawn to dusk. Plasmaspheric hiss is most intense and spatially extended in the 200 to 500 Hz frequency band during active conditions, 400 &lt; AE &lt; 750 nT, with an average intensity of 1,128 pT(2) in the region 05-17 MLT from 1.5 &lt; L* &lt; 3.5. In the prenoon sector, waves in the 100 to 200 Hz frequency band peak near the magnetic equator and decrease in intensity with increasing magnetic latitude, inconsistent with a source from chorus outside the plasmapause, but more consistent with local amplification by substorm-injected electrons. At higher frequencies the average wave intensities in this sector exhibit two peaks, one near the magnetic equator and one at high latitudes, 45 degrees &lt; vertical bar lambda(m)vertical bar &lt; 60 degrees, with a minimum at intermediate latitudes, 30 degrees &lt; vertical bar lambda(m)vertical bar &lt; 40 degrees, consistent with a source from chorus outside the plasmapause. In the premidnight sector, the intensity of plasmaspheric hiss in the frequency range 50 &lt; f &lt; 1,000 Hz decreases with increasing geomagnetic activity. The source of this weak premidnight plasmaspheric hiss is likely to be chorus at larger L* in the postnoon sector that enters that plasmasphere in the postnoon sector and subsequently propagates eastward in MLT.</t>
  </si>
  <si>
    <t>[Meredith, Nigel P.; Horne, Richard B.; Kersten, Tobias] NERC, British Antarctic Survey, Cambridge, England; [Li, Wen] Boston Univ, Ctr Space Phys, Boston, MA 02215 USA; [Bortnik, Jacob] Univ Calif Los Angeles, Dept Atmospher &amp; Ocean Sci, Los Angeles, CA USA; [Sicard, Angelica] Off Natl Etud &amp; Rech Aerosp, Toulouse, France; [Yearby, Keith H.] Univ Sheffield, Dept ACSE, Sheffield, S Yorkshire, England</t>
  </si>
  <si>
    <t>UK Research &amp; Innovation (UKRI); Natural Environment Research Council (NERC); NERC British Antarctic Survey; Boston University; University of California System; University of California Los Angeles; National Office for Aerospace Studies &amp; Research (ONERA); University of Sheffield</t>
  </si>
  <si>
    <t>Meredith, NP (corresponding author), NERC, British Antarctic Survey, Cambridge, England.</t>
  </si>
  <si>
    <t>nmer@bas.ac.uk</t>
  </si>
  <si>
    <t>Li, Wen/F-3722-2011; Meredith, Nigel P/C-5806-2018; Horne, Richard B/U-3764-2019</t>
  </si>
  <si>
    <t>Horne, Richard B/0000-0002-0412-6407; yearby, keith/0000-0002-7605-4393; Kersten, Tobias/0000-0002-0694-7698; Meredith, Nigel/0000-0001-5032-3463; Sicard, Angelica/0000-0001-7810-1432</t>
  </si>
  <si>
    <t>NASA [NAS5-02099, NNX17AD15G, NNX17AG07G, NNX14AN85G, NNX16AG21G]; AFOSR grant [FA9550-15-1-0158]; European Union Seventh Framework Programme (FP7) [262468]; Natural Environment Research Council Highlight Topic grant [NE/P10738X/1]; NERC [bas0100031, NE/P01738X/1] Funding Source: UKRI</t>
  </si>
  <si>
    <t>NASA(National Aeronautics &amp; Space Administration (NASA)); AFOSR grant(United States Department of DefenseAir Force Office of Scientific Research (AFOSR)); European Union Seventh Framework Programme (FP7)(European Union (EU)); Natural Environment Research Council Highlight Topic grant; NERC(UK Research &amp; Innovation (UKRI)Natural Environment Research Council (NERC))</t>
  </si>
  <si>
    <t>We acknowledge the CDAWeb (https://cdaweb.sci.gsfc.nasa. gov/ index. html/) and the Cluster Active Archive (now the Cluster Science Archive-https://www.cosmos.esa.int/web/csa) for the provision of the wave data of DE1 and Cluster, respectively. We thank LPCEE laboratory (Orleans, France) for their help in the analysis of this wave data. We thank the STAFF-DWP instrument team for provision of the Double Star TC1 data, which is also available at the Cluster Science Archive. We thank NASA contract NAS5-02099 and V.Angelopoulos for use of data from THEMIS Mission. Specifically, we thank O. Le Contel and A. Roux for use of SCM data, which is available from http://themis.ssl.berkeley.edu/data/themis/. We are grateful for the Van Allen Probes data from the EMFISIS instrument obtained from https://emfisis.physics.uiowa.edu/data/index. We acknowledge the NSSDC Omniweb for the provision of the geomagnetic activity indices used in this report. WL would like to acknowledge support from NASA grants NNX17AD15G and NNX17AG07G and the AFOSR grant FA9550-15-1-0158. J. B. would like to acknowledge support from NASA grants NNX14AN85G and NNX16AG21G. The research leading to these results has received funding from the European Union Seventh Framework Programme (FP7/2007-2013) under grant agreements 262468 (SPACECAST) and the Natural Environment Research Council Highlight Topic grant NE/P10738X/1 (Rad-Sat). The global model of plasmapheric hiss described in this paper is archived at the BAS Polar Data Centre and is available on request.</t>
  </si>
  <si>
    <t>10.1029/2018JA025226</t>
  </si>
  <si>
    <t>GO2LM</t>
  </si>
  <si>
    <t>WOS:000439803100006</t>
  </si>
  <si>
    <t>Coxon, JC; Freeman, MP; Jackman, CM; Forsyth, C; Rae, IJ; Fear, RC</t>
  </si>
  <si>
    <t>Coxon, John C.; Freeman, Mervyn P.; Jackman, Caitriona M.; Forsyth, Colin; Rae, I. Jonathan; Fear, Robert C.</t>
  </si>
  <si>
    <t>Tailward Propagation of Magnetic Energy Density Variations With Respect to Substorm Onset Times</t>
  </si>
  <si>
    <t>SOLAR-WIND; MAGNETOSPHERIC SUBSTORMS; EARTHS MAGNETOTAIL; AURORAL MORPHOLOGY; GEOMAGNETIC TAIL; EXPANSION PHASE; FLUX-TRANSFER; GROWTH-PHASE; RECONNECTION; LOBES</t>
  </si>
  <si>
    <t>During geomagnetic substorms, around 10(15) J of energy is extracted from the solar wind and processed by the Earth's magnetosphere. Prior to the onset of substorm expansion phases, this energy is thought to be largely stored as an increase in the magnetic field in the magnetotail lobes. However, how, when, and where this energy is stored and released within the magnetotail is unclear. Using data from the Cluster spacecraft and substorm onsets from Substorm Onsets and Phases from Indices of the Electrojet (SOPHIE), we examine the variation in the lobe magnetic energy density with respect to substorm onset for 541 isolated onsets. Based on a cross-correlation analysis and a simple model, we deduce the following: On average, the magnetic energy density increases approximately linearly in the hour preceding onset and decreases at a similar rate after onset. The timing and magnitude of these changes varies with downtail distance, with observations from the mid-tail (X less than or similar to -9 R-E) showing larger changes in the magnetic energy density that occur similar to 20 min after changes in the near-tail (X greater than or similar to -9 R-E). The decrease in energy density in the near-tail region is observed before the ground onset identified by SOPHIE, implying that the substorm is driven from the magnetotail and propagates into the ionosphere. The implication of these results is that energy in the near-tail region is released first during the substorm expansion phase, with energy conversion propagating away from the Earth with time.</t>
  </si>
  <si>
    <t>[Coxon, John C.; Jackman, Caitriona M.; Fear, Robert C.] Univ Southampton, Dept Phys &amp; Astron, Southampton, Hants, England; [Freeman, Mervyn P.] British Antarctic Survey, Cambridge, England; [Forsyth, Colin; Rae, I. Jonathan] UCL Mullard Space Sci Lab, Dorking, Surrey, England</t>
  </si>
  <si>
    <t>University of Southampton; UK Research &amp; Innovation (UKRI); Natural Environment Research Council (NERC); NERC British Antarctic Survey; University of London; University College London</t>
  </si>
  <si>
    <t>Coxon, JC (corresponding author), Univ Southampton, Dept Phys &amp; Astron, Southampton, Hants, England.</t>
  </si>
  <si>
    <t>work@johncoxon.co.uk</t>
  </si>
  <si>
    <t>Coxon, John/AAN-9355-2021; Rae, Jonathan/D-8132-2013; Freeman, Mervyn/E-5687-2019; Forsyth, Colin/E-4159-2010</t>
  </si>
  <si>
    <t>Coxon, John/0000-0002-0166-6854; Rae, Jonathan/0000-0002-2637-4786; Fear, Robert/0000-0003-0589-7147; Freeman, Mervyn/0000-0002-8653-8279; Forsyth, Colin/0000-0002-0026-8395; Jackman, Caitriona/0000-0003-0635-7361</t>
  </si>
  <si>
    <t>NERC [NE/L007177/1, NE/L006456/1, NE/L007495/1]; STFC Ernest Rutherford grant [ST/L002809/1, ST/K004298/2]; NERC Independent Research Fellowship [NE/N014480/1]; NERC [bas0100031, NE/L006456/1, NE/N014480/1] Funding Source: UKRI; STFC [ST/L002809/1, ST/K004298/2] Funding Source: UKRI; Natural Environment Research Council [NE/L006456/1] Funding Source: researchfish</t>
  </si>
  <si>
    <t>NERC(UK Research &amp; Innovation (UKRI)Natural Environment Research Council (NERC)); STFC Ernest Rutherford grant(UK Research &amp; Innovation (UKRI)Science &amp; Technology Facilities Council (STFC)); NERC Independent Research Fellowship(UK Research &amp; Innovation (UKRI)Natural Environment Research Council (NERC)); NERC(UK Research &amp; Innovation (UKRI)Natural Environment Research Council (NERC)); STFC(UK Research &amp; Innovation (UKRI)Science &amp; Technology Facilities Council (STFC)); Natural Environment Research Council(UK Research &amp; Innovation (UKRI)Natural Environment Research Council (NERC))</t>
  </si>
  <si>
    <t>This work was supported by NERC joint grants NE/L007177/1 (J. C. C. and C. M. J.), NE/L006456/1 (M. P. F.), and NE/L007495/1 (C. F. and I. J. R.), in addition to STFC Ernest Rutherford grant ST/L002809/1 and Fellowship ST/K004298/2 (J. C. C. and R. C. F.) and NERC Independent Research FellowshipNE/N014480/1 (C. F.). Cluster data used in this paper were downloaded from the European Space Agency's Cluster and Double Star Science Archive (http://www.cosmos.esa.int/web/csa/access). SOPHIE data used in this paper were obtained from the supporting information of Forsyth et al. (2015). OMNI data used in this paper were obtained from CDAWeb (https://cdaweb.sci.gsfc.nasa.gov/). Data analysis and plotting were conducted in Python: The libraries used were NumPy and SciPy (van der Walt et al., 2011), Matplotlib (Hunter, 2007), Pandas (McKinney, 2010), and SpacePy (Morley et al., 2010).</t>
  </si>
  <si>
    <t>10.1029/2017JA025147</t>
  </si>
  <si>
    <t>WOS:000439803100019</t>
  </si>
  <si>
    <t>Simms, LE; Engebretson, MJ; Clilverd, MA; Rodger, CJ; Reeves, GD</t>
  </si>
  <si>
    <t>Simms, Laura E.; Engebretson, Mark J.; Clilverd, Mark A.; Rodger, Craig J.; Reeves, Geoffrey D.</t>
  </si>
  <si>
    <t>Nonlinear and Synergistic Effects of ULF Pc5, VLF Chorus, and EMIC Waves on Relativistic Electron Flux at Geosynchronous Orbit</t>
  </si>
  <si>
    <t>OUTER RADIATION BELT; ION-CYCLOTRON WAVES; WHISTLER-MODE WAVES; VAN ALLEN PROBES; SOLAR-WIND; MAGNETIC STORM; GEOMAGNETIC STORMS; JANUARY 2013; MAGNETOSPHERE; PRECIPITATION</t>
  </si>
  <si>
    <t>Using data covering the years 2005-2009, we study the linear and nonlinear responses of log(10) relativistic electron flux measured at geosynchronous orbit to ultralow frequency (ULF) Pc5, very low frequency (VLF) lower band chorus, and electromagnetic ion cyclotron (EMIC) waves. We use regression models incorporating a quadratic term and a synergistic interaction term. Relativistic electron fluxes respond to ULF Pc5 and VLF chorus waves both linearly and nonlinearly. ULF Pc5 waves contribute both to electron enhancement (at midrange wave activity) and loss (at high levels of wave activity). Nonlinear effects of VLF chorus are positive (i.e., cause acceleration), adding to the positive linear effects. Synergistic interaction effects between high levels of VLF chorus and midrange values of ULF Pc5 waves result in more electron acceleration than would be predicted by a simpler additive model. Similarly, the negative effect of EMIC waves (losses) is more influential than would be predicted by a linear model when combined with either VLF chorus or ULF Pc5 waves. During disturbed conditions (high Kp), geostationary electron flux responds more strongly to the same levels of ULF Pc5 and VLF chorus waves. This flux also responds more to ULF Pc5 and chorus waves during southward Bz conditions. Unstandardized regression coefficients for models incorporating nonlinear and synergistic effects of waves are presented for use in future modeling.</t>
  </si>
  <si>
    <t>[Simms, Laura E.; Engebretson, Mark J.] Augsburg Univ, Dept Phys, Minneapolis, MN 55454 USA; [Clilverd, Mark A.] British Antarctic Survey, NERC, Cambridge, England; [Rodger, Craig J.] Univ Otago, Dept Phys, Dunedin, New Zealand; [Reeves, Geoffrey D.] Los Alamos Natl Lab, Los Alamos, NM USA</t>
  </si>
  <si>
    <t>Augsburg University; UK Research &amp; Innovation (UKRI); Natural Environment Research Council (NERC); NERC British Antarctic Survey; University of Otago; United States Department of Energy (DOE); Los Alamos National Laboratory</t>
  </si>
  <si>
    <t>Simms, LE (corresponding author), Augsburg Univ, Dept Phys, Minneapolis, MN 55454 USA.</t>
  </si>
  <si>
    <t>simmsl@augsburg.edu</t>
  </si>
  <si>
    <t>Reeves, Geoffrey/E-8101-2011; Rodger, Craig/A-1501-2011</t>
  </si>
  <si>
    <t>Reeves, Geoffrey/0000-0002-7985-8098; Rodger, Craig J./0000-0002-6770-2707</t>
  </si>
  <si>
    <t>NSF [AGS-1264146, PLR-1341493, AGS-1651263]; NERC [NE/P01738X/1, bas0100031, NE/R016038/1] Funding Source: UKRI; Directorate For Geosciences; Office of Polar Programs (OPP) [1341493] Funding Source: National Science Foundation</t>
  </si>
  <si>
    <t>NSF(National Science Foundation (NSF)); NERC(UK Research &amp; Innovation (UKRI)Natural Environment Research Council (NERC)); Directorate For Geosciences; Office of Polar Programs (OPP)(National Science Foundation (NSF)NSF - Directorate for Geosciences (GEO))</t>
  </si>
  <si>
    <t>We thank J. Bortnik, Y. Shprits, T. P. O'Brien, and an anonymous reviewer for their comments on a previous draft of this work, M. Ohnsted and N. Capman for EMIC wave identification, and R. Gamble for preparing and J.-J. Berthelier (PI) for providing DEMETER ICE data. Relativistic, seed, and source electron flux data were obtained from Los Alamos National Laboratory (LANL) geosynchronous energetic particle instruments (contact: G. D. Reeves). The ULF index is available at http://ulf.gcras.ru/. IMF Bz, Dst, and solar wind V, N, and P data are available from Goddard Space Flight Center Space Physics Data Facility at the OMNI Web data website (http://omniweb.gsfc.nasa.gov/html/ow_data.html). Work at Augsburg University was supported by NSF grants AGS-1264146, PLR-1341493, and AGS-1651263.</t>
  </si>
  <si>
    <t>10.1029/2017JA025003</t>
  </si>
  <si>
    <t>WOS:000439803100020</t>
  </si>
  <si>
    <t>Bestley, S; Raymond, B; Gales, NJ; Harcourt, RG; Hindell, MA; Jonsen, ID; Nicol, S; Péron, C; Sumner, MD; Weimerskirch, H; Wotherspoon, SJ; Cox, MJ</t>
  </si>
  <si>
    <t>Bestley, S.; Raymond, B.; Gales, N. J.; Harcourt, R. G.; Hindell, M. A.; Jonsen, I. D.; Nicol, S.; Peron, C.; Sumner, M. D.; Weimerskirch, H.; Wotherspoon, S. J.; Cox, M. J.</t>
  </si>
  <si>
    <t>Predicting krill swarm characteristics important for marine predators foraging off East Antarctica</t>
  </si>
  <si>
    <t>INDIAN-OCEAN SECTOR; SOUTHERN-OCEAN; EUPHAUSIA-SUPERBA; SEA-ICE; TRANSPORT PATHWAYS; SCALE DISTRIBUTION; ATLANTIC SECTOR; AUSTRAL SUMMER; CLIMATE-CHANGE; SCOTIA SEA</t>
  </si>
  <si>
    <t>Open ocean predator-prey interactions are often difficult to interpret because of a lack of information on prey fields at scales relevant to predator behaviour. Hence, there is strong interest in identifying the biological and physical factors influencing the distribution and abundance of prey species, which may be of broad predictive use for conservation planning and evaluating effects of environmental change. This study focuses on a key Southern Ocean prey species, Antarctic krill Euphausia superba, using acoustic observations of individual swarms (aggregations) from a large-scale survey off East Antarctica. We developed two sets of statistical models describing swarm characteristics, one set using underway survey data for the explanatory variables, and the other using their satellite remotely sensed analogues. While survey data are in situ and contemporaneous with the swarm data, remotely sensed data are all that is available for prediction and inference about prey distribution in other areas or at other times. The fitted models showed that the primary biophysical influences on krill swarm characteristics included daylight (solar elevation/radiation) and proximity to the Antarctic continental slope, but there were also complex relationships with current velocities and gradients. Overall model performance was similar regardless of whether underway or remotely sensed predictors were used. We applied the latter models to generate regional-scale spatial predictions using a 10-yr remotely-sensed time series. This retrospective modelling identified areas off east Antarctica where relatively dense krill swarms were consistently predicted during austral mid-summers, which may underpin key foraging areas for marine predators. Spatiotemporal predictions along Antarctic predator satellite tracks, from independent studies, illustrate the potential for uptake into further quantitative modelling of predator movements and foraging. The approach is widely applicable to other krill-dependent ecosystems, and our findings are relevant to similar efforts examining biophysical linkages elsewhere in the Southern Ocean and beyond.</t>
  </si>
  <si>
    <t>[Bestley, S.; Raymond, B.; Gales, N. J.; Peron, C.; Sumner, M. D.; Wotherspoon, S. J.; Cox, M. J.] Australian Antarctic Div, Kingston, Tas, Australia; [Bestley, S.; Raymond, B.; Hindell, M. A.; Nicol, S.; Wotherspoon, S. J.] Univ Tasmania, Inst Marine &amp; Antarct Studies, Hobart, Tas, Australia; [Bestley, S.; Raymond, B.; Hindell, M. A.; Sumner, M. D.; Cox, M. J.] Antarctic Climate &amp; Ecosyst Cooperat Res Ctr, Hobart, Tas, Australia; [Harcourt, R. G.; Jonsen, I. D.] Macquarie Univ, Dept Biol Sci, Sydney, NSW, Australia; [Peron, C.; Weimerskirch, H.] CNRS, Ctr Etud Biol Chize, Villiers En Bois, France</t>
  </si>
  <si>
    <t>Australian Antarctic Division; University of Tasmania; Antarctic Climate &amp; Ecosystems Cooperative Research Centre (ACE CRC); Macquarie University; Centre National de la Recherche Scientifique (CNRS)</t>
  </si>
  <si>
    <t>Bestley, S (corresponding author), Australian Antarctic Div, Kingston, Tas, Australia.;Bestley, S (corresponding author), Univ Tasmania, Inst Marine &amp; Antarct Studies, Hobart, Tas, Australia.;Bestley, S (corresponding author), Antarctic Climate &amp; Ecosyst Cooperat Res Ctr, Hobart, Tas, Australia.</t>
  </si>
  <si>
    <t>sophie.bestley@utas.edu.au</t>
  </si>
  <si>
    <t>Wotherspoon, Simon J/B-2390-2013; Bestley, Sophie/AAN-2483-2021; Weimerskirch, Henri/F-5562-2013; Weimerskirch, Henri/K-7306-2019; Sumner, Michael D/J-3478-2013; Hindell, Mark A/K-1131-2013</t>
  </si>
  <si>
    <t>Wotherspoon, Simon J/0000-0002-6947-4445; Bestley, Sophie/0000-0001-9342-669X; Weimerskirch, Henri/0000-0002-0457-586X; Jonsen, Ian/0000-0001-5423-6076; Sumner, Michael/0000-0002-2471-7511; Hindell, Mark/0000-0002-7823-7185; Harcourt, Robert/0000-0003-4666-2934</t>
  </si>
  <si>
    <t>10.1111/ecog.03080</t>
  </si>
  <si>
    <t>WOS:000434091800012</t>
  </si>
  <si>
    <t>Rybak, OO; Volodin, EM; Morozova, PA</t>
  </si>
  <si>
    <t>Rybak, O. O.; Volodin, E. M.; Morozova, P. A.</t>
  </si>
  <si>
    <t>Reconstruction of Climate of the Eemian Interglacial Using an Earth System Model. Part 2. The Response of the Greenland Ice Sheet to Climate Change</t>
  </si>
  <si>
    <t>RUSSIAN METEOROLOGY AND HYDROLOGY</t>
  </si>
  <si>
    <t>Climate; mathematical model; glacial-interglacial cycles; Eemian inter glacial; Green land ice sheet; the World Ocean level</t>
  </si>
  <si>
    <t>SEA-LEVEL; COLLAPSE</t>
  </si>
  <si>
    <t>In the framework of the study of the Eemian interglacial we consider the role of the Greenland ice sheet in the rise of the mean level of the World Ocean. Its contribution estimated as 2 m confirms the newest estimates based on the model results and on the proxy data analysis. In the beginning of the Eemian interglacial (earlier than 126 thousand years ago) mass lost occurs through the marine margin of the sheet. During the next five millennia, the negative surface mass balance plays the leading role. Taking into account the contribution of Greenland ice sheet, ocean thermal expansion, and the melting of mountain glaciers and ice caps, it is very probable that the West Antarctic ice sheet was the main source of the global sea level growth equal to 6-9 m the compared to the present.</t>
  </si>
  <si>
    <t>[Rybak, O. O.; Volodin, E. M.; Morozova, P. A.] RAS, Inst Numer Math, Ul Gubkina 8, Moscow 119333, Russia; [Rybak, O. O.] RAS, Sochi Res Ctr, Ul Theatralnaya 8a, Soci 354000, Russia; [Morozova, P. A.] RAS, Inst Geog, Ul Vavilova 77, Moscow 117335, Russia</t>
  </si>
  <si>
    <t>Russian Academy of Sciences; Russian Academy of Sciences; Sochi Research Center, RAS; Russian Academy of Sciences; Institute of Geography, Russian Academy of Sciences</t>
  </si>
  <si>
    <t>Rybak, OO (corresponding author), RAS, Inst Numer Math, Ul Gubkina 8, Moscow 119333, Russia.;Rybak, OO (corresponding author), RAS, Sochi Res Ctr, Ul Theatralnaya 8a, Soci 354000, Russia.</t>
  </si>
  <si>
    <t>o.o.rybak@gmail.com</t>
  </si>
  <si>
    <t>Morozova, Polina A./A-3471-2014; Rybak, Oleg/AAQ-8467-2020; \\volodin, Evgeny/F-9571-2013</t>
  </si>
  <si>
    <t>Rybak, Oleg/0000-0002-7234-0544;</t>
  </si>
  <si>
    <t>Russian Science Foundation [14-27-00126]; Russian Science Foundation [14-27-00126] Funding Source: Russian Science Foundation</t>
  </si>
  <si>
    <t>The re search was carried out in the Institute of Numerical Mathematics of Russian Academy of Sciences and was supported by the Russian Science Foundation (Project No. 14-27-00126 Study of the Earth Climate with the Next Generation Earth System Model).</t>
  </si>
  <si>
    <t>1068-3739</t>
  </si>
  <si>
    <t>1934-8096</t>
  </si>
  <si>
    <t>RUSS METEOROL HYDRO+</t>
  </si>
  <si>
    <t>Russ. Meteorol. Hydrol.</t>
  </si>
  <si>
    <t>10.3103/S1068373918060031</t>
  </si>
  <si>
    <t>GN6KH</t>
  </si>
  <si>
    <t>WOS:000439191100003</t>
  </si>
  <si>
    <t>Umling, NE; Thunell, RC; Bizimis, M</t>
  </si>
  <si>
    <t>Umling, N. E.; Thunell, R. C.; Bizimis, M.</t>
  </si>
  <si>
    <t>Deepwater Expansion and Enhanced Remineralization in the Eastern Equatorial Pacific During the Last Glacial Maximum</t>
  </si>
  <si>
    <t>glacial; benthic foraminifera; circulation; cadmium; carbon isotopes; deglaciation</t>
  </si>
  <si>
    <t>ATMOSPHERIC CO2 CONCENTRATIONS; BENTHIC FORAMINIFERAL CD/CA; MILLENNIAL-SCALE CHANGES; GLOBAL CARBON-CYCLE; RARE-EARTH-ELEMENTS; ANTARCTIC SEA-ICE; OCEAN CIRCULATION; SOUTHERN-OCEAN; NORTH-ATLANTIC; PANAMA-BASIN</t>
  </si>
  <si>
    <t>Published estimates of the radiocarbon content of middepth waters suggest a decrease in ventilation in multiple locations during the last glacial maximum (LGM; 24.0-18.1ka). Reduced glacial ventilation would have allowed respired carbon to accumulate in those waters. A subsequent deglacial release of this respired carbon reservoir to the atmosphere could then account for the observed increases in atmospheric CO2 and decline in atmospheric radiocarbon content. However, age model error and a release of C-14-depleted mantle carbon have also been cited as possible explanations for the observed middepth radiocarbon depletions, calling into question the deep ocean's role in storing respired carbon during the LGM. Joint measurements of benthic foraminiferal carbon isotope values (C-13) and cadmium/calcium (Cd/Ca) ratios provide a method for isolating the air-sea component of a water mass from changes in remineralization. Here we use benthic foraminiferal C-13 and Cd/Ca records from the eastern equatorial Pacific to constrain changes in remineralization and water-mass mixing over the last glacial-interglacial transition. These records are complemented with elemental measurements of the authigenic coatings of foraminifera to monitor postdepositional changes in bottom water properties. Our results suggest an increase of deep waters at midwater depths consistent with a shoaling of the boundary between the upper and lower branches of Southern Ocean overturning circulation. Additionally, our records demonstrate increased organic matter remineralization in middepth waters during the LGM, suggesting that respired carbon did accumulate in middepth waters under periods of reduced ventilation.</t>
  </si>
  <si>
    <t>[Umling, N. E.; Thunell, R. C.; Bizimis, M.] Univ South Carolina, Sch Earth Ocean &amp; Environm, Columbia, SC 29208 USA; [Umling, N. E.] Woods Hole Oceanog Inst, Dept Geol &amp; Geophys, Woods Hole, MA 02543 USA</t>
  </si>
  <si>
    <t>University of South Carolina System; University of South Carolina Columbia; Woods Hole Oceanographic Institution</t>
  </si>
  <si>
    <t>Umling, NE (corresponding author), Univ South Carolina, Sch Earth Ocean &amp; Environm, Columbia, SC 29208 USA.;Umling, NE (corresponding author), Woods Hole Oceanog Inst, Dept Geol &amp; Geophys, Woods Hole, MA 02543 USA.</t>
  </si>
  <si>
    <t>numling@whoi.edu</t>
  </si>
  <si>
    <t>Bizimis, Michael/0000-0002-4611-6928; Umling, Natalie/0000-0001-9999-1737</t>
  </si>
  <si>
    <t>National Science foundation [OCE-0956368]</t>
  </si>
  <si>
    <t>National Science foundation(National Science Foundation (NSF))</t>
  </si>
  <si>
    <t>We thank E. Tappa, B. Bair, W. Buckley, and C. Chartier for laboratory assistance. We thank S. Carey from the University of Rhode Island Core Repository for providing the samples used in this study. Support for this curating facility is provided by the National Science foundation through grant OCE-0956368. The authors declare no competing financial interests. The data supporting the conclusions can be found in the supporting information.</t>
  </si>
  <si>
    <t>10.1029/2017PA003221</t>
  </si>
  <si>
    <t>GN0NO</t>
  </si>
  <si>
    <t>WOS:000438667300002</t>
  </si>
  <si>
    <t>Gottschalk, J; Hodell, DA; Skinner, LC; Crowhurst, SJ; Jaccard, SL; Charles, C</t>
  </si>
  <si>
    <t>Gottschalk, Julia; Hodell, David A.; Skinner, Luke C.; Crowhurst, Simon J.; Jaccard, Samuel L.; Charles, Christopher</t>
  </si>
  <si>
    <t>Past Carbonate Preservation Events in the Deep Southeast Atlantic Ocean (Cape Basin) and Their Implications for Atlantic Overturning Dynamics and Marine Carbon Cycling</t>
  </si>
  <si>
    <t>NORTH-ATLANTIC; ATMOSPHERIC CO2; CLIMATE VARIABILITY; EQUATORIAL PACIFIC; ICE-CORE; BENTHIC FORAMINIFERA; INTERGLACIAL CHANGES; CACO3 COMPENSATION; WATER FORMATION; ANTARCTIC ICE</t>
  </si>
  <si>
    <t>Micropaleontological and geochemical analyses reveal distinct millennial-scale increases in carbonate preservation in the deep Southeast Atlantic (Cape Basin) during strong and prolonged Greenland interstadials that are superimposed on long-term (orbital-scale) changes in carbonate burial. These data suggest carbonate oversaturation of the deep Atlantic and a strengthened Atlantic Meridional Overturning Circulation (AMOC) during the most intense Greenland interstadials. However, proxy evidence from outside the Cape Basin indicates that AMOC changes also occurred during weaker and shorter Greenland interstadials. Here we revisit the link between AMOC dynamics and carbonate saturation in the deep Cape Basin over the last 400 kyr (sediment cores TN057-21,TN057-10, and Ocean Drilling Program Site 1089) by reconstructing centennial changes in carbonate preservation using millimeter-scale X-ray fluorescence (XRF) scanning data. We observe close agreement between variations in XRF Ca/Ti, sedimentary carbonate content, and foraminiferal shell fragmentation, reflecting a common control primarily through changing deep water carbonate saturation. We suggest that the high-frequency (suborbital) component of the XRF Ca/Ti records indicates the fast and recurrent redistribution of carbonate ions in the Atlantic basin via the AMOC during both long/strong and short/weak North Atlantic climate anomalies. In contrast, the low-frequency (orbital) XRF Ca/Ti component is interpreted to reflect slow adjustments through carbonate compensation and/or changes in the deep ocean respired carbon content. Our findings emphasize the recurrent influence of rapid AMOC variations on the marine carbonate system during past glacial periods, providing a mechanism for transferring the impacts of North Atlantic climate anomalies to the global carbon cycle via the Southern Ocean.</t>
  </si>
  <si>
    <t>[Gottschalk, Julia; Hodell, David A.; Skinner, Luke C.; Crowhurst, Simon J.] Univ Cambridge, Earth Sci Dept, Godwin Lab Palaeoclimate Res, Cambridge, England; [Gottschalk, Julia; Jaccard, Samuel L.] Univ Bern, Inst Geol Sci, Bern, Switzerland; [Gottschalk, Julia; Jaccard, Samuel L.] Univ Bern, Oeschger Ctr Climate Change Res, Bern, Switzerland; [Gottschalk, Julia] Columbia Univ, Lamont Doherty Earth Observ, Palisades, NY 10964 USA; [Charles, Christopher] Univ Calif San Diego, Scripps Inst Oceanog, La Jolla, CA 92093 USA</t>
  </si>
  <si>
    <t>University of Cambridge; University of Bern; University of Bern; Columbia University; University of California System; University of California San Diego; Scripps Institution of Oceanography</t>
  </si>
  <si>
    <t>Gottschalk, J (corresponding author), Univ Cambridge, Earth Sci Dept, Godwin Lab Palaeoclimate Res, Cambridge, England.;Gottschalk, J (corresponding author), Univ Bern, Inst Geol Sci, Bern, Switzerland.;Gottschalk, J (corresponding author), Univ Bern, Oeschger Ctr Climate Change Res, Bern, Switzerland.;Gottschalk, J (corresponding author), Columbia Univ, Lamont Doherty Earth Observ, Palisades, NY 10964 USA.</t>
  </si>
  <si>
    <t>jgottsch@ldeo.columbia.edu</t>
  </si>
  <si>
    <t>; Jaccard, Samuel/G-3447-2014</t>
  </si>
  <si>
    <t>Gottschalk, Julia/0000-0002-0403-3059; Jaccard, Samuel/0000-0002-5793-0896; Hodell, David/0000-0001-8537-1588</t>
  </si>
  <si>
    <t>Swiss National Science Foundation [200021_163003, PP00P2-144811, PP002_172915]; German Research Foundation [GO 2294/2-1]; Gates Cambridge Trust; European Research Council (WIHM) [339694]; NERC [NE/J010545/1]; NERC [NE/J010545/1] Funding Source: UKRI; Swiss National Science Foundation (SNF) [200021_163003] Funding Source: Swiss National Science Foundation (SNF)</t>
  </si>
  <si>
    <t>Swiss National Science Foundation(Swiss National Science Foundation (SNSF)); German Research Foundation(German Research Foundation (DFG)); Gates Cambridge Trust; European Research Council (WIHM); NERC(UK Research &amp; Innovation (UKRI)Natural Environment Research Council (NERC)); NERC(UK Research &amp; Innovation (UKRI)Natural Environment Research Council (NERC)); Swiss National Science Foundation (SNF)(Swiss National Science Foundation (SNSF))</t>
  </si>
  <si>
    <t>J. G. acknowledges support from the Swiss National Science Foundation (grant 200021_163003), the German Research Foundation (grant GO 2294/2-1), and the Gates Cambridge Trust. D.A.H. thanks the European Research Council (WIHM#339694) for support. L. C. S. acknowledges the Royal Society, the Cambridge Isaac Newton Trust, and NERC grant NE/J010545/1. S. L. J was funded by the Swiss National Science Foundation (grants PP00P2-144811 and PP002_172915). We thank Maryline Vautravers (Godwin Laboratory for Palaeoclimate Research, University of Cambridge) for performing and providing high-resolution sedimentary census counts from core TN057-21 and Bob Anderson (Lamont-Doherty Earth Observatory, Columbia University) for providing U and Th radioisotope data of TN057-21 from previous publications. We are grateful to Jimin Yu, Min-Te Chen, and one anonymous reviewer for their constructive feedback on this study. Data presented in this study are available from PANGAEA (https://doi.pangaea.de/10.1594/PANGAEA.887160).</t>
  </si>
  <si>
    <t>10.1029/2018PA003353</t>
  </si>
  <si>
    <t>WOS:000438667300007</t>
  </si>
  <si>
    <t>Timaná, ME</t>
  </si>
  <si>
    <t>Timana, Martin E.</t>
  </si>
  <si>
    <t>Sagina diffusa (Hook.f.) Timana, comb. nov (Caryophyllaceae), a new combination for the flora of Ile St. Paul (Southern Indian Ocean), with some historical notes</t>
  </si>
  <si>
    <t>ADANSONIA</t>
  </si>
  <si>
    <t>Sagina; Colobanthus; Caryophyllaceae; Ile St Paul; Ile Amsterdam; Southern Indian Ocean; Terres australes et antarctiques francaises; new combination</t>
  </si>
  <si>
    <t>A new combination, Sagina diffusa (Hook.f.) Timana, comb. nov., Caryophyllaceae, from the Ile St. Paul (Terres Australes et Antarctiques Francaises) is proposed to replace Colobanthus diffusus Hook.f. Sagina diffusa, comb. nov. is characterized by an upright pedicel and appressed sepals during and after capsule development. A historical account of putative type specimens is presented.</t>
  </si>
  <si>
    <t>[Timana, Martin E.] Pontificia Univ Catolica Peru, Dept Humanities, Geog Sect, Lima, Peru; [Timana, Martin E.] Pontificia Univ Catolica Peru, Appl Geog Res Ctr CIGA PUCP, Lima, Peru</t>
  </si>
  <si>
    <t>Pontificia Universidad Catolica del Peru; Pontificia Universidad Catolica del Peru</t>
  </si>
  <si>
    <t>Timaná, ME (corresponding author), Pontificia Univ Catolica Peru, Dept Humanities, Geog Sect, Lima, Peru.;Timaná, ME (corresponding author), Pontificia Univ Catolica Peru, Appl Geog Res Ctr CIGA PUCP, Lima, Peru.</t>
  </si>
  <si>
    <t>mtimana@pucp.edu.pe</t>
  </si>
  <si>
    <t>Timana, Martin/0000-0003-1559-4449</t>
  </si>
  <si>
    <t>Department of Humanities and the Applied Geography Research Center (CIGA) at PUCP</t>
  </si>
  <si>
    <t>Thanks to Mr Andrew Gray and Dr Helen Peat, of the British Antarctic Survey, Cambridge, who helped me trace Lieut. A. Smith's itinerary from England to Tasmania. My sincere gratitude to Dr Bruno Wallnofer (W), who for searched Staunton's and Hochstetter's specimens at the Naturhistorisches Museum, Vienna. In addition, my gratitude to Dr R. Borosova (K) for her help in searching the A. Smith specimen. Dr Richard R. Rabeler (MICH), Dr Beryl B. Simpson (TEX), Dr Sabine von Mering (B) and, Dr Martha Bell (PUCP) kindly reviewed and greatly improved the manuscript. The RBG Kew's Latin America Research Fellowship Programme (KLARF) allowed me to visit the Natural History Museum (London) herbarium to study its historical collections and library. I thank Dr M. Carine and Dr J. C. Yesilyurt (BM) for facilitating obtaining digital images of the Staunton's specimen. The Department of Humanities and the Applied Geography Research Center (CIGA) at PUCP provided me with logistic support and additional funding for my research.</t>
  </si>
  <si>
    <t>PUBLICATIONS SCIENTIFIQUES DU MUSEUM, PARIS</t>
  </si>
  <si>
    <t>PARIS CEDEX 05</t>
  </si>
  <si>
    <t>CP 39-57, RUE CUVIER, F-75231 PARIS CEDEX 05, FRANCE</t>
  </si>
  <si>
    <t>1280-8571</t>
  </si>
  <si>
    <t>1639-4798</t>
  </si>
  <si>
    <t>Adansonia</t>
  </si>
  <si>
    <t>10.5252/adansonia2018v40a3</t>
  </si>
  <si>
    <t>GM9XW</t>
  </si>
  <si>
    <t>WOS:000438610600003</t>
  </si>
  <si>
    <t>Ranjan, S; Upadhyay, D; Abhinay, K; Pruseth, KL; Nanda, JK</t>
  </si>
  <si>
    <t>Ranjan, Sameer; Upadhyay, Dewashish; Abhinay, Kumar; Pruseth, Kamal L.; Nanda, Jayanta K.</t>
  </si>
  <si>
    <t>Zircon geochronology of deformed alkaline rocks along the Eastern Ghats Belt margin: India-Antarctica connection and the Enderbia continent</t>
  </si>
  <si>
    <t>Supercontinent; Rodinia; Eastern Ghats Belt; East Antarctica; Deformed Alkaline Rocks and Carbonatites; Zircon</t>
  </si>
  <si>
    <t>PALEO-MESOPROTEROZOIC SUPERCONTINENT; AUSTRALIA-LAURENTIA CONNECTION; 2-STAGE GRANULITE FORMATION; MASSIF-TYPE ANORTHOSITES; MALANI IGNEOUS SUITE; ARC ONGOLE DOMAIN; U-TH-PB; MOBILE BELT; GEOLOGICAL EVOLUTION; DEFORMATION HISTORY</t>
  </si>
  <si>
    <t>Linear chains of Deformed Alkaline Rocks and Carbonatites (DARCs) mark sutures where continents had rifted apart and later amalgamated. Since DARCs are products of two well-defined components of Wilson cycle, i.e., continental rifting and subsequent collision, geochronological constraints from DARCs along the Singhbhum/Bastar Craton-Eastern Ghats Belt contact in eastern India is used to unravel the history of continental breakup and amalgamation in the Indo-Antarctic Enderbia continent. Proto India and East Antarctica were involved in several episodes of collision and breakup during the assembly of past supercontinents. The Napier Complex of East Antarctica collided with the Dharwar Craton and Ongole Domain at 1.60 Ga forming the central-eastern Indian shield. Zircon U-Pb ages from DARCs at the craton-Eastern Ghats Belt margin show that the alkaline complexes (Kamakhyanagar: 1350 +/- 14 Ma; Rairakhol: 1379 +/- 6 Ma; Koraput: 1387 +/- 34 Ma; Kunavaram: 1360 +/- 5 Ma; Jojuru: 1352 +/- 6 Ma) were emplaced between 1320 Ma and 1370 Ma. The alkaline magmatism marks an episode of rifting in the Indo-Antarctic continental fragment, correlatable with the breakup of the Columbia supercontinent. The Khariar alkaline complex was emplaced at 1478 +/- 5 Ma during an earlier phase of crustal extension coeval with the formation of the Mesoproterozoic Chattisgarh rift basin. Metamorphic zircons from the alkaline rocks furnish age populations at 953-930 Ma, 808-795 Ma, and 661-563 Ma. The 953-930 Ma ages are correlated with oceanic closure between Ruker Terrane of East Antarctica and India during Rodinia assembly. The resultant collision of the Ruker Terrane with India-Napier Complex composite produced the Grenville-age Eastern Ghats Province-Rayner Complex orogen. The 808-795 Ma ages record disintegration of Rodinia when India broke away from East Antarctica. In the early Paleozoic, India redocked with East Antarctica and Australia during Gondwanaland assembly. The 661-563 Ma zircon ages date the resulting collisions during Pan-African orogenesis. The assembly of the Eastern Ghats Province and the Rayner Complex with the Bastar-Singhbhum Craton occurred in the early Neoproterozoic during the final stages of Rodinia assembly, supporting the existence of Enderbia continent comprising crustal units from India and East Antarctica.</t>
  </si>
  <si>
    <t>[Ranjan, Sameer; Upadhyay, Dewashish; Abhinay, Kumar; Pruseth, Kamal L.] IIT, Dept Geol &amp; Geophys, Kharagpur 721302, West Bengal, India; [Nanda, Jayanta K.] S-4-113 Niladrivihar, Bhubaneswar 751021, Odisha, India</t>
  </si>
  <si>
    <t>Upadhyay, D (corresponding author), IIT, Dept Geol &amp; Geophys, Kharagpur 721302, West Bengal, India.</t>
  </si>
  <si>
    <t>dewashish@gg.iitkgp.ernet.in</t>
  </si>
  <si>
    <t>Abhinay, Kumar/ITT-5382-2023</t>
  </si>
  <si>
    <t>IIT Kharagpur; DST; Ministry of Earth Sciences, Government of India [MoES/P.O. (Geosci)/37/2014]</t>
  </si>
  <si>
    <t>IIT Kharagpur; DST(Department of Science &amp; Technology (India)); Ministry of Earth Sciences, Government of India(Ministry of Earth Science (MoES), Government of India)</t>
  </si>
  <si>
    <t>The U-Pb isotope data were generated at the newly established Diamond Jubilee Radiogenic Isotope Facility of the Department of Geology and Geophysics, IIT Kharagpur. Financial support from IIT Kharagpur for setting up the laboratory is gratefully acknowledged. Biswajit Mishra is thanked for access to the DST funded EPMA National Facility of the Department. Financial support from the Ministry of Earth Sciences, Government of India through a research grant (sanction no. MoES/P.O. (Geosci)/37/2014, Dt. 11-03-2015) is duly acknowledged.</t>
  </si>
  <si>
    <t>10.1016/j.precamres.2018.04.005</t>
  </si>
  <si>
    <t>WOS:000436218200024</t>
  </si>
  <si>
    <t>Clilverd, MA; Rodger, CJ; Brundell, JB; Dalzell, M; Martin, I; Manus, DHM; Thomson, NR; Petersen, T; Obana, Y</t>
  </si>
  <si>
    <t>Clilverd, Mark A.; Rodger, Craig J.; Brundell, James B.; Dalzell, Michael; Martin, Ian I.; Manus, Daniel H. Mac; Thomson, Neil R.; Petersen, Tanja; Obana, Yuki</t>
  </si>
  <si>
    <t>Long-Lasting Geomagnetically Induced Currents and Harmonic Distortion Observed in New Zealand During the 7-8 September 2017 Disturbed Period</t>
  </si>
  <si>
    <t>SPACE WEATHER; RADIATION; SYSTEMS; STORM; NETWORK; FIELD</t>
  </si>
  <si>
    <t>Several periods of geomagnetically induced currents (GICs) were detected in the Halfway Bush substation in Dunedin, South Island, New Zealand, as a result of intense geomagnetic storm activity during 6 to 9 September 2017. Unprecedented data coverage from a unique combination of instrumentation is analyzed, that is, measurements of GIC on the single-phase bank transformer T4 located within the substation, nearby magnetic field perturbation measurements, very low frequency (VLF) wideband measurements detecting the presence of power system harmonics, and high-voltage harmonic distortion measurements. Two solar wind shocks occurred within 25 hr, generating four distinct periods of GIC. Two of the GIC events were associated with the arrival of the shocks themselves. These generated large but short-lived GIC effects that resulted in no observable harmonic generation. Nearby and more distant magnetometers showed good agreement in measuring these global-scale magnetic field perturbations. However, two subsequent longer-lasting GIC periods, up to 30 min in duration, generated harmonics detected by the VLF receiver systems, when GIC levels continuously exceeded 15 A in T4. Nearby and more distant magnetometers showed differences in their measurements of the magnetic field perturbations at these times, suggesting the influence of small-scale ionospheric current structures close to Dunedin. VLF receiver systems picked up harmonics from the substation, up to the 30th harmonic, consistent with observed high-voltage increases in even harmonic distortion, along with small decreases in odd harmonic distortion.</t>
  </si>
  <si>
    <t>[Clilverd, Mark A.] British Antarctic Survey NERC, Cambridge, England; [Rodger, Craig J.; Brundell, James B.; Manus, Daniel H. Mac; Thomson, Neil R.] Univ Otago, Dept Phys, Dunedin, New Zealand; [Dalzell, Michael; Martin, Ian I.] Transpower New Zealand Ltd, Wellington, New Zealand; [Petersen, Tanja] GNS Sci, Lower Hutt, New Zealand; [Obana, Yuki] Osaka Electrocommun Univ, Dept Engn Sci, Neyagawa, Osaka, Japan</t>
  </si>
  <si>
    <t>UK Research &amp; Innovation (UKRI); Natural Environment Research Council (NERC); NERC British Antarctic Survey; University of Otago; GNS Science - New Zealand; Osaka Electro-Communication University</t>
  </si>
  <si>
    <t>Clilverd, MA (corresponding author), British Antarctic Survey NERC, Cambridge, England.</t>
  </si>
  <si>
    <t>macl@bas.ac.uk</t>
  </si>
  <si>
    <t>Rodger, Craig/A-1501-2011; Brundell, James/F-3196-2013; Thomson, Nicholas/P-5988-2014</t>
  </si>
  <si>
    <t>Obana, Yuki/0000-0002-7291-3648; Rodger, Craig J./0000-0002-6770-2707; Mac Manus, Daniel/0000-0003-1175-2251; Brundell, James/0000-0002-8753-4720; Thomson, Nicholas/0000-0002-4432-8505</t>
  </si>
  <si>
    <t>New Zealand Ministry of Business, Innovation and Employment Hazards; Infrastructure Research Fund [UOOX1502]; Natural Environment Research Council, NERC [NE/P017231/1]; Space Weather Impacts on Groundbased Systems (SWIGS); Natural Environment Research Council [NE/P016693/1] Funding Source: researchfish; NERC [NE/P016693/1, bas0100031] Funding Source: UKRI</t>
  </si>
  <si>
    <t>New Zealand Ministry of Business, Innovation and Employment Hazards; Infrastructure Research Fund; Natural Environment Research Council, NERC(UK Research &amp; Innovation (UKRI)Natural Environment Research Council (NERC)); Space Weather Impacts on Groundbased Systems (SWIGS); Natural Environment Research Council(UK Research &amp; Innovation (UKRI)Natural Environment Research Council (NERC)); NERC(UK Research &amp; Innovation (UKRI)Natural Environment Research Council (NERC))</t>
  </si>
  <si>
    <t>This research was supported by the New Zealand Ministry of Business, Innovation and Employment Hazards and Infrastructure Research Fund contract UOOX1502. The authors would like to thank Transpower New Zealand for supporting this study. EYR magnetometer data availability is described at http://www.intermagnet.org/imos/imos-list/imos-details-eng.php?iaga_code=EYR. Suomi NPP VIIRS data are available from http://ftp-npp.class.ngdc.noaa.gov. The authors of this study extend thanks to all VIIRS SDR and EDR team members for their hard work validating and ensuring VIIRS SDR data quality. The New Zealand LEM DC data from which we determined GIC measurements were provided to us by Transpower New Zealand with caveats and restrictions. This includes requirements of permission before all publications and presentations. In addition, we are unable to directly provide the New Zealand LEM DC data or the derived GIC observations. Requests for access to the measurements need to be made to Transpower New Zealand. At this time the contact point is Michael Dalzell (michael.dalzell@transpower.co.nz). We are very grateful for the substantial data access they have provided, noting this can be a challenge in the Space Weather field (Hapgood &amp; Knipp, 2016). We would also like to thank Wayne Cleaver of Electrix Limited for their assistance in facilitating the VLF measurements at Halfway Bush. Middlemarch magnetometer data are available at CRUX magnetometer array website (http://www1.osakac.ac.jp/crux/). Swampy Summit magnetometer data are available at http://auroraalert.otago.ac.nz/quicklooks/magnetometer/. The VLF data from Halfway Bush and Swampy Summit sites for 7 and 8 September 2017 can be found at https://zenodo.org/record/1246869#. WvoINXWFOK5. DSCOVR data can be found at https://www.ngdc.noaa.gov/dscovr/portal/index.html#/. Dst and Wp data are available at http://wdc.kugi.kyoto-u.ac.jp/wdc/Sec3.html. MAC would like to acknowledge support for this work from the Natural Environment Research Council, NERC NE/P017231/1: Space Weather Impacts on Groundbased Systems (SWIGS).</t>
  </si>
  <si>
    <t>10.1029/2018SW001822</t>
  </si>
  <si>
    <t>WOS:000438371500011</t>
  </si>
  <si>
    <t>Niu, HW; Shi, XF; Li, G; Yang, JH; Wang, SJ</t>
  </si>
  <si>
    <t>Niu, HeWen; Shi, XiaoFei; Li, Gang; Yang, JunHua; Wang, ShiJin</t>
  </si>
  <si>
    <t>Characteristics of total suspended particulates in the atmosphere of Yulong Snow Mountain, southwestern China</t>
  </si>
  <si>
    <t>SCIENCES IN COLD AND ARID REGIONS</t>
  </si>
  <si>
    <t>black carbon; total suspended particulates; LAPs; Tibetan Plateau</t>
  </si>
  <si>
    <t>BLACK CARBON AEROSOLS; IN-SITU MEASUREMENTS; TIBETAN PLATEAU; LIGHT-ABSORPTION; ORGANIC-CARBON; CHEMICAL-COMPOSITION; ANTARCTIC SNOW; MT. YULONG; LONG-TERM; ICE</t>
  </si>
  <si>
    <t>The measurement of black carbon (BC) and organic carbon (OC), dust in total suspended particulates (TSP) was carried out at Yulong Snow Mountain (Mt. Yulong) and Ganhaizi Basin, in the Mt. Yulong region, southwestern China. TSP samples were analyzed using a thermal/optical reflectance carbon analyzer. Results show that average BC and OC concentrations in TSP in the Mt. Yulong region were 1.61 +/- 1.15 mu g/m(3) and 2.96 +/- 1.59 mu g/m(3), respectively. Statistical results demonstrated that there were significant differences in mean BC and OC contents between Ganhaizi Basin and Mt. Yulong at the 0.05 level. Strong correlations between BC and OC indicate their common dominant emission sources and transport processes. Temporal variations of BC, OC, and optical attenuation (ATN) values were consistent with each other in carbonaceous aerosols. The ratios of OC/BC in monsoon season were significantly higher than in non-monsoon in aerosols from Ganhaizi, which is closely related to the formation of secondary organic carbon (SOC) and extensive motor vehicle emissions from tourism activities. The temporal variations of BC, OC and ATN in carbonaceous aerosols in Ganhaizi and Mt. Yulong were totally different, probably due to elevation difference and diverse tourism activity intensity between the two sites. Time-averaged aerosol optical depth (AOD) at the wavelength of 550 nm in Mt. Yulong was higher than that of the inland of the Tibetan Plateau (TP). Source apportionment indicated that intensive exhaust emissions from tourism vehicles were the main local sources of atmospheric pollutant in the Mt. Yulong region. Biomass-burning emissions released from South Asia could penetrate into the inland of the TP under the transport of summer monsoon. Further study is needed to assess light absorption and radiative forcing of carbonaceous aerosols, and modeling research in combination with long-term in-situ observations of light-absorbing particulates (LAPs) in the TP is also urgently needed in future work.</t>
  </si>
  <si>
    <t>[Niu, HeWen; Shi, XiaoFei; Yang, JunHua; Wang, ShiJin] Chinese Acad Sci, Northwest Inst Ecoenvironm &amp; Resources, State Key Lab Cryospher Sci, Yulong Snow Mt Glacier &amp; Environm Observat Res St, Lanzhou 730000, Gansu, Peoples R China; [Li, Gang] Key Open Lab Arid Climat Change &amp; Disaster Reduct, Lanzhou 730020, Gansu, Peoples R China; [Shi, XiaoFei] Lanzhou Univ, Coll Earth Environm Sci, Lanzhou 730000, Gansu, Peoples R China</t>
  </si>
  <si>
    <t>Chinese Academy of Sciences; Lanzhou University</t>
  </si>
  <si>
    <t>Niu, HW (corresponding author), Chinese Acad Sci, Northwest Inst Ecoenvironm &amp; Resources, 320 West Donggang Rd, Lanzhou 730000, Gansu, Peoples R China.</t>
  </si>
  <si>
    <t>niuhw@lzb.ac.cn</t>
  </si>
  <si>
    <t>Niu, Hewen/AHC-3884-2022</t>
  </si>
  <si>
    <t>National Natural Science Foundation of China [41601071, 41721091]; Key Research Program for Frontier Science of Chinese Academy of Sciences [QYZDJ-SSW-DQC039]; independent program of SKLCS [SKLCS-ZZ-2018]; CAS Light of West China Program [Y62992]; Postdoctoral Science Foundation [2015M582725, 2016T90963]</t>
  </si>
  <si>
    <t>National Natural Science Foundation of China(National Natural Science Foundation of China (NSFC)); Key Research Program for Frontier Science of Chinese Academy of Sciences; independent program of SKLCS; CAS Light of West China Program; Postdoctoral Science Foundation(China Postdoctoral Science Foundation)</t>
  </si>
  <si>
    <t>This work was supported by the National Natural Science Foundation of China (41601071, 41721091), the Key Research Program for Frontier Science of Chinese Academy of Sciences (QYZDJ-SSW-DQC039); the independent program of SKLCS (SKLCS-ZZ-2018), the CAS Light of West China Program (Y62992) and Postdoctoral Science Foundation (2015M582725, 2016T90963). The authors gratefully acknowledge the NOAA Air Resources Laboratory (ARL) for provision of the HYSPLIT transport and dispersion model and/or READY website (http://www.ready.noaa.gov) used in this publication.</t>
  </si>
  <si>
    <t>EPHRATA</t>
  </si>
  <si>
    <t>300 WEST CHESNUT ST, EPHRATA, PA 17522 USA</t>
  </si>
  <si>
    <t>1674-3822</t>
  </si>
  <si>
    <t>SCI COLD ARID REG</t>
  </si>
  <si>
    <t>Sci. Cold Arid Reg.</t>
  </si>
  <si>
    <t>10.3724/SP.J.1226.2018.00207</t>
  </si>
  <si>
    <t>Geography, Physical</t>
  </si>
  <si>
    <t>Physical Geography</t>
  </si>
  <si>
    <t>GL8YK</t>
  </si>
  <si>
    <t>WOS:000437514800002</t>
  </si>
  <si>
    <t>Jiang, XX; Hou, SG; Li, YS; Pang, HX; Hua, R; Paul, M; Sharon, S; An, CL; Michael, H; Liu, K; Zhang, WB</t>
  </si>
  <si>
    <t>Jiang, XingXing; Hou, ShuGui; Li, YuanSheng; Pang, HongXi; Hua, Rong; Paul, Mayewski; Sharon, Sneed; An, ChunLei; Michael, Handley; Liu, Ke; Zhang, WangBin</t>
  </si>
  <si>
    <t>Spatial variations of Pb, As, and Cu in surface snow along the transect from the Zhongshan Station to Dome A, East Antarctica</t>
  </si>
  <si>
    <t>Antarctica; surface snow; trace metals; spatial variations; source and transportation</t>
  </si>
  <si>
    <t>ATMOSPHERIC TRACE-METALS; ICE-CORE; LEAD POLLUTION; HEAVY-METALS; COATS LAND; LAW DOME; RECORD; CHEMISTRY; ELEMENTS; CONTAMINATION</t>
  </si>
  <si>
    <t>The spatial distributions of lead, arsenic, and copper (Pb, As, and Cu, respectively) in surface snow along the transect from the Zhongshan Station to Dome A, East Antarctica, are presented. The mean concentrations of Pb, As, and Cu are 1.04 +/- 1.56 pg/g, 0.39 +/- 0.08 pg/g, and 11.2 +/- 14.4 pg/g, respectively. It is estimated that anthropogenic contributions are dominant for Pb, As, and Cu. Spatially, Pb concentrations show an exponentially decreasing trend from the coast inland, while a moderate decreasing trend is observed for Cu concentrations in the coastal area (below 2,000 m above sea level (a.s.l.)). In the intermediate area (2,000-3,000 m a.s.l.), the concentrations and enrichment factors of all these elements show high variability due to the complicated characteristics of climate and environment. On the inland plateau (above 3,000 m a.s.l.), the high concentrations of As and Pb are induced by high deposition efficiency, the existence of polar stratospheric precipitation, and the different fraction deposition to East Antarctica. The extremely high concentrations with maximum values of 9.59 pg/g and 69.9 pg/g for Pb and Cu, respectively, are suggested to result mainly from local human activities at the station. Our results suggest that source, transport pathway, and deposition pattern, rather than distance from the coast or altitude, lead to the spatial distributions of Pb, As, and Cu; and it is further confirmed by spatial variations of the three metals deposited over the whole continent of Antarctica.</t>
  </si>
  <si>
    <t>[Jiang, XingXing; Hou, ShuGui; Pang, HongXi; Hua, Rong; An, ChunLei; Liu, Ke; Zhang, WangBin] Nanjing Univ, Sch Geog &amp; Oceanog Sci, Key Lab Coast &amp; Isl Dev, Nanjing 210023, Jiangsu, Peoples R China; [Li, YuanSheng; An, ChunLei] Polar Res Inst China, Shanghai 200136, Peoples R China; [Paul, Mayewski; Sharon, Sneed; Michael, Handley] Univ Maine, Climate Change Inst, Orono, ME 04469 USA; [Paul, Mayewski] Univ Maine, Sch Earth &amp; Climate Sci, Orono, ME 04469 USA</t>
  </si>
  <si>
    <t>Nanjing University; Polar Research Institute of China; University of Maine System; University of Maine Orono; University of Maine System; University of Maine Orono</t>
  </si>
  <si>
    <t>Hou, SG (corresponding author), Nanjing Univ, Sch Geog &amp; Oceanog Sci, 163 Xianlin Rd, Nanjing 210023, Jiangsu, Peoples R China.</t>
  </si>
  <si>
    <t>shugui@nju.edu.cn</t>
  </si>
  <si>
    <t>National Natural Science Foundation of China [41330526]</t>
  </si>
  <si>
    <t>The authors would like to thank the Chinese 26th Antarctic Expedition. In addition, special thanks are given to Mr. JinHai Yu and Mr. Xiang Zou for their useful comments and suggestions. This work was supported by the National Natural Science Foundation of China (41330526).</t>
  </si>
  <si>
    <t>10.3724/SP.J.1226.2018.00219</t>
  </si>
  <si>
    <t>WOS:000437514800003</t>
  </si>
  <si>
    <t>Schüller, I; Belz, L; Wilkes, H; Wehrmann, A</t>
  </si>
  <si>
    <t>Schueller, Irka; Belz, Lukas; Wilkes, Heinz; Wehrmann, Achim</t>
  </si>
  <si>
    <t>Late Quaternary shift in southern African rainfall zones: sedimentary and geochemical data from Kalahari pans</t>
  </si>
  <si>
    <t>ZEITSCHRIFT FUR GEOMORPHOLOGIE</t>
  </si>
  <si>
    <t>paleoclimate; C-14 based age-depth model; ephemeral lakes; playas; arid environment; Namibia; South Africa</t>
  </si>
  <si>
    <t>SOUTHWESTERN KALAHARI; CLIMATE VARIABILITY; LATE PLEISTOCENE; HUMID PERIOD; ENVIRONMENTAL-CHANGES; DUNE DEVELOPMENT; ETOSHA PAN; MEGA-LAKE; HOLOCENE; NAMIBIA</t>
  </si>
  <si>
    <t>Continuous sedimentary archives that allow paleoclimatic and paleoenvironmental reconstructions are rare in regions with a markedly and climate. This study demonstrates the potential of southwestern Kalahari pans in their function as valuable geoarchives based on the survey of five different pans in Namibia and South Africa. Our sedimentological investigations and comprehensive C-14 dating of core material reveal that pans contain an up to few meters thick sedimentary filling of siliciclastic and evaporitic sediments. An age-depth model was developed for each of the studied pans indicating a quasi-continuous accumulation of sediments since the Late Pleistocene. Sedimentary processes in the pans are mainly controlled by local runoff, evaporation and to a minor degree by aeolian transport resulting in a net accumulation. Sedimentological and geochemical analyses reveal the shift and/or extension of monsoonal summer and westerlies-driven winter rain. Elevated sedimentation rates during the Last Glacial Maximum (LGM) in some of the pans indicate an expansion of the winter rainfall belt, which is caused by Antarctic sea ice expansion. Post-LGM climate changes were induced by large-scaled spatial fluctuations of summer and winter rain that resulted in varying precipitation intensities and wind strengths. The detailed study of the paleoenvironmental information recorded in these sedimentary archives provides unique insights into the response of the southwestern Kalahari to past climatic changes and enabled an improved spatial and temporal resolution of existing models of past rainfall zone shifts in southern Africa.</t>
  </si>
  <si>
    <t>[Schueller, Irka; Wehrmann, Achim] Senckenberg Meer, Marine Res Dept, Sudstrand 40, D-26382 Wilhelmshaven, Germany; [Belz, Lukas; Wilkes, Heinz] Helmholtz Ctr Potsdam GFZ German Res Ctr Geosci, D-14473 Potsdam, Germany; [Belz, Lukas; Wilkes, Heinz] Carl von Ossietzky Univ Oldenburg, Inst Chem &amp; Biol Marine Environm ICBM, D-26111 Oldenburg, Germany; [Wehrmann, Achim] Biodivers &amp; Climate Res Ctr, Senckenberganlage 25, D-60325 Frankfurt, Germany</t>
  </si>
  <si>
    <t>Senckenberg Gesellschaft fur Naturforschung (SGN); Helmholtz Association; Helmholtz-Center Potsdam GFZ German Research Center for Geosciences; Carl von Ossietzky Universitat Oldenburg</t>
  </si>
  <si>
    <t>Schüller, I (corresponding author), Senckenberg Meer, Marine Res Dept, Sudstrand 40, D-26382 Wilhelmshaven, Germany.</t>
  </si>
  <si>
    <t>irka-schueller@t-online.de</t>
  </si>
  <si>
    <t>SPACES initiative (Science Partnerships for the Assessment of Complex Earth System Processes) by Federal Ministry of Education and Research [03G0838B/C]</t>
  </si>
  <si>
    <t>SPACES initiative (Science Partnerships for the Assessment of Complex Earth System Processes) by Federal Ministry of Education and Research</t>
  </si>
  <si>
    <t>The study was funded in the framework of the SPACES initiative (Science Partnerships for the Assessment of Complex Earth System Processes) by the Federal Ministry of Education and Research (Project 03G0838B/C). We thank the Geologic Survey of Namibia for logistic and administrative support. The local communities of Aminuis and Koes as well as the farmers at Branddam and Witpan are thanked for giving access to their pans. Special thanks to Steffi Genderjahn, Kai Mangelsdorf, Mashal Alawi and Jurgen Koster for joint fieldwork and Torsten Janssen, Elke Irion, Matthias Zabel, Bernhard Schnetger and Elke Ahrensfeld for lab and analytic support. We are grateful to the reviewers Klaus Heine and Frank Eckardt for their constructive comments that led to an improvement of the manuscript.</t>
  </si>
  <si>
    <t>GEBRUDER BORNTRAEGER</t>
  </si>
  <si>
    <t>STUTTGART</t>
  </si>
  <si>
    <t>JOHANNESSTR 3A, D-70176 STUTTGART, GERMANY</t>
  </si>
  <si>
    <t>0372-8854</t>
  </si>
  <si>
    <t>Z GEOMORPHOL</t>
  </si>
  <si>
    <t>Z. Geomorphol.</t>
  </si>
  <si>
    <t>10.1127/zfg/2018/0556</t>
  </si>
  <si>
    <t>GL5ZR</t>
  </si>
  <si>
    <t>WOS:000437255700005</t>
  </si>
  <si>
    <t>Hansen, KO; Isaksson, J; Glomsaker, E; Andersen, JH; Hansen, E</t>
  </si>
  <si>
    <t>Hansen, Kine Ostnes; Isaksson, Johan; Glomsaker, Eirin; Andersen, Jeanette Hammer; Hansen, Espen</t>
  </si>
  <si>
    <t>Ponasterone A and F, Ecdysteroids from the Arctic Bryozoan Alcyonidium gelatinosum</t>
  </si>
  <si>
    <t>MOLECULES</t>
  </si>
  <si>
    <t>marine bryozoan; Alcyonidium gelatinosum; ponasterone; ecdysteroids; marine bioprospecting; allelochemicals</t>
  </si>
  <si>
    <t>ANTARCTIC BRYOZOANS; PHYTOECDYSTEROIDS; BIOSYNTHESIS; STEROIDS; HORMONES; DEFENSE; HUMANS; PLANTS</t>
  </si>
  <si>
    <t>A new ecdysteroid, ponasterone F (1) and the previously reported compound ponasterone A (2) were isolated from specimens of the Arctic marine bryozoan Alcyonidium gelatinosum collected at Hopenbanken, off the coast of Edgeoya, Svalbard. The structure of 1 was elucidated, and the structure of 2 confirmed by spectroscopic methods including 1D and 2D NMR and analysis of HR-MS data. The compounds were evaluated for their ability to affect bacterial survival and cell viability, as well as their agonistic activities towards the estrogen receptors alpha and beta. The compounds were not active in these assays. Compound 2 is an arthropod hormone controlling molting and are known to act as an allelochemical when produced by plants. Even though its structure has been previously reported, this is the first time a ponasterone has been isolated from a bryozoan. A. gelatinosum produced 1 and 2 in concentrations surpassing those expected of hormonal molecules, indicating their function as defence molecules against molting predators. This work adds to the chemical diversity reported from marine bryozoans and expanded our knowledge of the chemical modifications of the ponasterones.</t>
  </si>
  <si>
    <t>[Hansen, Kine Ostnes; Glomsaker, Eirin; Andersen, Jeanette Hammer; Hansen, Espen] UiT Arctic Univ Norway, Marbio, N-9037 Tromso, Norway; [Isaksson, Johan] UiT Arctic Univ Norway, Dept Chem, N-9037 Tromso, Norway</t>
  </si>
  <si>
    <t>UiT The Arctic University of Tromso; UiT The Arctic University of Tromso</t>
  </si>
  <si>
    <t>Hansen, KO (corresponding author), UiT Arctic Univ Norway, Marbio, N-9037 Tromso, Norway.</t>
  </si>
  <si>
    <t>kine.o.hanssen@uit.no; johan.isaksson@uit.no; eirin.glomsaker@gmail.com; jeanette.h.andersen@uit.no; espen.hansen@uit.no</t>
  </si>
  <si>
    <t>Hansen, Espen Holst/A-9000-2012; Isaksson, Johan/G-9292-2016</t>
  </si>
  <si>
    <t>Hansen, Espen Holst/0000-0003-0354-986X; Isaksson, Johan/0000-0001-6287-7594; Hansen, Kine Ostnes/0000-0002-9023-1958</t>
  </si>
  <si>
    <t>UiT The Arctic University of Norway</t>
  </si>
  <si>
    <t>This research received no external funding. The publication charges for this article have been funded by a grant from the publication fund of UiT The Arctic University of Norway.</t>
  </si>
  <si>
    <t>1420-3049</t>
  </si>
  <si>
    <t>Molecules</t>
  </si>
  <si>
    <t>10.3390/molecules23061481</t>
  </si>
  <si>
    <t>Biochemistry &amp; Molecular Biology; Chemistry, Multidisciplinary</t>
  </si>
  <si>
    <t>GK1KX</t>
  </si>
  <si>
    <t>WOS:000435875400242</t>
  </si>
  <si>
    <t>Musa, N; Latip, W; Abd Rahman, RNZ; Salleh, A; Ali, MSM</t>
  </si>
  <si>
    <t>Musa, Nurshakila; Latip, Wahhida; Abd Rahman, Raja Noor Zaliha; Salleh, Abu Bakar; Ali, Mohd Shukuri Mohamad</t>
  </si>
  <si>
    <t>Immobilization of an Antarctic Pseudomonas AMS8 Lipase for Low Temperature Ethyl Hexanoate Synthesis</t>
  </si>
  <si>
    <t>cold adapted lipase; immobilization; esterification</t>
  </si>
  <si>
    <t>SOLVENT-FREE SYSTEM; STAPHYLOCOCCUS-SIMULANS LIPASE; CANDIDA-RUGOSA LIPASE; WEIGHT FLAVOR ESTERS; COLD-ADAPTED LIPASE; JOJOBA OIL ANALOG; ORGANIC-SOLVENTS; ENZYMATIC-SYNTHESIS; ISOAMYL ACETATE; ESTERIFICATION REACTIONS</t>
  </si>
  <si>
    <t>The demand for synthetic flavor ester is high, especially in the food, beverage, and cosmetic and pharmaceutical industries. It is derived from the reaction between a short-chain fatty acid and alcohol. Lipases from Antarctic bacteria have gained huge interest in the industry due to its ability react at low temperatures. The use of immobilization enzymes is one of the methods that can improve the stability of the enzyme. The current work encompasses the low temperature enzymatic synthesis of ethyl hexanoate by direct esterification of ethanol with hexanoic acid in a toluene and solvent-free system. The effects of various reaction parameters such as the organic solvent, temperature, time, substrate, substrate ratio and concentration, enzyme concentration on ethyl hexanoate synthesis were tested. Several matrices were used for immobilization and comparisons of the efficiency of immobilized enzyme with free enzyme in the synthesis of flavor ester were conducted. Ester production was optimally synthesized at 20 degrees C in both systems-immobilized and free enzyme. A 69% ester conversion rate was achieved after a two-hour incubation in toluene, compared to 47% in a solvent-free system for free enzyme. Immobilized AMS8 lipase showed a higher conversion of ester in toluene with respect to free-solvents, from 80% to 59%, respectively. Immobilized enzymes showed enhancement to the stability of the enzyme in the presence of the organic solvent. The development of AMS8 lipase as an immobilized biocatalyst demonstrates great potential as a cost-effective enzyme for biocatalysis and biotransformation in the food industry.</t>
  </si>
  <si>
    <t>[Musa, Nurshakila; Latip, Wahhida; Abd Rahman, Raja Noor Zaliha; Salleh, Abu Bakar; Ali, Mohd Shukuri Mohamad] Univ Putra Malaysia, Enzyme &amp; Microbial Technol Res Ctr, Serdang 43400, Selangor, Malaysia; [Abd Rahman, Raja Noor Zaliha] Univ Putra Malaysia, Dept Microbiol, Serdang 43400, Selangor, Malaysia; [Ali, Mohd Shukuri Mohamad] Univ Putra Malaysia, Dept Biochem, Serdang 43400, Selangor, Malaysia</t>
  </si>
  <si>
    <t>Ali, MSM (corresponding author), Univ Putra Malaysia, Enzyme &amp; Microbial Technol Res Ctr, Serdang 43400, Selangor, Malaysia.;Ali, MSM (corresponding author), Univ Putra Malaysia, Dept Biochem, Serdang 43400, Selangor, Malaysia.</t>
  </si>
  <si>
    <t>nurshakilamusa@gmail.com; wahhidalatip@gmail.com; rnzaliha@upm.edu.my; abubakar@upm.edu.my; mshukuri@upm.edu.my</t>
  </si>
  <si>
    <t>ALI, MOHD/IUM-6916-2023; Rahman, Raja Noor Zaliha Raja Abd/I-5556-2019; latip, wahhida/AAG-5438-2021; Ali, Mohd Shukuri Mohamad/AAG-5453-2021; latip, wahhida/AAK-3734-2020</t>
  </si>
  <si>
    <t>Rahman, Raja Noor Zaliha Raja Abd/0000-0002-6316-6177; latip, wahhida/0000-0002-6241-7528; Ali, Mohd Shukuri Mohamad/0000-0003-2751-9649;</t>
  </si>
  <si>
    <t>Ministry of Higher Education Malaysia (MOHE) under FRGS research funding [02-01-14-1403FR]</t>
  </si>
  <si>
    <t>Ministry of Higher Education Malaysia (MOHE) under FRGS research funding</t>
  </si>
  <si>
    <t>The research was supported by the Ministry of Higher Education Malaysia (MOHE) under FRGS research funding (Project number: 02-01-14-1403FR).</t>
  </si>
  <si>
    <t>10.3390/catal8060234</t>
  </si>
  <si>
    <t>GK4KP</t>
  </si>
  <si>
    <t>WOS:000436128600013</t>
  </si>
  <si>
    <t>Chianese, G; Esposito, FP; Parrot, D; Ingham, C; de Pascale, D; Tasdemir, D</t>
  </si>
  <si>
    <t>Chianese, Giuseppina; Esposito, Fortunato Palma; Parrot, Delphine; Ingham, Colin; de Pascale, Donatella; Tasdemir, Deniz</t>
  </si>
  <si>
    <t>Linear Aminolipids with Moderate Antimicrobial Activity from the Antarctic Gram-Negative Bacterium Aequorivita sp.</t>
  </si>
  <si>
    <t>Aequorivita; Gram-negative bacterium; miniaturized culture chip; linear aminolipid; MRSA; LC-MS/MS</t>
  </si>
  <si>
    <t>POTENT FIBRINOLYTIC AGENTS; SP NOV.; MARINE BACTERIUM; GEN. NOV.; ACIDS; FLAVOBACTERIUM; MICROORGANISMS; IDENTIFICATION; WB-3559-A; ORNITHINE</t>
  </si>
  <si>
    <t>The combination of LC-MS/MS based metabolomics approach and anti-MRSA activity-guided fractionation scheme was applied on the Gram-negative bacterium Aequorivita sp. isolated from shallow Antarctic sea sediment using a miniaturized culture chip technique. This methodology afforded the isolation of three new (1-3) and four known (4-7) N-terminal glycine- or serine-bearing iso-fatty acid amides esterified with another iso-fatty acid through their C-3 hydroxy groups. The chemical structures of the new compounds were elucidated using a set of spectroscopic (NMR, [alpha](D) and FT-IR) and spectrometric (HRMS, HRMS/MS) methods. The aminolipids possessing an N-terminal glycine unit (1, 2, 4, 5) showed moderate in vitro antimicrobial activity against MRSA (IC50 values 22-145 mu g/mL). This is the first in-depth chemistry and biological activity study performed on the microbial genus Aequorivita.</t>
  </si>
  <si>
    <t>[Chianese, Giuseppina; Parrot, Delphine; Tasdemir, Deniz] GEOMAR Helmholtz Ctr Ocean Res Kiel, Res Unit Marine Nat Prod Chem, GEOMAR Ctr Marine Biotechnol GEOMAR Biotech, Kiel Kanal 44, D-24106 Kiel, Germany; [Esposito, Fortunato Palma; de Pascale, Donatella] CNR, Inst Prot Biochem, Via P Castellino 111, I-80131 Naples, Italy; [Ingham, Colin] Hoekmine BV, NL-3584 CS Utrecht, Netherlands; [Tasdemir, Deniz] Univ Kiel, Fac Math &amp; Nat Sci, Christian Albrechts Pl 4, D-24118 Kiel, Germany</t>
  </si>
  <si>
    <t>Helmholtz Association; GEOMAR Helmholtz Center for Ocean Research Kiel; Consiglio Nazionale delle Ricerche (CNR); Istituto di Biochimica delle Proteine (IBP-CNR); University of Kiel</t>
  </si>
  <si>
    <t>Tasdemir, D (corresponding author), GEOMAR Helmholtz Ctr Ocean Res Kiel, Res Unit Marine Nat Prod Chem, GEOMAR Ctr Marine Biotechnol GEOMAR Biotech, Kiel Kanal 44, D-24106 Kiel, Germany.;Tasdemir, D (corresponding author), Univ Kiel, Fac Math &amp; Nat Sci, Christian Albrechts Pl 4, D-24118 Kiel, Germany.</t>
  </si>
  <si>
    <t>g.chianese@unina.it; f.palma@ibp.cnr.it; dparrot@geomar.de; colinutrecht@gmail.com; d.depascale@ibp.cnr.it; dtasdemir@geomar.de</t>
  </si>
  <si>
    <t>Parrot, Delphine/ABD-9203-2021</t>
  </si>
  <si>
    <t>de Pascale, Donatella/0000-0002-6732-0901</t>
  </si>
  <si>
    <t>German Academic Exchange Service (DAAD)</t>
  </si>
  <si>
    <t>German Academic Exchange Service (DAAD)(Deutscher Akademischer Austausch Dienst (DAAD))</t>
  </si>
  <si>
    <t>Fortunato Palma Esposito thanks the German Academic Exchange Service (DAAD) for a fellowship enabling a research stay at the GEOMAR Centre for Marine Biotechnology, Kiel, Germany. Colin Ingham thanks the Biotechnology based Ecologically Balanced Sustainable Industrial Consortium (Delft, The Netherlands) for supporting culture chip development. We thank Institut fur Klinische Molekularbiologie (IKMB), Kiel University, for 16S rRNA sequencing and Arlette Wenzel-Storjohann (GEOMAR) for assistance in antimicrobial assays.</t>
  </si>
  <si>
    <t>10.3390/md16060187</t>
  </si>
  <si>
    <t>GK8SV</t>
  </si>
  <si>
    <t>WOS:000436499000012</t>
  </si>
  <si>
    <t>Sáez, PL; Cavieres, LA; Galmés, J; Gil-Pelegrín, E; Peguero-Pina, JJ; Sancho-Knapik, D; Vivas, M; Sanhueza, C; Ramírez, CF; Rivera, BK; Corcuera, LJ; Bravo, LA</t>
  </si>
  <si>
    <t>Saez, Patricia L.; Cavieres, Lohengrin A.; Galmes, Jeroni; Gil-Pelegrin, Eustaquio; Javier Peguero-Pina, Jose; Sancho-Knapik, Domingo; Vivas, Mercedes; Sanhueza, Carolina; Ramirez, Constanza F.; Rivera, Betsy K.; Corcuera, Luis J.; Bravo, Leon A.</t>
  </si>
  <si>
    <t>In situ warming in the Antarctic: effects on growth and photosynthesis in Antarctic vascular plants</t>
  </si>
  <si>
    <t>Antarctica; climate change; Colobanthus quitensis; Deschampsia antarctica; leaf traits; mesophyll conductance; photosynthesis</t>
  </si>
  <si>
    <t>MESOPHYLL DIFFUSION CONDUCTANCE; OPEN-TOP CHAMBERS; LEAF ANATOMY; COLOBANTHUS-QUITENSIS; TEMPERATURE RESPONSE; CLIMATE-CHANGE; CO2 DIFFUSION; RUBISCO; LIGHT; CAPACITY</t>
  </si>
  <si>
    <t>The Antarctic Peninsula has experienced a rapid warming in the last decades. Although recent climatic evidence supports a new tendency towards stabilization of temperatures, the impacts on the biosphere, and specifically on Antarctic plant species, remain unclear. We evaluated the in situ warming effects on photosynthesis, including the underlying diffusive, biochemical and anatomical determinants, and the relative growth of two Antarctic vascular species, Colobanthus quitensis and Deschampsia antarctica, using open top chambers (OTCs) and gas exchange measurements in the field. In C. quitensis, the photosynthetic response to warming relied on specific adjustments in the anatomical determinants of the leaf CO2 transfer, which enhanced mesophyll conductance and photosynthetic assimilation, thereby promoting higher leaf carbon gain and plant growth. These changes were accompanied by alterations in the leaf chemical composition. By contrast, D. antarctica showed no response to warming, with a lack of significant differences between plants grown inside OTCs and plants grown in the open field. Overall, the present results are the first reporting a contrasting effect of in situ warming on photosynthesis and its underlying determinants, of the two unique Antarctic vascular plant species, which could have direct consequences on their ecological success under future climate conditions.</t>
  </si>
  <si>
    <t>[Saez, Patricia L.; Ramirez, Constanza F.; Rivera, Betsy K.] Univ Concepcion, Fac Ciencias Forestales, Dept Silvicultura, Lab Cult Tejidos Vegetales,Ctr Biotecnol, Concepcion 4030000, Chile; [Cavieres, Lohengrin A.; Vivas, Mercedes; Sanhueza, Carolina] Univ Concepcion, ECOBIOSIS, Dept Bot, Fac Ciencias Nat &amp; Oceanog, Barrio Univ S-N, Concepcion 4030000, Chile; [Galmes, Jeroni] Univ Illes Balears, INAGEA, Res Grp Plant Biol Mediterranean Condit, Palma De Mallorca 07122, Balearic Island, Spain; [Gil-Pelegrin, Eustaquio; Javier Peguero-Pina, Jose; Sancho-Knapik, Domingo] Ctr Invest &amp; Tecnol Agroalimentaria Aragon, Unidad Recursos Forestales, Zaragoza 50059, Spain; [Corcuera, Luis J.] Univ Concepcion, Fac Ciencias Nat &amp; Oceanog, Dept Bot, Lab Fisiol Vegetal, Barrio Univ S-N, Concepcion 4030000, Chile; [Bravo, Leon A.] Univ La Frontera, Dept Ciencias Agron &amp; Recursos Nat,Sci &amp; Technol, Lab Fisiol &amp; Biol Mol Vegetal,Ctr Plant Soil Inte, Fac Ciencias Agr &amp; Forestales,Inst Agroind, Temuco 4811230, Chile</t>
  </si>
  <si>
    <t>Universidad de Concepcion; Universidad de Concepcion; Universitat de les Illes Balears; Universidad de Concepcion; Universidad de La Frontera</t>
  </si>
  <si>
    <t>Sáez, PL (corresponding author), Univ Concepcion, Fac Ciencias Forestales, Dept Silvicultura, Lab Cult Tejidos Vegetales,Ctr Biotecnol, Concepcion 4030000, Chile.</t>
  </si>
  <si>
    <t>patrisaez@udec.cl</t>
  </si>
  <si>
    <t>Corcuera, Luis J/G-1714-2014; Sancho-Knapik, Domingo/ABH-6332-2020; Sanhueza, Carolina/AAG-7456-2019; Sanhueza, Carolina/JQW-9959-2023; Peguero-Pina, José Javier/M-4494-2014; Gil-Pelegrín, Eustaquio/M-5129-2014; Galmés, Jeroni/J-6749-2017; Bravo, León/AAO-8437-2020; Cavieres, Lohengrin A./A-9542-2010</t>
  </si>
  <si>
    <t>Sancho-Knapik, Domingo/0000-0001-9584-7471; Sanhueza, Carolina/0000-0002-1564-2490; Peguero-Pina, José Javier/0000-0002-8903-2935; Gil-Pelegrín, Eustaquio/0000-0002-4053-6681; Galmés, Jeroni/0000-0002-7299-9349; Bravo, León/0000-0003-4705-4842; Cavieres, Lohengrin A./0000-0001-9122-3020; Saez, Patricia L./0000-0002-8594-7329</t>
  </si>
  <si>
    <t>CONICYT-FONDECYT [11130332]; CONICYT-PIA [ART11-02]; CONICYT, Atraccion de Capital Humano Avanzado del Extranjero [MEC-80130020]; CONICYT [PFB-023]; Chilean Antarctic Institute (INACH) [AN-02-12, FI_02-13]; Arctowski Station; Polish Academy of Sciences</t>
  </si>
  <si>
    <t>CONICYT-FONDECYT(Comision Nacional de Investigacion Cientifica y Tecnologica (CONICYT)CONICYT FONDECYT); CONICYT-PIA; CONICYT, Atraccion de Capital Humano Avanzado del Extranjero; CONICYT(Comision Nacional de Investigacion Cientifica y Tecnologica (CONICYT)); Chilean Antarctic Institute (INACH); Arctowski Station; Polish Academy of Sciences</t>
  </si>
  <si>
    <t>The authors thank CONICYT-FONDECYT 11130332, CONICYT-PIA ART11-02, CONICYT, Atraccion de Capital Humano Avanzado del Extranjero (MEC-80130020), CONICYT PFB-023 and the Chilean Antarctic Institute (INACH AN-02-12 and FI_02-13). Special thanks to the Arctowski Station crew and the Polish Academy of Sciences for their support and help during our field work. The authors thank Dr Charles L. Guy (University of Florida) for English editing and help with grammar. Permits for entrance and plant collection in the ASPA 128 were provided by INACH.</t>
  </si>
  <si>
    <t>10.1111/nph.15124</t>
  </si>
  <si>
    <t>GL3JO</t>
  </si>
  <si>
    <t>WOS:000437029600019</t>
  </si>
  <si>
    <t>Tenzer, R; Chen, WJ; Baranov, A; Bagherbandi, M</t>
  </si>
  <si>
    <t>Tenzer, Robert; Chen, Wenjin; Baranov, Alexey; Bagherbandi, Mohammad</t>
  </si>
  <si>
    <t>Gravity Maps of Antarctic Lithospheric Structure from Remote-Sensing and Seismic Data</t>
  </si>
  <si>
    <t>PURE AND APPLIED GEOPHYSICS</t>
  </si>
  <si>
    <t>Antarctica; crust; gravity; lithosphere; upper mantle</t>
  </si>
  <si>
    <t>UPPER-MANTLE STRUCTURE; DRONNING MAUD LAND; EAST ANTARCTICA; TRANSANTARCTIC MOUNTAINS; RIFT SYSTEM; SURROUNDING OCEANS; CRUSTAL STRUCTURE; WEST ANTARCTICA; GLACIER REGION; EARTHS CRUST</t>
  </si>
  <si>
    <t>Remote-sensing data from altimetry and gravity satellite missions combined with seismic information have been used to investigate the Earth's interior, particularly focusing on the lithospheric structure. In this study, we use the subglacial bedrock relief BEDMAP2, the global gravitational model GOCO05S, and the ETOPO1 topographic/bathymetric data, together with a newly developed (continental-scale) seismic crustal model for Antarctica to compile the free-air, Bouguer, and mantle gravity maps over this continent and surrounding oceanic areas. We then use these gravity maps to interpret the Antarctic crustal and uppermost mantle structure. We demonstrate that most of the gravity features seen in gravity maps could be explained by known lithospheric structures. The Bouguer gravity map reveals a contrast between the oceanic and continental crust which marks the extension of the Antarctic continental margins. The isostatic signature in this gravity map confirms deep and compact orogenic roots under the Gamburtsev Subglacial Mountains and more complex orogenic structures under Dronning Maud Land in East Antarctica. Whereas the Bouguer gravity map exhibits features which are closely spatially correlated with the crustal thickness, the mantle gravity map reveals mainly the gravitational signature of the uppermost mantle, which is superposed over a weaker (long-wavelength) signature of density heterogeneities distributed deeper in the mantle. In contrast to a relatively complex and segmented uppermost mantle structure of West Antarctica, the mantle gravity map confirmed a more uniform structure of the East Antarctic Craton. The most pronounced features in this gravity map are divergent tectonic margins along mid-oceanic ridges and continental rifts. Gravity lows at these locations indicate that a broad region of the West Antarctic Rift System continuously extends between the Atlantic-Indian and Pacific-Antarctic mid-oceanic ridges and it is possibly formed by two major fault segments. Gravity lows over the Transantarctic Mountains confirms their non-collisional origin. Additionally, more localized gravity lows closely coincide with known locations of hotspots and volcanic regions (Marie Byrd Land, Balleny Islands, Mt. Erebus). Gravity lows also suggest a possible hotspot under the South Orkney Islands. However, this finding has to be further verified.</t>
  </si>
  <si>
    <t>[Tenzer, Robert] Hong Kong Polytech Univ, Dept Land Surveying &amp; Geoinformat, 181 Chatham Rd South, Kowloon, Hong Kong, Peoples R China; [Chen, Wenjin] Wuhan Univ, Dept Geodesy &amp; Geomat, Wuhan, Hubei, Peoples R China; [Baranov, Alexey] Russian Acad Sci, Schmidt Inst Phys Earth, Moscow, Russia; [Baranov, Alexey] Russian Acad Sci, Inst Earthquake Predict Theory &amp; Math Geophys, Moscow, Russia; [Bagherbandi, Mohammad] Royal Inst Technol KTH, Div Geodesy &amp; Geoinformat, Stockholm, Sweden; [Bagherbandi, Mohammad] Univ Gavle, Dept Ind Dev IT &amp; Land Management, Gavle, Sweden</t>
  </si>
  <si>
    <t>Hong Kong Polytechnic University; Wuhan University; Russian Academy of Sciences; Schmidt Institute of Physics of the Earth of the Russian Academy of Sciences; Russian Academy of Sciences; Institute of Earthquake Prediction Theory &amp; Mathematical Geophysics; Royal Institute of Technology; University of Gavle</t>
  </si>
  <si>
    <t>Tenzer, R (corresponding author), Hong Kong Polytech Univ, Dept Land Surveying &amp; Geoinformat, 181 Chatham Rd South, Kowloon, Hong Kong, Peoples R China.</t>
  </si>
  <si>
    <t>robert.tenzer@polyu.edu.hk</t>
  </si>
  <si>
    <t>TENZER, Robert/C-3960-2019; Baranov, Alexey/ABF-0062-2022</t>
  </si>
  <si>
    <t>TENZER, Robert/0000-0002-9915-4960; Baranov, Alexey/0000-0002-7793-5555; wenjin, chen/0000-0002-6692-2054</t>
  </si>
  <si>
    <t>0033-4553</t>
  </si>
  <si>
    <t>1420-9136</t>
  </si>
  <si>
    <t>PURE APPL GEOPHYS</t>
  </si>
  <si>
    <t>Pure Appl. Geophys.</t>
  </si>
  <si>
    <t>10.1007/s00024-018-1795-z</t>
  </si>
  <si>
    <t>GJ7SX</t>
  </si>
  <si>
    <t>WOS:000435590500017</t>
  </si>
  <si>
    <t>Chang, YS; Zhang, SQ; Rosati, A; Vecchi, GA; Yang, XS</t>
  </si>
  <si>
    <t>Chang, You-Soon; Zhang, Shaoqing; Rosati, Anthony; Vecchi, Gabriel A.; Yang, Xiaosong</t>
  </si>
  <si>
    <t>An OSSE Study for Deep Argo Array using the GFDL Ensemble Coupled Data Assimilation System</t>
  </si>
  <si>
    <t>OCEAN SCIENCE JOURNAL</t>
  </si>
  <si>
    <t>observing system simulation experiment; coupled data assimilation; deep Argo array</t>
  </si>
  <si>
    <t>MERIDIONAL OVERTURNING CIRCULATION; NORTH-ATLANTIC; SOUTHERN-OCEAN; KALMAN FILTER; CLIMATE; MODEL; VARIABILITY; ABYSSAL; IMPACT; WATERS</t>
  </si>
  <si>
    <t>An observing system simulation experiment (OSSE) using an ensemble coupled data assimilation system was designed to investigate the impact of deep ocean Argo profile assimilation in a biased numerical climate system. Based on the modern Argo observational array and an artificial extension to full depth, observations drawn from one coupled general circulation model (CM2.0) were assimilated into another model (CM2.1). Our results showed that coupled data assimilation with simultaneous atmospheric and oceanic constraints plays a significant role in preventing deep ocean drift. However, the extension of the Argo array to full depth did not significantly improve the quality of the oceanic climate estimation within the bias magnitude in the twin experiment. Even in the identical twin experiment for the deep Argo array from the same model (CM2.1) with the assimilation model, no significant changes were shown in the deep ocean, such as in the Atlantic meridional overturning circulation and the Antarctic bottom water cell. The small ensemble spread and corresponding weak constraints by the deep Argo profiles with medium spatial and temporal resolution may explain why the deep Argo profiles did not improve the deep ocean features in the assimilation system. Additional studies using different assimilation methods with improved spatial and temporal resolution of the deep Argo array are necessary in order to more thoroughly understand the impact of the deep Argo array on the assimilation system.</t>
  </si>
  <si>
    <t>[Chang, You-Soon] Kongju Natl Univ, Dept Earth Sci Educ, Gongju 32588, South Korea; [Zhang, Shaoqing; Rosati, Anthony; Vecchi, Gabriel A.; Yang, Xiaosong] NOAA, Geophys Fluid Dynam Lab, Princeton, NJ 08540 USA; [Rosati, Anthony; Yang, Xiaosong] Univ Corp Atmospher Res, Boulder, CO 80307 USA; [Vecchi, Gabriel A.] Princeton Univ, Dept Geosci, Princeton, NJ 08540 USA; [Vecchi, Gabriel A.] Princeton Environm Inst, Princeton, NJ 08540 USA; [Zhang, Shaoqing] Ocean Univ China, Key Lab Phys Oceanog, Qingdao 266100, Peoples R China; [Zhang, Shaoqing] Qingdao Natl Lab Marine Sci &amp; Technol, Qingdao 266100, Peoples R China</t>
  </si>
  <si>
    <t>Kongju National University; National Oceanic Atmospheric Admin (NOAA) - USA; National Center Atmospheric Research (NCAR) - USA; Princeton University; Princeton University; Ocean University of China; Laoshan Laboratory</t>
  </si>
  <si>
    <t>Chang, YS (corresponding author), Kongju Natl Univ, Dept Earth Sci Educ, Gongju 32588, South Korea.</t>
  </si>
  <si>
    <t>yschang@kongju.ac.kr</t>
  </si>
  <si>
    <t>Zhang, Shaoqing/X-3124-2019; Vecchi, Gabriel/A-2413-2008; Yang, Xiaosong/C-7260-2009</t>
  </si>
  <si>
    <t>Vecchi, Gabriel/0000-0002-5085-224X;</t>
  </si>
  <si>
    <t>Kongju National University</t>
  </si>
  <si>
    <t>We hereby acknowledge the international Argo program for making publicly available its rich database. Argo data were collected and made freely available by the International Argo Program and the national programs that contribute to it (http://www.argo.ucsd.edu, http://argo.jcommops.org). The Argo Program is part of the Global Ocean Observing System. The authors also sincerely thank anonymous reviewers for their helpful comments. This work was supported by a research grant provided by Kongju National University in 2015.</t>
  </si>
  <si>
    <t>KOREA OCEAN RESEARCH DEVELOPMENT INST</t>
  </si>
  <si>
    <t>P O BOX 29, SEOUL, 425-600, SOUTH KOREA</t>
  </si>
  <si>
    <t>1738-5261</t>
  </si>
  <si>
    <t>2005-7172</t>
  </si>
  <si>
    <t>OCEAN SCI J</t>
  </si>
  <si>
    <t>Ocean Sci. J.</t>
  </si>
  <si>
    <t>10.1007/s12601-018-0007-1</t>
  </si>
  <si>
    <t>GK4KT</t>
  </si>
  <si>
    <t>WOS:000436129100003</t>
  </si>
  <si>
    <t>Ke, H; Wu, JW; Li, F; Wang, ZM; Zhang, SK; Zhao, JH</t>
  </si>
  <si>
    <t>Ke Hao; Wu JingWen; Li Fei; Wang ZeMin; Zhang ShengKai; Zhao JianHu</t>
  </si>
  <si>
    <t>Study on the establishment of the oceanic continuous chart datum based on three-dimensional numerical simulation of tidal wave motion</t>
  </si>
  <si>
    <t>Tidal wave motion; Three-dimensional numerical simulation; Continuous; Chart datum</t>
  </si>
  <si>
    <t>PROPAGATION</t>
  </si>
  <si>
    <t>As the vertical datum for oceanic depth, chart datum is of great significance to scientific research activities such as marine geodetic survey and marine physical investigation. In view of the existence of discrete and discontinuous defects in the traditional ocean chart datum, this work studies the construction method of marine continuous chart datum based on three-dimensional numerical simulation of tidal wave motion. The result indicates that the finite volume coastal oceanic model FVCOM has the characteristics of flexible construction of triangular lattice and can be applied to the irregular coastal boundary accurately. As a typical area of terrain features, the southern branch of the Yangtze River estuary was selected as the experimental area, and 3D numerical simulation of tidal wave motion was carried out. The average tidal range at each grid node derived from FVCOM simulation is in good agreement with the local tidal dynamic, and a continuous chart datum is established on the basis of the average tidal range. Compared to the six long term tide gauges in the southern branch, the maximum difference of chart datum among them is 5.5 cm, with the mean difference value of 2.6 cm. Furthermore, the precision of simulation result is higher and more consistent with the tidal characteristic of the south branch of Yangtze River estuary. A new idea is provided in this paper for the establishment of marine continuous vertical datum, which is more rational and reliable when compared with the traditional geometric interpolation method.</t>
  </si>
  <si>
    <t>[Ke Hao; Li Fei; Wang ZeMin; Zhang ShengKai] Wuhan Univ, Chinese Antarctic Ctr Surveying &amp; Mapping, Wuhan 430079, Hubei, Peoples R China; [Wu JingWen] Changjiang Water Resources Commiss, Bur Hydrol, Hydrol &amp; Water Resources Survey Bur Yangtze River, Shanghai 200136, Peoples R China; [Zhao JianHu] Wuhan Univ, Sch Geodesy &amp; Geomat, Wuhan 430079, Hubei, Peoples R China</t>
  </si>
  <si>
    <t>Li, F (corresponding author), Wuhan Univ, Chinese Antarctic Ctr Surveying &amp; Mapping, Wuhan 430079, Hubei, Peoples R China.</t>
  </si>
  <si>
    <t>kehao1984@whu.edu.cn; fli@whu.edu.cn</t>
  </si>
  <si>
    <t>Ke, Hao/0000-0003-4997-6111</t>
  </si>
  <si>
    <t>10.6038/cjg2018L0598</t>
  </si>
  <si>
    <t>GJ5ND</t>
  </si>
  <si>
    <t>WOS:000435427300005</t>
  </si>
  <si>
    <t>Selbmann, L; Pacelli, C; Zucconi, L; Dadachova, E; Moeller, R; de Vera, JP; Onofri, S</t>
  </si>
  <si>
    <t>Selbmann, Laura; Pacelli, Claudia; Zucconi, Laura; Dadachova, Ekaterina; Moeller, Ralf; de Vera, Jean-Pierre; Onofri, Silvano</t>
  </si>
  <si>
    <t>Resistance of an Antarctic cryptoendolithic black fungus to radiation gives new insights of astrobiological relevance</t>
  </si>
  <si>
    <t>Astrobiology; Desiccation; Melanin; Planetary protection; Radioprotection</t>
  </si>
  <si>
    <t>IONIZING-RADIATION; EXTREME ENVIRONMENTS; MICROBIAL DIVERSITY; TERRESTRIAL ANALOGS; PLANETARY SCIENCE; RIO-TINTO; LIFE; MARS; MELANIN; SPACE</t>
  </si>
  <si>
    <t>The Antarctic black meristematic fungus Cryomyces antarcticus CCFEE 515 occurs endolithically in the McMurdo Dry Valleys of Antarctica, one of the best analogue for Mars environment on Earth. To date, this fungus is considered one of the best eukaryotic models for astrobiological studies and has been repeatedly selected for space experiments in the last decade. The obtained results are reviewed here, with special focus on responses to space relevant irradiation, UV radiation, and both sparsely and densely ionizing radiation, which represent the major injuries for a putative space-traveller. The remarkable resistance of this model organism to space stress, its radioresistance in particular, and mechanisms involved, significantly contributed to expanding our concept of limits for life and provided new insights on the origin and evolution of life in planetary systems, habitability, and biosignatures for life detection as well as on human protection during space missions. (C) 2017 British Mycological Society. Published by Elsevier Ltd. All rights reserved.</t>
  </si>
  <si>
    <t>[Selbmann, Laura; Pacelli, Claudia; Zucconi, Laura; Onofri, Silvano] Univ Tuscia, Dept Ecol &amp; Biol Sci DEB, I-01100 Viterbo, Italy; [Dadachova, Ekaterina] Univ Saskatchewan, Coll Pharm &amp; Nutr, Saskatoon, SK, Canada; [Moeller, Ralf] German Aerosp Ctr DLR, Inst Aerosp Med, Radiat Biol Dept, Space Microbiol Res Grp, Cologne, Germany; [de Vera, Jean-Pierre] German Aerosp Ctr DLR, Inst Planetary Res Management &amp; Infrastruct, Astrobiol Labs, Rutherfordstr 2, D-12489 Berlin, Germany</t>
  </si>
  <si>
    <t>Tuscia University; University of Saskatchewan; Helmholtz Association; German Aerospace Centre (DLR); Helmholtz Association; German Aerospace Centre (DLR)</t>
  </si>
  <si>
    <t>Selbmann, L (corresponding author), Univ Tuscia, Dept Ecol &amp; Biol Sci DEB, I-01100 Viterbo, Italy.</t>
  </si>
  <si>
    <t>selbmann@unitus.it; pacelli@unitus.it; zucconi@unitus.it; ekaterina.dadachova@usask.ca; ralf.moeller@dlr.de; jean-pierre.devera@dlr.de; onofri@unitus.it</t>
  </si>
  <si>
    <t>Pacelli, Claudia/AAI-2677-2020; Zucconi, L./U-9781-2018; Selbmann, Laura/L-3056-2013</t>
  </si>
  <si>
    <t>Pacelli, Claudia/0000-0001-5113-4293; Zucconi, L./0000-0001-9793-2303; Selbmann, Laura/0000-0002-8967-3329; de Vera, Jean-Pierre Paul/0000-0002-9530-5821; ONOFRI, Silvano/0000-0001-8872-1440</t>
  </si>
  <si>
    <t>Italian National Program for Antarctic Researches (PNRA) [2013/AZ1.17, PNRA16_00006, 2015/AZ1.02]; Italian Space Agency (ASI); Antarctic Italian National Museum (MNA) Felice Ippolito; Defense Threat Reduction Agency (DTRA) [HDTRA1-1-17-0013]; DLR grant DLR-FuE-Projekt ISS LIFE, Programm RF-FuW, Teilprogramm [475]; International Symposium on Fungal Stress (ISFUS)-2017 meeting from the Coordenacao de Aperfeicoamento de Pessoal de Nivel Superior (CAPES) of Brazil [PAEP 88887.126652/2017-00]; Fundacao de Amparo a Pesquisa do Estado de Goias of Brazil [201710267000110]</t>
  </si>
  <si>
    <t>Italian National Program for Antarctic Researches (PNRA); Italian Space Agency (ASI)(Agenzia Spaziale Italiana (ASI)); Antarctic Italian National Museum (MNA) Felice Ippolito; Defense Threat Reduction Agency (DTRA)(United States Department of DefenseDefense Threat Reduction Agency); DLR grant DLR-FuE-Projekt ISS LIFE, Programm RF-FuW, Teilprogramm; International Symposium on Fungal Stress (ISFUS)-2017 meeting from the Coordenacao de Aperfeicoamento de Pessoal de Nivel Superior (CAPES) of Brazil; Fundacao de Amparo a Pesquisa do Estado de Goias of Brazil</t>
  </si>
  <si>
    <t>LS, SO, CP, and LZ thanks the Italian National Program for Antarctic Researches (PNRA) for funding the researches and Antarctic campaigns for sampling and data collecting (projects 2013/AZ1.17, PNRA16_00006, 2015/AZ1.02), the Italian Space Agency (ASI) for funding BIOMEX-MCF and E-GEM projects and the Antarctic Italian National Museum (MNA) Felice Ippolito for supporting the Mycological Section and the Culture Collection of Fungi From Extreme Environments (CCFEE). ED acknowledges the support of the grant HDTRA1-1-17-0013 from the Defense Threat Reduction Agency (DTRA), RM was supported by DLR grant DLR-FuE-Projekt ISS LIFE, Programm RF-FuW, Teilprogramm 475. The authors express their gratitude also to ESA, ROSCOSMOS, NASA and their astronauts and cosmonauts who make the space exposure experiments possible and to DLR for the ground reference experiments. The work was also facilitated by grants in support of the International Symposium on Fungal Stress (ISFUS)-2017 meeting from the Coordenacao de Aperfeicoamento de Pessoal de Nivel Superior (CAPES) of Brazil - PAEP 88887.126652/2017-00 and by a grant from the Fundacao de Amparo a Pesquisa do Estado de Goias of Brazil - 201710267000110. Dr. Prof. Laurie Connell (The University of Maine) is kindly acknowledged for the accurate English revision of the text.</t>
  </si>
  <si>
    <t>10.1016/j.funbio.2017.10.012</t>
  </si>
  <si>
    <t>GK5FV</t>
  </si>
  <si>
    <t>WOS:000436200900019</t>
  </si>
  <si>
    <t>Watanabe, M; Kojima, H; Fukui, M</t>
  </si>
  <si>
    <t>Watanabe, Miho; Kojima, Hisaya; Fukui, Manabu</t>
  </si>
  <si>
    <t>Complete genome sequence of Marinifilaceae bacterium strain SPP2, isolated from the Antarctic marine sediment</t>
  </si>
  <si>
    <t>MARINE GENOMICS</t>
  </si>
  <si>
    <t>Complete genome sequence; Antarctica; Bacteroidetes</t>
  </si>
  <si>
    <t>COASTAL SEDIMENT; RNA GENES; SP NOV.; PREDICTION</t>
  </si>
  <si>
    <t>Marinifilaceae bacterium strain SPP2 is a Gram-negative facultative anaerobe, isolated from the Antarctic marine sediment. Here, we present the complete genome sequence of Marinifilaceae bacterium strain SPP2, which consists of 5,718,991 bp with a G + C content of 35.99%. The genome data provides insights of microbial evolution and adaption in the Antarctic marine ecosystem. (C) 2017 Elsevier B.V. All rights reserved.</t>
  </si>
  <si>
    <t>[Watanabe, Miho; Kojima, Hisaya; Fukui, Manabu] Hokkaido Univ, Inst Low Temp Sci, Sapporo, Hokkaido, Japan; [Watanabe, Miho] Japan Soc Promot Sci, Chiyoda Ku, Tokyo 1028471, Japan</t>
  </si>
  <si>
    <t>Hokkaido University; Japan Society for the Promotion of Science</t>
  </si>
  <si>
    <t>Watanabe, M (corresponding author), Hokkaido Univ, Inst Low Temp Sci, Kita Ku, Nishi 8,Kita 19, Sapporo, Hokkaido 0600819, Japan.</t>
  </si>
  <si>
    <t>m.watanabe@pop.lowtem.hokudai.ac.jp</t>
  </si>
  <si>
    <t>Fukui, Manabu/E-1323-2012; Kojima, Hisaya/D-9100-2012; Watanabe, Miho/Q-5601-2017</t>
  </si>
  <si>
    <t>Watanabe, Miho/0000-0001-5070-9657</t>
  </si>
  <si>
    <t>JSPS KAKENHI [22370005]; Grants-in-Aid for Scientific Research [16J30010] Funding Source: KAKEN</t>
  </si>
  <si>
    <t>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</si>
  <si>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This study was supported by a grant-in-aid for Research Fellow of Japan Society for the Promotion Science to MW and JSPS KAKENHI Grant Number 22370005 to M. Fukui. We also thank members of the 47th Japan Antarctica Research Expedition (Expedition leader: K. Shiraishi, NIPR) for logistical assistance.</t>
  </si>
  <si>
    <t>1874-7787</t>
  </si>
  <si>
    <t>1876-7478</t>
  </si>
  <si>
    <t>MAR GENOM</t>
  </si>
  <si>
    <t>Mar. Genom.</t>
  </si>
  <si>
    <t>10.1016/j.margen.2017.06.006</t>
  </si>
  <si>
    <t>Genetics &amp; Heredity; Marine &amp; Freshwater Biology</t>
  </si>
  <si>
    <t>GK5IF</t>
  </si>
  <si>
    <t>WOS:000436207800001</t>
  </si>
  <si>
    <t>Liv, Q; Han, YY; Wang, DX; Wang, Q; Liu, XX; Li, Y; Song, X; Wang, M; Jiang, Y; Meng, ZX; Shao, HB; McMinn, A</t>
  </si>
  <si>
    <t>Liu, Qian; Han, Yuye; Wang, Dongxu; Wang, Qi; Liu, Xinxin; Li, Yan; Song, Xue; Wang, Min; Jiang, Yong; Meng, Zhexuan; Shao, Hongbing; McMinn, Andrew</t>
  </si>
  <si>
    <t>Complete genomic sequence of bacteriophage J2-1: A novel Pseudoalteromonas phenolica phage isolated from the coastal water of Qingdao, China</t>
  </si>
  <si>
    <t>Bacteriophage; Pseudoalteromonas; Myoviridae; Complete genome</t>
  </si>
  <si>
    <t>Phage J2-1 was isolated from surface coastal seawater off Qingdao, China in July 2015. It is the first time that a phage active against Pseudoalteromonas phenolica CECT 7645(T) has been isolated. Morphological analysis using transmission electron microscopy revealed that phage J2-1 has an 87 +/- 3 nm head, a 111 +/- 3 nm long tail and appears to belong to the family Myoviridae. Genomic analysis of J2-1 revealed a genome size of 142,204 bp with 37.92% G + C content and 180 ORFs. Overall the ORF sequences accounted for 89% of the genome sequence. A genome comparison using the BLASTN tool in the NCBI database found no obvious similarity between J2-1 and other known phages.</t>
  </si>
  <si>
    <t>[Liu, Qian; Han, Yuye; Wang, Dongxu; Wang, Qi; Liu, Xinxin; Li, Yan; Song, Xue; Wang, Min; Jiang, Yong; Shao, Hongbing] Ocean Univ China, Coll Marine Life Sci, Qingdao 266003, Peoples R China; [Wang, Min; Jiang, Yong] Ocean Univ China, Inst Evolut &amp; Marine Biodivers, Qingdao 266003, Peoples R China; [McMinn, Andrew] Univ Tasmania, Inst Marine &amp; Antarctic Studies, Hobart, Tas, Australia; [Meng, Zhexuan] 39 Middle Sch Qingdao, Qingdao 266003, Peoples R China</t>
  </si>
  <si>
    <t>Ocean University of China; Ocean University of China; University of Tasmania</t>
  </si>
  <si>
    <t>Wang, M; Jiang, Y (corresponding author), Ocean Univ China, Coll Marine Life Sci, Qingdao 266003, Peoples R China.</t>
  </si>
  <si>
    <t>mingwang@ouc.edu.cn; yongjiang@ouc.edu.cn</t>
  </si>
  <si>
    <t>McMinn, Andrew/A-9910-2008; Wang, Min/AFR-9645-2022; Jiang, Yong/AGK-3016-2022</t>
  </si>
  <si>
    <t>Wang, Min/0000-0002-2357-589X; Jiang, Yong/0000-0002-4072-1668; Jiang, Yong/0000-0001-6055-488X</t>
  </si>
  <si>
    <t>National Natural Science Foundation of China [41076088, 31500339]; National Key Basic Research Program of China [2013CB429704]; China Postdoctoral Science Foundation [2015M570612, 2016T90649]; Fundamental Research Funds for the Central University of Ocean University of China [201762017, 201564010, 201562018, 201512008]</t>
  </si>
  <si>
    <t>National Natural Science Foundation of China(National Natural Science Foundation of China (NSFC)); National Key Basic Research Program of China(National Basic Research Program of China); China Postdoctoral Science Foundation(China Postdoctoral Science Foundation); Fundamental Research Funds for the Central University of Ocean University of China</t>
  </si>
  <si>
    <t>We are grateful to the funding of the National Natural Science Foundation of China (Nos. 41076088 and 31500339), the National Key Basic Research Program of China (No. 2013CB429704), China Postdoctoral Science Foundation (Nos. 2015M570612 and 2016T90649), and Fundamental Research Funds for the Central University of Ocean University of China (Nos. 201762017, 201564010, 201562018 and 201512008).</t>
  </si>
  <si>
    <t>10.1016/j.margen.2017.12.001</t>
  </si>
  <si>
    <t>WOS:000436207800005</t>
  </si>
  <si>
    <t>Moran, AL; Woods, HA; Shishido, CM; Lane, SJ; Tobalske, BW</t>
  </si>
  <si>
    <t>Moran, Amy L.; Woods, H. Arthur; Shishido, Caitlin M.; Lane, Steven J.; Tobalske, Bret W.</t>
  </si>
  <si>
    <t>Predatory behavior of giant Antarctic sea spiders (Colossendeis) in nearshore environments</t>
  </si>
  <si>
    <t>INVERTEBRATE BIOLOGY</t>
  </si>
  <si>
    <t>Pycnogonida; Colossendeis megalonyx; Antarctic benthos; pteropod; Clione</t>
  </si>
  <si>
    <t>MCMURDO SOUND; PYCNOGONIDA; PTEROPODS; BIOLOGY; LIPIDS; ZOOPLANKTON; GASTROPODA</t>
  </si>
  <si>
    <t>Pycnogonids in the genus Colossendeis are found in the deep sea and Southern Ocean. Although the genus contains the largest and most conspicuous species of sea spiders, little is known about their ecology or behavior. We documented two species feeding on a variety of benthic and pelagic invertebrates during three diving field seasons at McMurdo Station, Antarctica. Individuals of one species, Colossendeis megalonyx, fed on a variety of pelagic organisms, particularly the pteropod Clione antarctica. We used video to document rapid capture of individuals of C. antarctica by captive specimens of C. megalonyx in the laboratory, and we suggest that, at least in the nearshore environment, pelagic invertebrates are an important food source for this and potentially other pycnogonid species.</t>
  </si>
  <si>
    <t>[Moran, Amy L.; Shishido, Caitlin M.] Univ Hawaii Manoa, Dept Biol, Honolulu, HI 96822 USA; [Woods, H. Arthur; Lane, Steven J.; Tobalske, Bret W.] Univ Montana, Div Biol Sci, Missoula, MT 59812 USA</t>
  </si>
  <si>
    <t>University of Hawaii System; University of Hawaii Manoa; University of Montana System; University of Montana</t>
  </si>
  <si>
    <t>Moran, AL (corresponding author), Univ Hawaii Manoa, Dept Biol, Honolulu, HI 96822 USA.</t>
  </si>
  <si>
    <t>morana@hawaii.edu</t>
  </si>
  <si>
    <t>NSF-OPP [1341476, 1341485]; Office of Polar Programs (OPP); Directorate For Geosciences [1341476, 1341485] Funding Source: National Science Foundation</t>
  </si>
  <si>
    <t>NSF-OPP(National Science Foundation (NSF)); Office of Polar Programs (OPP); Directorate For Geosciences(National Science Foundation (NSF)NSF - Directorate for Geosciences (GEO))</t>
  </si>
  <si>
    <t>We thank Tim Dwyer, Bruce Miller, and Rob Robbins for assistance with diving and for permission to use their photographs. We also thank the support staff at McMurdo Station for logistical help. This work was funded by NSF-OPP 1341476 to ALM and 1341485 to HAW and BWT.</t>
  </si>
  <si>
    <t>1077-8306</t>
  </si>
  <si>
    <t>1744-7410</t>
  </si>
  <si>
    <t>INVERTEBR BIOL</t>
  </si>
  <si>
    <t>Invertebr. Biol.</t>
  </si>
  <si>
    <t>10.1111/ivb.12210</t>
  </si>
  <si>
    <t>GK0GQ</t>
  </si>
  <si>
    <t>WOS:000435787500003</t>
  </si>
  <si>
    <t>Nguyen, CT; Yuan, M; Yu, JS; Ye, T; Cao, H; Xu, F</t>
  </si>
  <si>
    <t>Cong Thanh Nguyen; Yuan, Min; Yu, Jing Song; Ye, Tai; Cao, Hui; Xu, Fei</t>
  </si>
  <si>
    <t>Isolation of ice structuring collagen peptide by ice affinity adsorption, its ice-binding mechanism and breadmaking performance in frozen dough</t>
  </si>
  <si>
    <t>JOURNAL OF FOOD BIOCHEMISTRY</t>
  </si>
  <si>
    <t>cryoprotection activity; frozen dough; ice affinity adsorption system; ice-binding interaction; ice structuring collagen peptides</t>
  </si>
  <si>
    <t>ANTIFREEZE PROTEINS; FREEZING RESISTANCE; ANTARCTIC FISHES; BAKING QUALITY; BREAD DOUGH; INHIBITION; PURIFICATION; NUCLEATION; STORAGE; GROWTH</t>
  </si>
  <si>
    <t>Ice structuring collagen peptides (ISCPs) from porcine skin collagen hydrolysates were isolated by an affinity adsorption system, and then its antifreeze and cryoprotection activity, ice-binding mechanism and making performance of steamed bread were investigated. The results showed ISCPs with maximal thermal hysteresis activity (2.76 degrees C) were obtained with a collagen hydrolysate concentration of 1 mg/mL,adsorption time of 10 hr and adsorption temperature of -5 degrees C during the second round of adsorption. After purification, MS spectrum analyzed one of the ISCPs and inferred to be GLLGPLGPRGLL with a molecular weight of 1163.8 Da. The binding of ISCP to ice could be attributed to the structural match and hydrogen bond formation between ice surface and the ISCP. Compared with the control group, the baking and textural characteristics of frozen dough were significantly improved by ISCP at an addition concentration of 0.3% (wt/vol) after 4 weeks frozen storage. Practical applications Porcine skin represents a problematic by-product in meat manufacturing industry due to its high pollutant load, and it is usually discarded as waste or used for low value purposes. In order to find potential applications for this by-product, ISCPs from porcine skin hydrolysates were isolated by an affinity adsorption system. The result demonstrated that ISCPs exhibited a strong antifreeze and cryoprotection activity, and had a potential application in food preservation and cryo-protection of cells and tissues.</t>
  </si>
  <si>
    <t>[Cong Thanh Nguyen; Yuan, Min; Yu, Jing Song; Ye, Tai; Cao, Hui; Xu, Fei] Univ Shanghai Sci &amp; Technol, Sch Med Instrument &amp; Food Engn, POB 454,516 Jungong Rd, Shanghai 200093, Peoples R China</t>
  </si>
  <si>
    <t>University of Shanghai for Science &amp; Technology</t>
  </si>
  <si>
    <t>Cao, H; Xu, F (corresponding author), Univ Shanghai Sci &amp; Technol, Sch Med Instrument &amp; Food Engn, POB 454,516 Jungong Rd, Shanghai 200093, Peoples R China.</t>
  </si>
  <si>
    <t>caohuian1976@163.com; xufei050202@163.com</t>
  </si>
  <si>
    <t>hui, cao/KBR-0411-2024</t>
  </si>
  <si>
    <t>National High Technology Research and Development Program of China [2013AA102207]; Xinjiang Science and Technology Project [2017E0247]</t>
  </si>
  <si>
    <t>National High Technology Research and Development Program of China(National High Technology Research and Development Program of China); Xinjiang Science and Technology Project</t>
  </si>
  <si>
    <t>National High Technology Research and Development Program of China, Grant/Award Number: 2013AA102207; Xinjiang Science and Technology Project, Grant/Award Number: 2017E0247</t>
  </si>
  <si>
    <t>0145-8884</t>
  </si>
  <si>
    <t>1745-4514</t>
  </si>
  <si>
    <t>J FOOD BIOCHEM</t>
  </si>
  <si>
    <t>J. Food Biochem.</t>
  </si>
  <si>
    <t>e12506</t>
  </si>
  <si>
    <t>10.1111/jfbc.12506</t>
  </si>
  <si>
    <t>Biochemistry &amp; Molecular Biology; Food Science &amp; Technology</t>
  </si>
  <si>
    <t>GK0JG</t>
  </si>
  <si>
    <t>WOS:000435795200008</t>
  </si>
  <si>
    <t>Briani, B; Sissini, MN; Lucena, LA; Batista, MB; Costa, IO; Nunes, JMC; Schmitz, C; Ramlov, F; Maraschin, M; Korbee, N; Rörig, L; Horta, PA; Figueroa, FL; Barufi, JB</t>
  </si>
  <si>
    <t>Briani, Bruno; Sissini, Marina N.; Lucena, Leidson A.; Batista, Manuela B.; Costa, Iara O.; Nunes, Jose M. C.; Schmitz, Caroline; Ramlov, Fernanda; Maraschin, Marcelo; Korbee, Nathalie; Rorig, Leonardo; Horta, Paulo A.; Figueroa, Felix L.; Barufi, Jose B.</t>
  </si>
  <si>
    <t>THE INFLUENCE OF ENVIRONMENTAL FEATURES IN THE CONTENT OF MYCOSPORINE-LIKE AMINO ACIDS IN RED MARINE ALGAE ALONG THE BRAZILIAN COAST</t>
  </si>
  <si>
    <t>Brazil; ecological response; MAAs; red seaweeds; ultraviolet radiation</t>
  </si>
  <si>
    <t>UV-B RADIATION; ULTRAVIOLET-RADIATION; ANTARCTIC MACROALGAE; ABSORBING COMPOUNDS; ACCUMULATION; PHOTOSYNTHESIS; RHODOPHYTA; PORPHYRA-334; BIOSYNTHESIS; MECHANISM</t>
  </si>
  <si>
    <t>Mycosporine-like amino acids (MAA) are ultraviolet screen substances synthesized by marine algae. The physiological function of these substances is related to cellular protection against UV radiation and as a protective mechanism against oxidative stress. These substances can be found mainly in the ocean, among red seaweeds. Its concentration in organisms has been related to ultraviolet radiation and availability of inorganic nitrogen in the environment. We start our study of MAA content in different species to understand if environmental conditions influence the concentration of MAAs in red seaweeds. The Brazilian coast presents abiotic factors that interact to create different physical-chemical features in the environment. We collected 441 samples from 39 species of red seaweed easily found in the intertidal zone, in low tide, during the summer of 2015. The sampling encompassed a latitudinal gradient (3 degrees S to 28 degrees 5 S) at 23 points along the coast. We quantified and identified the content of MAAs in species through the method of high performance liquid chromatography. We detected for the first time the occurrence of MAAs in certain species of red algae that have not been reported to contain MAAs before. We confirmed that some environmental factors influenced the content of MAAs. Enhanced MAA contents, for example, were found in environments with a basic pH, a high ultraviolet index, and high concentrations of phosphate and nitrate. Salinity, dissolved oxygen and variations of sea surface temperature also influenced, in a secondary way, MAA content in algae in their natural environments.</t>
  </si>
  <si>
    <t>[Briani, Bruno; Sissini, Marina N.; Lucena, Leidson A.; Batista, Manuela B.; Rorig, Leonardo; Horta, Paulo A.; Barufi, Jose B.] Univ Fed Santa Catarina, Dept Bot, Ctr Ciencias Biol, BR-88040970 Florianopolis, SC, Brazil; [Costa, Iara O.; Nunes, Jose M. C.] Univ Fed Bahia, Dept Bot, Inst Biol, BR-40170115 Salvador, BA, Brazil; [Schmitz, Caroline; Ramlov, Fernanda; Maraschin, Marcelo] Univ Fed Santa Catarina, Dept Fitotecnia, Ctr Ciencias Agr, BR-88040970 Florianopolis, SC, Brazil; [Korbee, Nathalie; Figueroa, Felix L.] Univ Malaga, Fac Ciencias, Dept Ecol, E-29071 Malaga, Spain</t>
  </si>
  <si>
    <t>Universidade Federal de Santa Catarina (UFSC); Universidade Federal da Bahia; Universidade Federal de Santa Catarina (UFSC); Universidad de Malaga</t>
  </si>
  <si>
    <t>Briani, B (corresponding author), Univ Fed Santa Catarina, Dept Bot, Ctr Ciencias Biol, BR-88040970 Florianopolis, SC, Brazil.</t>
  </si>
  <si>
    <t>brunobriani@gmail.com</t>
  </si>
  <si>
    <t>Schmitz, Caroline/AAD-2015-2022; de Castro Nunes, José Marcos/E-1139-2012; Sissini, Marina/IUO-1591-2023; Barufi, José B/F-1047-2013; Horta, Paulo A/L-3092-2015; Maraschin, Marcelo/M-7176-2019; Rorig, Leonardo/S-7191-2017; Lopez Figueroa, Felix Diego/K-7720-2014; Korbee Peinado, Nathalie/K-5995-2014</t>
  </si>
  <si>
    <t>Schmitz, Caroline/0000-0002-9806-252X; de Castro Nunes, José Marcos/0000-0001-7142-5995; Rorig, Leonardo/0000-0003-2244-9223; Lopez Figueroa, Felix Diego/0000-0003-3580-4693; Nasri Sissini, Marina/0000-0002-0378-3157; Korbee Peinado, Nathalie/0000-0002-9780-4915; Costa, Iara/0000-0003-1785-8380</t>
  </si>
  <si>
    <t>CAPES [480612/2013-7]; CNPq [480612/2013-7]</t>
  </si>
  <si>
    <t>CAPES(Coordenacao de Aperfeicoamento de Pessoal de Nivel Superior (CAPES)); CNPq(Conselho Nacional de Desenvolvimento Cientifico e Tecnologico (CNPQ))</t>
  </si>
  <si>
    <t>We thank CAPES for the studentship and CNPq for the financing of the universal project (480612/2013-7). To FYBOA research group from Department of Ecology and Geology of the University of Malaga. To the Brazilian Environmental Agency: Institute Chico Mendes de Conservacao da Biodiversidade (ICMBio) and for the research facilities at the Marine Biological Reserve of Atol das Rocas.</t>
  </si>
  <si>
    <t>10.1111/jpy.12640</t>
  </si>
  <si>
    <t>GK0KM</t>
  </si>
  <si>
    <t>WOS:000435798700007</t>
  </si>
  <si>
    <t>McMinn, A; Lee, SH</t>
  </si>
  <si>
    <t>McMinn, Andrew; Lee, Shihong</t>
  </si>
  <si>
    <t>USE OF GLUCOSE BIOSENSORS TO MEASURE EXTRACELLULAR GLUCOSE EXUDATION BY INTERTIDAL MICROPHYTOBENTHOS IN SOUTHERN TASMANIA</t>
  </si>
  <si>
    <t>bacteria; biosensor; glucose; light; microphytobenthos; MPB; nutrients</t>
  </si>
  <si>
    <t>POLYMERIC SUBSTANCES EPS; ANTARCTIC SEA-ICE; BENTHIC DIATOMS; EXOPOLYMER PRODUCTION; MARINE-PHYTOPLANKTON; SP BACILLARIOPHYCEAE; PRIMARY PRODUCTIVITY; MICROBIAL BIOFILMS; SURFACE SEDIMENTS; EPIPELIC DIATOMS</t>
  </si>
  <si>
    <t>Micro glucose biosensors were used to measure net extracellular glucose produced by natural microphytobenthos and three diatom cultures (Amphora coffeaeformis, Navicula menisculus, Nitzschia longissima) from southern Tasmania, Australia. They were exposed to a light gradient in either nutrient-replete or nutrient-limiting conditions. Glucose exudation in the natural communities increased with increased light but the response in the cultures was variable. Similarly, nutrient-replete conditions elicited lower rates of glucose exudation in the natural communities but produced variable species-specific responses in the cultures. Increased glucose exudation mostly correlated with a reduction in maximum quantum yield (F-v/F-m). The same trend was observed in the natural communities for relative maximum electron transfer rates (rETR(max)) but responses in the cultures were again variable and species-specific. Responses of the three species to increased light and nutrient deficiency were variable, although glucose exudation, F-v/F-m and rETR(max) was mostly lower in the nutrient-limited media. In a second set of experiments species/communities were treated with/without antibiotics. In the dark, glucose concentrations in treatments with antibiotics remained unchanged, while in those with bacteria, it fell rapidly. In the sediment communities, glucose consumption in the dark was similar to 25% the rate of exudation at the highest light level. In culture, exudation rates were up to 100% greater than those with active bacteria. Rates of glucose consumption in the dark in the antibiotic-treated samples were negligible and up to 10(4) times lower than those with active bacteria. These results demonstrate the important role extracellular glucose exudation has on maintaining an active microbial loop.</t>
  </si>
  <si>
    <t>[McMinn, Andrew; Lee, Shihong] Univ Tasmania, Inst Marine &amp; Antarctic Studies, Private Bag 209, Hobart, Tas 7001, Australia; [McMinn, Andrew] Ocean Univ China, Coll Marine Life Sci, Qingdao, Peoples R China</t>
  </si>
  <si>
    <t>University of Tasmania; Ocean University of China</t>
  </si>
  <si>
    <t>McMinn, A (corresponding author), Univ Tasmania, Inst Marine &amp; Antarctic Studies, Private Bag 209, Hobart, Tas 7001, Australia.;McMinn, A (corresponding author), Ocean Univ China, Coll Marine Life Sci, Qingdao, Peoples R China.</t>
  </si>
  <si>
    <t>andrew.mcminn@utas.edu.au</t>
  </si>
  <si>
    <t>McMinn, Andrew/A-9910-2008</t>
  </si>
  <si>
    <t>University of Tasmania; Holsworth Wildlife Research Endowment</t>
  </si>
  <si>
    <t>We thank Pinnacle Technology for technical advice and permission to publish the diagram of their sensor. Shihong Lee received a scholarship from the University of Tasmania. Financial assistance was received from the Holsworth Wildlife Research Endowment.</t>
  </si>
  <si>
    <t>10.1111/jpy.12641</t>
  </si>
  <si>
    <t>WOS:000435798700009</t>
  </si>
  <si>
    <t>Srivastava, HB; Shrivastava, PK; Roy, SK; Beg, MJ; Asthana, R; Govil, P; Verma, K</t>
  </si>
  <si>
    <t>Srivastava, Hari B.; Shrivastava, Prakash K.; Roy, Sandip K.; Beg, M. Javed; Asthana, Rajesh; Govil, Pawan; Verma, Kamlesh</t>
  </si>
  <si>
    <t>Transition in Late Quaternary Paleoclimate in Schirmacher Region, East Antarctica as Revealed from Lake Sediments</t>
  </si>
  <si>
    <t>SCANNING-ELECTRON-MICROSCOPE; QUARTZ GRAINS; CLAY-MINERALS; TRANSPORT; INDICATORS; SAND; MICROTEXTURES; ENVIRONMENTS; GLACIATION; MOUNTAINS</t>
  </si>
  <si>
    <t>The lacustrine sediments are one of the best sources to provide information on climate change, specially in peri-glacial climatic region. Schirmacher Oasis, located on the Princess Astrid Coast in Queen Maud Land, is one of the few areas in East Antarctica that provides valuable information on paleoclimate of the region with various depositional features formed due to deglaciation process. This Oasis is dotted with more than 100 lakes of proglacial, land-locked and epi-shelf type. The multi-proxy sedimentological data, generated from the sediment cores from land-locked lakes and grab sample from a proglacial lake, lying in the same drainage line in the central part of Schirmacher region has provided better insight into the paleoclimatic evolution of the region. The immature and chemically unaltered lake sediments have shown restricted drainage pattern. Different phases of warmer and cooler intervals are highlighted by the patterns of fluctuations in different sedimentological and statistical parameters. The dominance of glacial signatures is very clear on the lake sediments as revealed by the surface textures of quartz grains. Physical weathering has mainly controlled the overall sediments and the composition of clay fraction. The clay minerals indicate a gradual shift in the weathering regime and therewith in climate from strongly glacial to fluvioglacial specially around 42 ka. This indicates beginning of warming of the area much before the LGM. But the warm period is not strong enough to alter the overall clay chemistry. Proxy records indicate short-period climatic oscillations during late Quaternary.</t>
  </si>
  <si>
    <t>[Srivastava, Hari B.] Banaras Hindu Univ, Dept Geol, Varanasi 221005, Uttar Pradesh, India; [Shrivastava, Prakash K.] Geol Survey India, State Unit Sikkim, Gangtok 737101, India; [Roy, Sandip K.] Geol Survey India, Polar Studies Div, Faridabad 121001, India; [Beg, M. Javed] Natl Ctr Antarctic &amp; Ocean Res, Vaso Da Gama 403804, Goa, India; [Asthana, Rajesh] Geol Survey India, Cent Head Quarters, M-4, Kolkata 700016, India; [Govil, Pawan] Birbal Sahani Inst Paleosci, Lucknow 226007, Uttar Pradesh, India; [Verma, Kamlesh] Geol Survey India, XRD Lab, Faridabad 121001, India</t>
  </si>
  <si>
    <t>Banaras Hindu University (BHU); Geological Survey India; Geological Survey India; Ministry of Earth Sciences (MoES) - India; National Centre for Polar and Ocean Research (NCPOR); Geological Survey India; Department of Science &amp; Technology (India); Birbal Sahni Institute of Palaeobotany (BSIP); Geological Survey India</t>
  </si>
  <si>
    <t>Srivastava, HB (corresponding author), Banaras Hindu Univ, Dept Geol, Varanasi 221005, Uttar Pradesh, India.</t>
  </si>
  <si>
    <t>hbsrivastava@gmail.com</t>
  </si>
  <si>
    <t>10.1007/s12594-018-0920-z</t>
  </si>
  <si>
    <t>GK0YZ</t>
  </si>
  <si>
    <t>WOS:000435840500002</t>
  </si>
  <si>
    <t>Robertson, KM; Lauf, ML; Morin, PA</t>
  </si>
  <si>
    <t>Robertson, Kelly M.; Lauf, Morgane L.; Morin, Phillip A.</t>
  </si>
  <si>
    <t>Genetic sexing of pinnipeds: a real-time, single step qPCR technique</t>
  </si>
  <si>
    <t>CONSERVATION GENETICS RESOURCES</t>
  </si>
  <si>
    <t>Pinnipeds; Sex determination; qPCR; Genetics</t>
  </si>
  <si>
    <t>MOLECULAR METHOD; DNA</t>
  </si>
  <si>
    <t>Existing molecular techniques to determine sex of pinnipeds rely on multiplex PCR amplification and gel electrophoresis, and are consequently expensive, time consuming, insensitive and involve handling hazardous DNA-binding dyes. We developed a qPCR high resolution melt assay that involves a single multiplex PCR with dissociation/melting-curve analysis to determine the melting point temperatures (Tm) of two PCR products. Two sets of primers were selected to amplify short regions of the SRY and ZFX/ZFY loci for molecular sex identification. Primers were designed based on alignment of a broad range of pinniped species to maximize applicability for most or all of the 33 species representing two complete superfamilies in the sub-order Caniformia. The assay was validated using 15 pinniped species totaling 122 animals of known sex. The co-amplification of short products also demonstrated improved results for sex determination of degraded samples. The use of a single step qPCR saves time and reduces the cost of running sex determination tests through reduction of labor and supply costs. This new technique will generate results more quickly and reliably, aiding in the study of population health and sex-specific dispersal and behavior patterns.</t>
  </si>
  <si>
    <t>[Robertson, Kelly M.; Morin, Phillip A.] NOAA, Southwest Fisheries Sci Ctr, Natl Marine Fisheries Serv, 8901 La Jolla Shores Dr, La Jolla, CA 92037 USA; [Lauf, Morgane L.] NOAA, Ocean Associates Inc, SWFSC, NMFS, 8901 La Jolla Shores Dr, La Jolla, CA 92037 USA</t>
  </si>
  <si>
    <t>National Oceanic Atmospheric Admin (NOAA) - USA; National Oceanic Atmospheric Admin (NOAA) - USA</t>
  </si>
  <si>
    <t>Robertson, KM (corresponding author), NOAA, Southwest Fisheries Sci Ctr, Natl Marine Fisheries Serv, 8901 La Jolla Shores Dr, La Jolla, CA 92037 USA.</t>
  </si>
  <si>
    <t>Kelly.Robertson@noaa.gov</t>
  </si>
  <si>
    <t>Morin, Phillip A/E-9515-2010</t>
  </si>
  <si>
    <t>Morin, Phillip/0000-0002-3279-1519</t>
  </si>
  <si>
    <t>Southwest Fisheries Science Center, Marine Mammal and Turtle Division</t>
  </si>
  <si>
    <t>We thank our Lab Manager, Victoria Pease, and Lab Technician, Tiffany Lowe, for their dedicated help. We are grateful to all the organizations that contributed samples, Alaska Department of Fish and Game, National Marine Fisheries Service (Alaska Region-Stranding Program, West Coast Region's fishery observers and Stranding Program, National Marine Mammal Lab, SWFSC's Antarctic Division), and the Zoological Foundation of El Salvador. All samples were collected under the appropriate NMFS, Marine Mammal Protection Act permits and imported (where necessary) under CITES permit. Funding was provided by the Southwest Fisheries Science Center, Marine Mammal and Turtle Division. Helpful comments were provided by Brittany Hancock-Hanser and two anonymous reviewers.</t>
  </si>
  <si>
    <t>1877-7252</t>
  </si>
  <si>
    <t>1877-7260</t>
  </si>
  <si>
    <t>CONSERV GENET RESOUR</t>
  </si>
  <si>
    <t>Conserv. Genet. Resour.</t>
  </si>
  <si>
    <t>10.1007/s12686-017-0759-4</t>
  </si>
  <si>
    <t>Biodiversity Conservation; Genetics &amp; Heredity</t>
  </si>
  <si>
    <t>Biodiversity &amp; Conservation; Genetics &amp; Heredity</t>
  </si>
  <si>
    <t>GJ5LJ</t>
  </si>
  <si>
    <t>WOS:000435422300018</t>
  </si>
  <si>
    <t>Bamber, JL; Westaway, RM; Marzeion, B; Wouters, B</t>
  </si>
  <si>
    <t>Bamber, Jonathan L.; Westaway, Richard M.; Marzeion, Ben; Wouters, Bert</t>
  </si>
  <si>
    <t>The land ice contribution to sea level during the satellite era</t>
  </si>
  <si>
    <t>land ice; sea level rise; satellite remote sensing; sea level budget</t>
  </si>
  <si>
    <t>SURFACE MASS-BALANCE; GROUNDING LINE RETREAT; WEST ANTARCTICA; ISOSTATIC-ADJUSTMENT; RADAR INTERFEROMETRY; RECONCILED ESTIMATE; THWAITES GLACIER; KOHLER GLACIERS; PINE ISLAND; SHEET</t>
  </si>
  <si>
    <t>Since 1992, there has been a revolution in our ability to quantify the land ice contribution to sea level rise using a variety of satellite missions and technologies. Each mission has provided unique, but sometimes conflicting, insights into the mass trends of land ice. Over the last decade, over fifty estimates of land ice trends have been published, providing a confusing and often inconsistent picture. The IPCC Fifth Assessment Report (AR5) attempted to synthesise estimates published up to early 2013. Since then, considerable advances have been made in understanding the origin of the inconsistencies, reducing uncertainties in estimates and extending time series. We assess and synthesise results published, primarily, since the AR5, to produce a consistent estimate of land ice mass trends during the satellite era (1992-2016). We combine observations from multiple missions and approaches including sea level budget analyses. Our resulting synthesis is both consistent and rigorous, drawing on (i) the published literature, (ii) expert assessment of that literature, and (iii) a new analysis of Arctic glacier and ice cap trends combined with statistical modelling. We present annual and pentad (five-year mean) time series for the East, West Antarctic and Greenland Ice Sheets and glaciers separately and combined. When averaged over pentads, covering the entire period considered, we obtain a monotonic trend in mass contribution to the oceans, increasing from 0.31 +/- 0.35 mm of sea level equivalent for 1992-1996 to 1.85 +/- 0.13 for 2012-2016. Our integrated land ice trend is lower than many estimates of GRACE-derived ocean mass change for the same periods. This is due, in part, to a smaller estimate for glacier and ice cap mass trends compared to previous assessments. We discuss this, and other likely reasons, for the difference between GRACE ocean mass and land ice trends.</t>
  </si>
  <si>
    <t>[Bamber, Jonathan L.; Westaway, Richard M.] Univ Bristol, Sch Geog Sci, Bristol, Avon, England; [Marzeion, Ben] Univ Bremen, Inst Geog, Bremen, Germany; [Wouters, Bert] Univ Utrecht, Inst Marine &amp; Atmospher Res, Utrecht, Netherlands</t>
  </si>
  <si>
    <t>University of Bristol; University of Bremen; Utrecht University</t>
  </si>
  <si>
    <t>Bamber, JL (corresponding author), Univ Bristol, Sch Geog Sci, Bristol, Avon, England.</t>
  </si>
  <si>
    <t>j.bamber@bristol.ac.uk</t>
  </si>
  <si>
    <t>Bamber, Jonathan/C-7608-2011; Westaway, Richard/S-3483-2017; Wouters, Bert/AAA-4254-2019; Marzeion, Ben/G-6514-2013</t>
  </si>
  <si>
    <t>Bamber, Jonathan/0000-0002-2280-2819; Westaway, Richard/0000-0001-6102-1540; Wouters, Bert/0000-0002-1086-2435; Marzeion, Ben/0000-0002-6185-3539</t>
  </si>
  <si>
    <t>European Research Council (ERC) under the European Union's Horizon 2020 research and innovation programme [694188]; Leverhulme Trust [RF-2016-718]</t>
  </si>
  <si>
    <t>European Research Council (ERC) under the European Union's Horizon 2020 research and innovation programme(European Research Council (ERC)); Leverhulme Trust(Leverhulme Trust)</t>
  </si>
  <si>
    <t>JLB and RMW were supported by the European Research Council (ERC) under the European Union's Horizon 2020 research and innovation programme under grant agreement No 694188 (GlobalMass). JLB was also supported by a Leverhulme Trust Fellowship RF-2016-718. The authors would like to thank the following colleagues for providing datasets used in this study: Valentina Barletta; Stephen Chuter; Ellyn Enderlin; Andreas Groh; Martin Horwath; Bryant Loomis; Scott Luthcke; Ingo Sasgen; Ernst Schrama; Michiel van den Broeke; and David Wiese.</t>
  </si>
  <si>
    <t>10.1088/1748-9326/aac2f0</t>
  </si>
  <si>
    <t>GJ8IT</t>
  </si>
  <si>
    <t>WOS:000435633400001</t>
  </si>
  <si>
    <t>Segschneider, J; Schneider, B; Khon, V</t>
  </si>
  <si>
    <t>Segschneider, Joachim; Schneider, Birgit; Khon, Vyacheslav</t>
  </si>
  <si>
    <t>Climate and marine biogeochemistry during the Holocene from transient model simulations</t>
  </si>
  <si>
    <t>CARBON-CYCLE DYNAMICS; OXYGEN-MINIMUM ZONES; GENERAL-CIRCULATION MODEL; ANTARCTIC ICE CORE; OCEAN-CIRCULATION; TROPICAL PACIFIC; SEA-ICE; LAST MILLENNIUM; CMIP5 MODELS; TEMPERATURE</t>
  </si>
  <si>
    <t>Climate and marine biogeochemistry changes over the Holocene are investigated based on transient global climate and biogeochemistry model simulations over the last 9500 years. The simulations are forced by accelerated and non-accelerated orbital parameters, respectively, and atmospheric PCO2, CH4, and N2O. The analysis focusses on key climatic parameters of relevance to the marine biogeochemistry, and on the physical and biogeochemical processes that drive atmosphere-ocean carbon fluxes and changes in the oxygen minimum zones (OMZs). The simulated global mean ocean temperature is characterized by a mid-Holocene cooling and a late Holocene warming, a common feature among Holocene climate simulations which, however, contradicts a proxy-derived mid-Holocene climate optimum. As the most significant result, and only in the non-accelerated simulation, we find a substantial increase in volume of the OMZ in the eastern equatorial Pacific (EEP) continuing into the late Holocene. The concurrent increase in apparent oxygen utilization (AOU) and age of the water mass within the EEP OMZ can be attributed to a weakening of the deep northward inflow into the Pacific. This results in a large-scale mid-to-late Holocene increase in AOU in most of the Pacific and hence the source regions of the EEP OMZ waters. The simulated expansion of the EEP OMZ raises the question of whether the deoxygenation that has been observed over the last 5 decades could be a - perhaps accelerated - continuation of an orbitally driven decline in oxygen. Changes in global mean biological production and export of detritus remain of the order of 10 %, with generally lower values in the mid-Holocene. The simulated atmosphere-ocean CO2 flux would result in atmospheric pCO2 changes of similar magnitudes to those observed for the Holocene, but with different timing. More technically, as the increase in EEP OMZ volume can only be simulated with the non-accelerated model simulation, non-accelerated model simulations are required for an analysis of the marine biogeochemistry in the Holocene. Notably, the long control experiment also displays similar magnitude variability to the transient experiment for some parameters. This indicates that also long control runs are required when investigating Holocene climate and marine biogeochemistry, and that some of the Holocene variations could be attributed to internal variability of the atmosphere-ocean system.</t>
  </si>
  <si>
    <t>[Segschneider, Joachim; Schneider, Birgit; Khon, Vyacheslav] Christian Albrechts Univ Kiel, Inst Geosci, Ludewig Meyn Str 10, D-24118 Kiel, Germany; [Khon, Vyacheslav] Russian Acad Sci, AM Obukhov Inst Atmospher Phys, Moscow, Russia; [Khon, Vyacheslav] GEOMAR Helmholtz Ctr Ocean Res Kiel, Kiel, Germany</t>
  </si>
  <si>
    <t>University of Kiel; Russian Academy of Sciences; Obukhov Institute of Atmospheric Physics of Russian Academy of Sciences; Helmholtz Association; GEOMAR Helmholtz Center for Ocean Research Kiel</t>
  </si>
  <si>
    <t>Segschneider, J (corresponding author), Christian Albrechts Univ Kiel, Inst Geosci, Ludewig Meyn Str 10, D-24118 Kiel, Germany.</t>
  </si>
  <si>
    <t>joachim.segschneider@ifg.uni-kiel.de</t>
  </si>
  <si>
    <t>Khon, Vyacheslav C./O-2343-2013; Schneider, Birgit/C-2215-2017</t>
  </si>
  <si>
    <t>Khon, Vyacheslav C./0000-0002-1192-1716; Schneider, Birgit/0000-0001-9142-1457</t>
  </si>
  <si>
    <t>German Research Foundation through the Collaborative Research Centre Climate-Biogeochemistry Interactions in the Tropical Ocean [SFB754]; DFG project Climate impact on marine plankton dynamics during interglacials [DFG SCH 762/3-1]; Excellence Cluster Future Ocean [FO EXC 80/1]</t>
  </si>
  <si>
    <t>German Research Foundation through the Collaborative Research Centre Climate-Biogeochemistry Interactions in the Tropical Ocean; DFG project Climate impact on marine plankton dynamics during interglacials; Excellence Cluster Future Ocean</t>
  </si>
  <si>
    <t>The authors acknowledge support by the German Research Foundation through the Collaborative Research Centre Climate-Biogeochemistry Interactions in the Tropical Ocean (SFB754) and the DFG project Climate impact on marine plankton dynamics during interglacials (grant DFG SCH 762/3-1) and the Excellence Cluster Future Ocean (grant FO EXC 80/1). We also wish to thank the NEMO/PISCES team for providing their models and general support. Computations were carried out on a NEC-SX-ACE at the computing centre of the Christian-Albrechts-University Kiel, Germany. Finally, the authors wish to acknowledge the use of the Ferret programme for analysis and graphics in this paper. Ferret is a product of NOAA's Pacific Marine Environmental Laboratory.</t>
  </si>
  <si>
    <t>10.5194/bg-15-3243-2018</t>
  </si>
  <si>
    <t>GH9GO</t>
  </si>
  <si>
    <t>WOS:000433977700001</t>
  </si>
  <si>
    <t>Wang, Y; Yan, WQ; Wang, Y; Xu, JG; Ye, CY</t>
  </si>
  <si>
    <t>Wang, Yi; Yan, Weiqiang; Wang, Yan; Xu, Jianguo; Ye, Changyun</t>
  </si>
  <si>
    <t>Rapid, sensitive and reliable detection of Klebsiella pneumoniae by label-free multiple cross displacement amplification coupled with nanoparticles-based biosensor</t>
  </si>
  <si>
    <t>JOURNAL OF MICROBIOLOGICAL METHODS</t>
  </si>
  <si>
    <t>Klebsiella pneumoniae; Multiple cross displacement amplification (MCDA); Lateral flow biosensor (LFB); Antarctic thermal sensitive uracil-DNA-glycosylase (AUDG)</t>
  </si>
  <si>
    <t>LATERAL FLOW BIOSENSOR; NUCLEIC-ACID SEQUENCE; CARRYOVER CONTAMINATION; SUSCEPTIBILITY; RESISTANCE</t>
  </si>
  <si>
    <t>Klebsiella pneumoniae (K. pneumoniae), as an important hospital-acquired bacterium, is responsible for severe morbidity and mortality among the elderly, newborn and immune-compromised people. We established a rcsA gene-based label-free multiple cross displacement amplification (MCDA) assay for rapid, simple and sensitive detection of K. pneumoniae by using lateral flow biosensor (LFB). MCDA reaction was conducted at a fixed temperature (65 degrees C) for only 30 min, and amplification results were directly indicated using LFB. The results showed that reaction products were detectable from as little as 100 fg and 4.8 CFU of pure K. pneumoniae templates, and from approximately 480 CFU in 1 mL of spiked clinical samples. All K. pneumoniae strains examined were positive for label-free MCDA-LFB analysis, and all non-K. pneumoniae strains used in the report were negative for label-free MCDA-LFB assay, indicating the high selectivity of the label free MCDA-LFB assay. Furthermore, to remove false-positive results, the label-free MCDA-LFB assay was supplemented with antarctic thermal sensitive uracil-DNA-glycosylase (AUDG) to eliminate the carryover contamination. Thus, label-free MCDA-LFB assay complemented with AUDG enzyme was a rapid, simple, sensitive and reliable technique for detection of target pathogen, which has the ability to effectively avoid carryover contamination, and can be a valuable tool for on-site detection, clinical diagnosis, and primary quarantine purposes.</t>
  </si>
  <si>
    <t>[Wang, Yi; Wang, Yan; Xu, Jianguo; Ye, Changyun] Chinese Ctr Dis Control &amp; Prevent, Natl Inst Communicable Dis Control &amp; Prevent, Collaborat Innovat Ctr Diag &amp; Treatment Infect Di, State Key Lab Infect Dis Prevent &amp; Control, Beijing 102206, Peoples R China; [Yan, Weiqiang] Zunyi Maternal &amp; Child Hlth Hosp, Dept Lab, Zunyi 563000, Guizhou, Peoples R China</t>
  </si>
  <si>
    <t>Collaborative Innovation Center for Diagnosis &amp; Treatment of Infectious Diseases; Chinese Center for Disease Control &amp; Prevention; National Institute for Communicable Disease Control &amp; Prevention, Chinese Center for Disease Control &amp; Prevention</t>
  </si>
  <si>
    <t>Ye, CY (corresponding author), Chinese Ctr Dis Control &amp; Prevent, Natl Inst Communicable Dis Control &amp; Prevent, Collaborat Innovat Ctr Diag &amp; Treatment Infect Di, State Key Lab Infect Dis Prevent &amp; Control, Beijing 102206, Peoples R China.</t>
  </si>
  <si>
    <t>yechangyun@icdc.cn</t>
  </si>
  <si>
    <t>chen, yijia/KGM-4378-2024; Wang, Yi/JAD-1967-2023; Li, Guo/JNR-1700-2023</t>
  </si>
  <si>
    <t>Wang, Yi/0000-0002-2031-087X;</t>
  </si>
  <si>
    <t>grant (Mega Project of Research on the Prevention and Control of HIV/AIDS, Viral Hepatitis Infectious Diseases) from Ministry of Science and Technology, People's Republic of China [2013ZX10004-101]; State Key Laboratory of Infectious Disease Prevention and Control, China CDC [2015SKLID507]</t>
  </si>
  <si>
    <t>grant (Mega Project of Research on the Prevention and Control of HIV/AIDS, Viral Hepatitis Infectious Diseases) from Ministry of Science and Technology, People's Republic of China; State Key Laboratory of Infectious Disease Prevention and Control, China CDC</t>
  </si>
  <si>
    <t>This study was supported by the grant (Mega Project of Research on the Prevention and Control of HIV/AIDS, Viral Hepatitis Infectious Diseases 2013ZX10004-101 to Changyun Ye) from the Ministry of Science and Technology, People's Republic of China, and grant (2015SKLID507 to Changyun Ye) from State Key Laboratory of Infectious Disease Prevention and Control, China CDC.</t>
  </si>
  <si>
    <t>0167-7012</t>
  </si>
  <si>
    <t>1872-8359</t>
  </si>
  <si>
    <t>J MICROBIOL METH</t>
  </si>
  <si>
    <t>J. Microbiol. Methods</t>
  </si>
  <si>
    <t>10.1016/j.mimet.2018.05.003</t>
  </si>
  <si>
    <t>Biochemical Research Methods; Microbiology</t>
  </si>
  <si>
    <t>GJ1YH</t>
  </si>
  <si>
    <t>WOS:000435063300012</t>
  </si>
  <si>
    <t>Kanno, Y; Iwasaki, T</t>
  </si>
  <si>
    <t>Kanno, Yuki; Iwasaki, Toshiki</t>
  </si>
  <si>
    <t>Three-Dimensional Structure of Mass-Weighted Isentropic Time-Mean Meridional Circulations</t>
  </si>
  <si>
    <t>JOURNAL OF THE ATMOSPHERIC SCIENCES</t>
  </si>
  <si>
    <t>ELIASSEN-PALM FLUX; NORTHERN HEMISPHERIC WINTER; HYBRID VERTICAL COORDINATE; BREWER-DOBSON CIRCULATION; ANTARCTIC POLAR VORTEX; WAVE ACTIVITY FLUX; FLOW INTERACTIONS; FORMULATION; TRANSPORT; OZONE</t>
  </si>
  <si>
    <t>The present study develops a diagnostic framework for investigating the three-dimensional (3D) structure of mass-weighted isentropic time-mean (T-MIM) meridional circulations and conducts a preliminary analysis of the winter hemispheres. The T-MIM meridional velocity can unfold, in the zonal direction, time-averaged two-dimensional (2D) mass-weighted isentropic zonal means. Furthermore, the T-MIM velocity can be decomposed into the unweighted isentropic time-mean (uTM) velocity and the temporal eddy-correlated transport velocity, the so-called bolus velocity. The bolus velocity greatly contributes to the 2D extratropical direct circulation in the troposphere and to the Brewer-Dobson circulation in the stratosphere. The 3D bolus velocity seems to reflect the geographical distributions of baroclinic instability wave activity. In the boreal winter, both low-level equatorward flows and upper-level poleward flows are located around the North Pacific and North Atlantic storm tracks. In the austral winter, low-level equatorward flows extend zonally across the midlatitudes. In the subtropics, the 3D bolus velocity is found to be significant in the upper branch of the Hadley circulation. A zonal momentum equation is formulated to examine the 3D momentum balance of the meridional circulation in the T-MIM framework. In the extratropics, the uTM and bolus meridional velocities are in geostrophic balance with the stationary and transient components of the 3D Eliassen-Palm (EP) flux divergence, respectively. The pressure gradient force of transient baroclinic instability waves balances with the low-level equatorward flows of the bolus velocity in the storm tracks.</t>
  </si>
  <si>
    <t>[Kanno, Yuki; Iwasaki, Toshiki] Tohoku Univ, Grad Sch Sci, Dept Geophys, Sendai, Miyagi, Japan</t>
  </si>
  <si>
    <t>Tohoku University</t>
  </si>
  <si>
    <t>Kanno, Y (corresponding author), Tohoku Univ, Grad Sch Sci, Dept Geophys, Sendai, Miyagi, Japan.</t>
  </si>
  <si>
    <t>kanno@dc.tohoku.ac.jp</t>
  </si>
  <si>
    <t>Iwasaki, Toshiki/AAE-1601-2019</t>
  </si>
  <si>
    <t>Iwasaki, Toshiki/0000-0003-2110-0687; Kanno, Yuki/0000-0001-7587-6697</t>
  </si>
  <si>
    <t>Japanese Ministry of Education, Culture, Sports, Science and Technology [15H02129]; Social Implementation Program on Climate Change Adaptation Technology (SI-CAT); Japan Society for the Promotion of Science [16J01722]; Grants-in-Aid for Scientific Research [16J01722, 15H02129] Funding Source: KAKEN</t>
  </si>
  <si>
    <t>Japanese Ministry of Education, Culture, Sports, Science and Technology(Ministry of Education, Culture, Sports, Science and Technology, Japan (MEXT)); Social Implementation Program on Climate Change Adaptation Technology (SI-CAT);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</si>
  <si>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study is supported in part by the Japanese Ministry of Education, Culture, Sports, Science and Technology through Grant-in-Aid 15H02129 and by the Social Implementation Program on Climate Change Adaptation Technology (SI-CAT). YK is supported by the Japan Society for the Promotion of Science through a Grant-in-Aid for Research Fellows (16J01722). The authors thank Dr. Takenari Kinoshita for kindly providing codes to calculate the PRSD in the 3D TEM framework, Dr. Hidenori Aiki for fruitful discussions, and two anonymous reviewers and Dr. Walter Robinson for their valuable comments that have led to an improved manuscript.</t>
  </si>
  <si>
    <t>0022-4928</t>
  </si>
  <si>
    <t>1520-0469</t>
  </si>
  <si>
    <t>J ATMOS SCI</t>
  </si>
  <si>
    <t>J. Atmos. Sci.</t>
  </si>
  <si>
    <t>10.1175/JAS-D-17-0154.1</t>
  </si>
  <si>
    <t>GJ0KD</t>
  </si>
  <si>
    <t>WOS:000434942300015</t>
  </si>
  <si>
    <t>Tournadre, J; Bouhier, N; Boy, F; Dinardo, S</t>
  </si>
  <si>
    <t>Tournadre, J.; Bouhier, N.; Boy, F.; Dinardo, S.</t>
  </si>
  <si>
    <t>Detection of iceberg using Delay Doppler and interferometric Cryosat-2 altimeter data</t>
  </si>
  <si>
    <t>Small iceberg detection using Cryosat-2 three modes of operation; Estimation of iceberg's area; Estimation of iceberg's free-board from; Interferometric altimeter data</t>
  </si>
  <si>
    <t>ANTARCTIC ICEBERGS; SOUTHERN-OCEAN; SAR IMAGES; SEA-ICE; RADAR ALTIMETER; WEDDELL SEA; TRACKING; CLIMATE; MODEL</t>
  </si>
  <si>
    <t>The Cryosat-2 Synthetic Aperture Interferometric Radar Altimeter (SIRAL) altimeter is the first altimeter that can operate in three different modes over the ocean: the classical pulse limited LRM, the Delay Doppler or SAR and the SAR Interferometric modes. It offers a unique opportunity to test, validate and compare the capabilities of the three modes for the detection and analysis of small icebergs (&lt; 3 km in length) already demonstrated for classical altimeters. Over most of the sea-ice free ocean, SIRAL operates in LRM mode and the classical iceberg detection algorithm can be applied without modification. It can also be applied to the Reduced SAR or pseudo-LRM data computed from SAR and SARin data. In SAR mode, iceberg signatures are bright spots in the waveform thermal noise part. They can be easily detected using classical image processing tools. The area of the iceberg is estimated using the size of the signature. In SARin mode, the coherence of the signals can insure the presence of scatterers above the sea surface and is used with the SAR detection algorithm to reduce the probability of false alarm and to better delineate icebergs. Interferometry allows for the first time to map the iceberg and the iceberg free-board at an unprecedented resolution opening a new way of investigation of the distributions of size, freeboard and volume of the small icebergs that are responsible of large fraction of the freshwater flux into the ocean.</t>
  </si>
  <si>
    <t>[Tournadre, J.; Bouhier, N.] Univ Bretagne Occidentale, IFREMER, CNRS, Lab Oceanog Phys &amp; Spatiale, Plouzane, France; [Boy, F.] Ctr Natl Etud Spatiale, Toulouse, France; [Dinardo, S.] HeSpace EUMETSAT, Darmstadt, Germany</t>
  </si>
  <si>
    <t>Ifremer; Institut de Recherche pour le Developpement (IRD); Universite de Bretagne Occidentale; Centre National de la Recherche Scientifique (CNRS)</t>
  </si>
  <si>
    <t>Tournadre, J (corresponding author), Univ Bretagne Occidentale, IFREMER, CNRS, Lab Oceanog Phys &amp; Spatiale, Plouzane, France.</t>
  </si>
  <si>
    <t>10.1016/j.rse.2018.04.037</t>
  </si>
  <si>
    <t>GJ1UK</t>
  </si>
  <si>
    <t>WOS:000435053200012</t>
  </si>
  <si>
    <t>Galushkin, YI; Leichenkov, GL; Dubinin, EP</t>
  </si>
  <si>
    <t>Galushkin, Yu. I.; Leichenkov, G. L.; Dubinin, E. P.</t>
  </si>
  <si>
    <t>Hydrocarbon Generation by the Rocks of the Bremer Formation in Adjacent Areas of the Nonvolcanic Passive Margins of Australia and Antarctica</t>
  </si>
  <si>
    <t>GEOCHEMISTRY INTERNATIONAL</t>
  </si>
  <si>
    <t>Antarctica; Australia; Bremer sub-basin; Mawson Sea; passive margin; basin modeling; hydrocarbon generation</t>
  </si>
  <si>
    <t>This paper analyzes differences in the history of hydrocarbon (HC) generation by the rocks of the Bremer 1-6 formations in adjacent areas of the nonvolcanic passive continental margins of Australia and Antarctica. The problem is examined by the example of the numerical reconstruction of the burial and thermal history of two sedimentary sequences of approximately equal thicknesses: the section of well 19-2012 in the Bremer sub-basin of the southwestern margin of Australia and the section of pseudowell 2 in the adjacent area of the passive margin of Antarctica on seismic profile 5909 across the Mawson Sea. The asymmetry of Gondwana rifting in the region of interest resulted in asymmetry in the tectonic structure and development of adjacent areas of passive margins and, as a consequence, significantly different histories of HC generation by the rocks of the Bremer 1-6 formations in these areas. Modeling indicates that the rocks of the Bremer 1 and 2 formations are mainly gas-prone in the Bremer basin and can become oil-prone in the Mawson Sea region of the Antarctic margin. In contrast, according to modeling, the rocks of the Bremer 4 and 5 formations generate a minor amount of HC in the well 19-2012 area of the Bremer sub-basin and considerable amounts of heavy and light oil in the adjacent Antarctic margin area at pseudowell 2 in the Mawson Sea.</t>
  </si>
  <si>
    <t>[Galushkin, Yu. I.; Dubinin, E. P.] Moscow MV Lomonosov State Univ, Earth Sci Museum, Moscow 119991, Russia; [Leichenkov, G. L.] St Petersburg State Univ, Gramberg All Russia Res Inst Oceanol, St Petersburg 190121, Russia</t>
  </si>
  <si>
    <t>Lomonosov Moscow State University; Saint Petersburg State University</t>
  </si>
  <si>
    <t>Galushkin, YI (corresponding author), Moscow MV Lomonosov State Univ, Earth Sci Museum, Moscow 119991, Russia.</t>
  </si>
  <si>
    <t>yu_gal@mail.ru; edubinin-08@rambler.ru; german_l@mail.ru</t>
  </si>
  <si>
    <t>Russian Science Foundation [16-17-10139]</t>
  </si>
  <si>
    <t>This study was financially supported by the Russian Science Foundation, project no. 16-17-10139.</t>
  </si>
  <si>
    <t>0016-7029</t>
  </si>
  <si>
    <t>1556-1968</t>
  </si>
  <si>
    <t>GEOCHEM INT+</t>
  </si>
  <si>
    <t>Geochem. Int.</t>
  </si>
  <si>
    <t>10.1134/S0016702918060046</t>
  </si>
  <si>
    <t>GI2VL</t>
  </si>
  <si>
    <t>WOS:000434229900005</t>
  </si>
  <si>
    <t>Engel, Z; Láska, K; Nyvlt, D; Stachon, Z</t>
  </si>
  <si>
    <t>Engel, Zbynek; Laska, Kamil; Nyvlt, Daniel; Stachon, Zdenek</t>
  </si>
  <si>
    <t>Surface mass balance of small glaciers on James Ross Island, north-eastern Antarctic Peninsula, during 2009-2015</t>
  </si>
  <si>
    <t>Antarctic glaciology; climate change; glacier mass balance; ice cap; mountain glaciers</t>
  </si>
  <si>
    <t>KING-GEORGE-ISLAND; LIVINGSTON ISLAND; ICE CAP; ENERGY BALANCE; ECOLOGY GLACIER; HURD; VELOCITY; SHELVES; RATIOS; IMPACT</t>
  </si>
  <si>
    <t>Two small glaciers on James Ross Island, the north-eastern Antarctic Peninsula, experienced surface mass gain between 2009 and 2015 as revealed by field measurements. A positive cumulative surface mass balance of 0.57 +/- 0.67 and 0.11 +/- 0.37 m w.e. was observed during the 2009-2015 period on Whisky Glacier and Davies Dome, respectively. The results indicate a change from surface mass loss that prevailed in the region during the first decade of the 21st century to predominantly positive surface mass balance after 2009/10. The spatial pattern of annual surface mass-balance distribution implies snow redistribution by wind on both glaciers. The mean equilibrium line altitudes for Whisky Glacier (311 +/- 16 m a.s.l.) and Davies Dome (393 +/- 18m a.s.l.) are in accordance with the regional data indicating 200-300 m higher equilibrium line on James Ross and Vega Islands compared with the South Shetland Islands. The mean accumulation-area ratio of 0.68 +/- 0.09 and 0.44 +/- 0.09 determined for Whisky Glacier and Davies Dome, respectively, is similar to the value reported for Vega Island and within the range of typical values for high-latitude glaciers.</t>
  </si>
  <si>
    <t>[Engel, Zbynek] Charles Univ Prague, Fac Sci, Dept Phys Geog &amp; Geoecol, Prague, Czech Republic; [Laska, Kamil; Nyvlt, Daniel; Stachon, Zdenek] Masaryk Univ, Fac Sci, Dept Geog, Brno, Czech Republic</t>
  </si>
  <si>
    <t>Charles University Prague; Masaryk University Brno</t>
  </si>
  <si>
    <t>Engel, Z (corresponding author), Charles Univ Prague, Fac Sci, Dept Phys Geog &amp; Geoecol, Prague, Czech Republic.</t>
  </si>
  <si>
    <t>zbynek.engel@natur.cuni.cz</t>
  </si>
  <si>
    <t>Laska, Kamil/L-7875-2013; Nyvlt, Daniel/J-6504-2019; Engel, Zbyněk/S-2954-2016</t>
  </si>
  <si>
    <t>Laska, Kamil/0000-0002-5199-9737; Nyvlt, Daniel/0000-0002-6876-490X; Engel, Zbyněk/0000-0002-5209-7823</t>
  </si>
  <si>
    <t>Czech Science Foundation [GC16-14122J]; Ministry of Education, Youth and Sports of the Czech Republic; [LM2015078]; [CZ.02.1.01/0.0/0.0/16_013/0001708]</t>
  </si>
  <si>
    <t>Czech Science Foundation(Grant Agency of the Czech Republic); Ministry of Education, Youth and Sports of the Czech Republic(Ministry of Education, Youth &amp; Sports - Czech Republic); ;</t>
  </si>
  <si>
    <t>We acknowledge funding from the Czech Science Foundation project GC16-14122J. Fieldwork was supported by the crew of Mendel Station financed by the Ministry of Education, Youth and Sports of the Czech Republic and the project no. LM2015078 and CZ.02.1.01/0.0/0.0/16_013/0001708. We thank Kristian Brat, Tomas Franta, Filip Hrbacek, Tomas Jagos, Pavel Kapler, Jan Kavan, Pavel Sevcik, Martin Slezak, Peter Vaczi, Vitezslav Vlcek and Ondrej Zverina for research assistance in the field. We are grateful for helpful and constructive criticism and comments from Francisco Navarro and an anonymous referee.</t>
  </si>
  <si>
    <t>10.1017/jog.2018.17</t>
  </si>
  <si>
    <t>WOS:000434777300001</t>
  </si>
  <si>
    <t>Haselof, M; Sergienko, OV</t>
  </si>
  <si>
    <t>Haselof, Marianne; Sergienko, Olga, V</t>
  </si>
  <si>
    <t>The effect of buttressing on grounding line dynamics</t>
  </si>
  <si>
    <t>glacier modelling; ice dynamics; ice-sheet modelling; ice shelves</t>
  </si>
  <si>
    <t>ANTARCTIC ICE-SHEET; SHELF; STABILITY; MODEL; FLOW; DISCHARGE; GREENLAND; COLLAPSE</t>
  </si>
  <si>
    <t>Determining the position and stability of the grounding line of a marine ice sheet is a major challenge for ice-sheet models. Here, we investigate the role of lateral shear and ice-shelf buttressing in grounding line dynamics by extending an existing boundary layer theory to laterally confined marine ice sheets. We derive an analytic expression for the ice flux at the grounding line of confined marine ice sheets that depends on both local bed properties and non-local ice-shelf properties. Application of these results to a laterally confined version of the MISMIP 1a experiment shows that the boundary condition at the ice-shelf front (i.e. the calving law) is a major control on the location and stability of the grounding line in the presence of buttressing, allowing for both stable and unstable grounding line positions on downwards sloping beds. These results corroborate the findings of existing numerical studies that the stability of confined marine ice sheets is influenced by ice-shelf properties, in contrast to unconfined configurations where grounding line stability is solely determined by the local slope of the bed. Consequently, the marine ice-sheet instability hypothesis may not apply to buttressed marine ice sheets.</t>
  </si>
  <si>
    <t>[Haselof, Marianne; Sergienko, Olga, V] Princeton Univ, AOS Program, Princeton, NJ 08544 USA; [Haselof, Marianne] Univ Oxford, Dept Earth Sci, Oxford, England</t>
  </si>
  <si>
    <t>Princeton University; University of Oxford</t>
  </si>
  <si>
    <t>Haselof, M (corresponding author), Princeton Univ, AOS Program, Princeton, NJ 08544 USA.;Haselof, M (corresponding author), Univ Oxford, Dept Earth Sci, Oxford, England.</t>
  </si>
  <si>
    <t>marianne.haseloff@earth.ox.ac.uk</t>
  </si>
  <si>
    <t>Sergienko, Olga/HII-8500-2022</t>
  </si>
  <si>
    <t>Sergienko, Olga/0000-0002-5764-8815; Haseloff, Marianne/0000-0002-6576-5384</t>
  </si>
  <si>
    <t>Princeton AOS; [NOAA NA13OAR4310097]; [NSF-GEOP/ANT1246151]</t>
  </si>
  <si>
    <t>Princeton AOS; ;</t>
  </si>
  <si>
    <t>M.H. was funded by the Princeton AOS Postdoctoral and Visiting Scientist Program. O.S. is supported by NOAA NA13OAR4310097 and NSF-GEOP/ANT1246151 grants. We thank Duncan Wingham, the associate editor Ralf Greve and two anonymous reviewers for constructive comments that greatly improved the quality of this manuscript.</t>
  </si>
  <si>
    <t>10.1017/jog.2018.30</t>
  </si>
  <si>
    <t>WOS:000434777300007</t>
  </si>
  <si>
    <t>Ionescu-Kruse, D</t>
  </si>
  <si>
    <t>Ionescu-Kruse, Delia</t>
  </si>
  <si>
    <t>Local Stability for an Exact Steady Purely Azimuthal Flow which Models the Antarctic Circumpolar Current</t>
  </si>
  <si>
    <t>Short-wavelength method; localized stability analysis; azimuthal flow; Antarctic Circumpolar Current</t>
  </si>
  <si>
    <t>EQUATORIAL WATER-WAVES; PLANE APPROXIMATION; GEOPHYSICAL WAVES; EDGE WAVES; F-PLANE; INSTABILITY; DYNAMICS; FLUID</t>
  </si>
  <si>
    <t>A short wavelength asymptotic approach shows that for some realistic velocity profiles, an exact steady flow that models the Antarctic Circumpolar Current moving eastward around Earth with unchanging form in that direction, is locally stable.</t>
  </si>
  <si>
    <t>[Ionescu-Kruse, Delia] Romanian Acad, Simion Stoilow Inst Math, Res Unit 6, POB 1-764, RO-014700 Bucharest, Romania</t>
  </si>
  <si>
    <t>Institute of Mathematics of the Romanian Academy; Romanian Academy of Sciences</t>
  </si>
  <si>
    <t>Ionescu-Kruse, D (corresponding author), Romanian Acad, Simion Stoilow Inst Math, Res Unit 6, POB 1-764, RO-014700 Bucharest, Romania.</t>
  </si>
  <si>
    <t>Delia.Ionescu@imar.ro</t>
  </si>
  <si>
    <t>Ionescu-Kruse, Delia/ABC-2393-2020</t>
  </si>
  <si>
    <t>Ionescu-Kruse, Delia/0000-0002-0393-420X</t>
  </si>
  <si>
    <t>10.1007/s00021-017-0335-4</t>
  </si>
  <si>
    <t>GI0GG</t>
  </si>
  <si>
    <t>WOS:000434046800015</t>
  </si>
  <si>
    <t>Hedding, DW; Greve, M</t>
  </si>
  <si>
    <t>Hedding, David William; Greve, Michelle</t>
  </si>
  <si>
    <t>Decreases in precipitation on sub-Antarctic Marion Island: implications for ecological and geomorphological processes</t>
  </si>
  <si>
    <t>WEATHER</t>
  </si>
  <si>
    <t>[Hedding, David William] Univ South Africa, Dept Geog, Florida, South Africa; [Greve, Michelle] Univ Pretoria, Dept Plant &amp; Soil Sci, Pretoria, South Africa</t>
  </si>
  <si>
    <t>University of South Africa; University of Pretoria</t>
  </si>
  <si>
    <t>Hedding, DW (corresponding author), Univ South Africa, Dept Geog, Florida, South Africa.</t>
  </si>
  <si>
    <t>Hedding, David William/F-3044-2011</t>
  </si>
  <si>
    <t>Hedding, David William/0000-0002-9748-4499</t>
  </si>
  <si>
    <t>0043-1656</t>
  </si>
  <si>
    <t>1477-8696</t>
  </si>
  <si>
    <t>Weather</t>
  </si>
  <si>
    <t>10.1002/wea.3245</t>
  </si>
  <si>
    <t>GJ1BC</t>
  </si>
  <si>
    <t>WOS:000434987500012</t>
  </si>
  <si>
    <t>Schneider, DP; Deser, C</t>
  </si>
  <si>
    <t>Schneider, David P.; Deser, Clara</t>
  </si>
  <si>
    <t>Tropically driven and externally forced patterns of Antarctic sea ice change: reconciling observed and modeled trends</t>
  </si>
  <si>
    <t>Antarctica; Southern Ocean; Sea ice; Models; Climate variability and change</t>
  </si>
  <si>
    <t>CMIP5 MODELS; SURFACE-TEMPERATURE; OCEAN; CLIMATE; VARIABILITY; PACIFIC; WIND; SIMULATIONS; EXPANSION; SALINITY</t>
  </si>
  <si>
    <t>Recent work suggests that natural variability has played a significant role in the increase of Antarctic sea ice extent during 1979-2013. The ice extent has responded strongly to atmospheric circulation changes, including a deepened Amundsen Sea Low (ASL), which in part has been driven by tropical variability. Nonetheless, this increase has occurred in the context of externally forced climate change, and it has been difficult to reconcile observed and modeled Antarctic sea ice trends. To understand observed-model disparities, this work defines the internally driven and radiatively forced patterns of Antarctic sea ice change and exposes potential model biases using results from two sets of historical experiments of a coupled climate model compared with observations. One ensemble is constrained only by external factors such as greenhouse gases and stratospheric ozone, while the other explicitly accounts for the influence of tropical variability by specifying observed SST anomalies in the eastern tropical Pacific. The latter experiment reproduces the deepening of the ASL, which drives an increase in regional ice extent due to enhanced ice motion and sea surface cooling. However, the overall sea ice trend in every ensemble member of both experiments is characterized by ice loss and is dominated by the forced pattern, as given by the ensemble-mean of the first experiment. This pervasive ice loss is associated with a strong warming of the ocean mixed layer, suggesting that the ocean model does not locally store or export anomalous heat efficiently enough to maintain a surface environment conducive to sea ice expansion. The pervasive upper-ocean warming, not seen in observations, likely reflects ocean mean-state biases.</t>
  </si>
  <si>
    <t>[Schneider, David P.; Deser, Clara] Natl Ctr Atmospher Res, Climate &amp; Global Dynam Lab, Boulder, CO 80307 USA</t>
  </si>
  <si>
    <t>Schneider, DP (corresponding author), Natl Ctr Atmospher Res, Climate &amp; Global Dynam Lab, Boulder, CO 80307 USA.</t>
  </si>
  <si>
    <t>dschneid@ucar.edu</t>
  </si>
  <si>
    <t>Schneider, David/E-2726-2010</t>
  </si>
  <si>
    <t>Schneider, David/0000-0001-5308-1834</t>
  </si>
  <si>
    <t>National Science Foundation; NCAR; National Science Foundation [1235231]; U.S. Department of Energy's Program for Climate Model Diagnosis and Intercomparison; Directorate For Geosciences; Office of Polar Programs (OPP) [1341527] Funding Source: National Science Foundation</t>
  </si>
  <si>
    <t>National Science Foundation(National Science Foundation (NSF)); NCAR(National Science Foundation (NSF)NSF - Directorate for Geosciences (GEO)); National Science Foundation(National Science Foundation (NSF)); U.S. Department of Energy's Program for Climate Model Diagnosis and Intercomparison(United States Department of Energy (DOE)); Directorate For Geosciences; Office of Polar Programs (OPP)(National Science Foundation (NSF)NSF - Directorate for Geosciences (GEO))</t>
  </si>
  <si>
    <t>The authors thank the CESM Climate Variability and Change Working Group (CVCWG, http://www.cesm.ucar.edu/working_groups/CVC/) and Dr. Tingting Fan for conducting and post-processing the CESM1 Tropical Pacific Pacemaker simulations. The CESM Large Ensemble Community Project provided the LENS data. Both experiments benefited from computing resources on Yellowstone managed by NCAR-CISL and sponsored by the National Science Foundation. Drs. David Bailey, Marika Holland and Laura Landrum provided valuable discussions during the course of this work. D. Schneider was supported through NCAR and by National Science Foundation Grant 1235231. The figures were produced with the NCAR Command Language Software Package. NCAR is sponsored by the National Science Foundation. The authors also thank the individual climate modeling groups that have produced and made available the CMIP5 model output, as well as the coordination of those experiments by the World Climate Research Program's Working Group on Coupled Modeling, and the software infrastructure for distributing model data supported by the U.S. Department of Energy's Program for Climate Model Diagnosis and Intercomparison. Finally, the authors thank two anonymous reviewers and the editor for constructive comments that led to an improved manuscript.</t>
  </si>
  <si>
    <t>11-12</t>
  </si>
  <si>
    <t>10.1007/s00382-017-3893-5</t>
  </si>
  <si>
    <t>GG3NB</t>
  </si>
  <si>
    <t>WOS:000432597400036</t>
  </si>
  <si>
    <t>Patzer, A; McSween, HY</t>
  </si>
  <si>
    <t>Patzer, Andrea; McSween, Harry Y., Jr.</t>
  </si>
  <si>
    <t>Ferroan olivine-bearing eucrite clasts found in howardites</t>
  </si>
  <si>
    <t>POLYMICT EUCRITES; GEOCHEMISTRY; METAMORPHISM; CONSTRAINTS; DIOGENITES; METEORITES; PYROXENES; BRECCIAS; YAMATO; CRUST</t>
  </si>
  <si>
    <t>We investigated several olivine-bearing, medium-grained, ophitic to subophitic eucritic clasts from three different Antarctic howardites. Based on grain size (0.5-2mm), these clasts could represent intrusive igneous units. Based on mineral composition (pyroxene and plagioclase), they are similar to basaltic eucrites. Elemental concentrations of the major silicates and bulk mg#, however, range from those known for basaltic eucrites to those found in cumulate eucrites. Recognizable cumulus phases are absent. Conservatively speaking, the clasts examined may simply classify as relatively coarse-grained unequilibrated basaltic eucrites. Alternatively, at least one of the clasts showing intermediate grain size and a relatively primitive chemical composition (mg# 50) may sample a rock type that could be genetically placed between the basaltic and cumulate eucrite lines of origin. A minor, yet genetically meaningful common feature of the clasts studied is the occurrence of fayalitic olivine. Two distinct categories exist. They are (1) fine veinlets exclusively percolating through pyroxene and (2) more substantial (up to 100m wide) veins and/or interstitial deposits. Only the fine veinlets also contain variable amounts of anorthite, ilmenite, and troilite. Although both types of olivine are ferroan, textural aspects suggest distinct paths of generation. The fine veinlets are best explained by decomposition of relatively FeO-rich, heterogeneous, and locally metastable pyroxene, caused insitu by impact heating and subsequent fast cooling. The wider, often very ragged-looking monomineralic olivine fillings, on the other hand, may represent the iron-enriched portion of a highly fractionated magma.</t>
  </si>
  <si>
    <t>[Patzer, Andrea] Univ Goettingen, Dept Appl Geol, Goldschmidtstr 3, D-37077 Gottingen, Germany; [McSween, Harry Y., Jr.] Univ Tennessee, Dept Earth &amp; Planetary Sci, Knoxville, TN 37996 USA; [McSween, Harry Y., Jr.] Univ Tennessee, Planetary Geosci Inst, Knoxville, TN 37996 USA</t>
  </si>
  <si>
    <t>University of Gottingen; University of Tennessee System; University of Tennessee Knoxville; University of Tennessee System; University of Tennessee Knoxville</t>
  </si>
  <si>
    <t>Patzer, A (corresponding author), Univ Goettingen, Dept Appl Geol, Goldschmidtstr 3, D-37077 Gottingen, Germany.</t>
  </si>
  <si>
    <t>apatzer@uni-goettingen.de</t>
  </si>
  <si>
    <t>German Research Foundation (DFG) [PA1970/1-1]; NASA Cosmochemistry grant [NNX13AH86G]</t>
  </si>
  <si>
    <t>German Research Foundation (DFG)(German Research Foundation (DFG)); NASA Cosmochemistry grant</t>
  </si>
  <si>
    <t>This work was funded through German Research Foundation (DFG) grant PA1970/1-1 (Research Fellowship, A.P.) and NASA Cosmochemistry grant NNX13AH86G (H.Y.M.).</t>
  </si>
  <si>
    <t>10.1111/maps.13064</t>
  </si>
  <si>
    <t>GI1SZ</t>
  </si>
  <si>
    <t>WOS:000434152200002</t>
  </si>
  <si>
    <t>Rudraswami, NG; Fernandes, D; Naik, AK; Prasad, MS; Taylor, S</t>
  </si>
  <si>
    <t>Rudraswami, N. G.; Fernandes, D.; Naik, A. K.; Prasad, M. Shyam; Taylor, S.</t>
  </si>
  <si>
    <t>Fine-grained volatile components ubiquitous in solar nebula: Corroboration from scoriaceous cosmic spherules</t>
  </si>
  <si>
    <t>INDIAN-OCEAN BASIN; DEEP-SEA SEDIMENTS; ATMOSPHERIC ENTRY; CARBONACEOUS CHONDRITES; EARTHS ATMOSPHERE; ANTARCTIC MICROMETEORITES; ISOTOPIC COMPOSITIONS; INTERPLANETARY DUST; MATRIX MINERALOGY; OXYGEN-ISOTOPE</t>
  </si>
  <si>
    <t>The scoriaceous cosmic spherules (CSs) that make up to a few percent (for sizes &gt;150m size) of total micrometeorite flux are ubiquitous and have remained enigmatic. The present work provides in-depth study of 81 scoriaceous CSs, from observed similar to 4000 CSs, collected from Antarctica (South Pole water well) and deep-sea sediments (Indian Ocean) that will allow us to analyze the nature of these particles. The fine-grained texture and the chemical composition of scoriaceous particles suggest that they are formed from matrix materials that are enriched in volatiles. The volatile components such as water, sulfide, Na, K, etc. have vanished due to partial evaporation and degassing during Earth's atmospheric entry leaving behind the vesicular features, yet largely preserving the elemental composition. The elemental ratios (Ca/Si, Mg/Si, Al/Si, Fe/Si, and Ni/Si) of interplanetary dust particles (IDPs) are compatible with the scoriaceous CSs, which in turn are indistinguishable from the matrices of CI and CM chondrites signifying similarities in the nature of the sources. Furthermore, the texture of cometary particles bears resemblance to the texture of the scoriaceous particles. The compilation of petrographic texture, chemical, and trace element composition of scoriaceous CSs presents a strong case for matrix components from hydrated and volatile-rich bodies, such as CI and CM chondrites, rather than chondrules. We conclude that the fine-grained scoriaceous CSs, the matrix materials of hydrated chondrites, IDPs, and cometary particles that overlap compositionally were widespread, indicating a dominant component in the early solar nebula.</t>
  </si>
  <si>
    <t>[Rudraswami, N. G.; Fernandes, D.; Naik, A. K.; Prasad, M. Shyam] CSIR, Natl Inst Oceanog, Panaji 403004, Goa, India; [Taylor, S.] Cold Reg Res &amp; Engn Lab, 72 Lyme Rd, Hanover, NH 03755 USA</t>
  </si>
  <si>
    <t>Naik, Arun Kumar/AAC-1559-2022</t>
  </si>
  <si>
    <t>Naik, Arun Kumar/0000-0001-8280-2995; N G, Rudraswami/0000-0002-3375-9860</t>
  </si>
  <si>
    <t>GEOSINKS [PSC0106]; MOES-PMN [GAP2175]; PLANEX project [GAP2983]; National Science Foundation</t>
  </si>
  <si>
    <t>GEOSINKS; MOES-PMN; PLANEX project; National Science Foundation(National Science Foundation (NSF))</t>
  </si>
  <si>
    <t>This research is supported by GEOSINKS (PSC0106), MOES-PMN (GAP2175), and the PLANEX (GAP2983) project. We thank Vijay Khedekar for his support in EPMA and electron microscopy. We thank the anonymous reviewers and the associate editor, Don Brownlee, for constructive comments that enhanced the quality of the manuscript. The National Science Foundation funded the collection of micrometeorites from the South Pole water well. This is NIO's contribution no. 6169.</t>
  </si>
  <si>
    <t>10.1111/maps.13068</t>
  </si>
  <si>
    <t>WOS:000434152200006</t>
  </si>
  <si>
    <t>Park, CH; Hong, SG; Elvebakk, A</t>
  </si>
  <si>
    <t>Park, Chae Haeng; Hong, Soon Gyu; Elvebakk, Arve</t>
  </si>
  <si>
    <t>Psoroma antarcticum, a new lichen species from Antarctica and neighbouring areas</t>
  </si>
  <si>
    <t>King George Island; Taxonomy; Phylogeny; Pannariaceae</t>
  </si>
  <si>
    <t>KING-GEORGE-ISLAND; BARTON PENINSULA; PANNARIACEAE; VEGETATION; DIVERSITY; STATION; GENUS</t>
  </si>
  <si>
    <t>Icefree, terrestrial, Antarctic ecosystems have a polar desert-like appearance with a scarce vegetation cover, completely dominated by bryophytes and lichens. Knowledge of the rich Antarctic lichen biodiversity, including c. 400 species, is therefore necessary, also for studies of other ecosystem components. The genus Psoroma is partly dominant there, and own ongoing research indicates that many of its members have been misunderstood. The aim of the present study is to describe Psoroma antarcticum as new to science, study its habitat ecology and total distribution, and include a genetic analysis with respect to its internal variation and relationship to other species. The species differs from the closely related species Psoroma hypnorum, in having distinctly cup-shaped apothecia with thalline excipuli without squamules and tomentose lower sides, in having shorter ascospores without apical nodulose extensions and thalli with grey-to-black melanins. It is shown to form a monophyletic clade based on an analysis of the ITS, LSU, and mtSSU loci, and this clade is included in the Psoroma s. str. clade, which includes P. hypnorum, Psoroma paleaceum, Psoroma buchananii, and Psoroma fruticulosum with high statistical support. The new species has its main distribution in the maritime South Shetland and South Orkney Islands of Antarctica, and most samples originate from King George Island, where it is common and an important component in polar desert-like vegetation. Scattered occurrences have also been found in Chilean Tierra del Fuego, South Georgia, and Bouvet Island.</t>
  </si>
  <si>
    <t>[Park, Chae Haeng; Hong, Soon Gyu] Korea Polar Res Inst, Div Polar Life Sci, 26 Songdomirae Ro, Incheon 21900, South Korea; [Elvebakk, Arve] Univ Tromso, Tromso Univ Museum, POB 5060, N-9037 Tromso, Norway</t>
  </si>
  <si>
    <t>Korea Polar Research Institute (KOPRI); UiT The Arctic University of Tromso</t>
  </si>
  <si>
    <t>Hong, SG (corresponding author), Korea Polar Res Inst, Div Polar Life Sci, 26 Songdomirae Ro, Incheon 21900, South Korea.;Elvebakk, A (corresponding author), Univ Tromso, Tromso Univ Museum, POB 5060, N-9037 Tromso, Norway.</t>
  </si>
  <si>
    <t>polypore@kopri.re.kr; arve.elvebakk@uit.no</t>
  </si>
  <si>
    <t>Park, Chae Haeng/AAP-3939-2020</t>
  </si>
  <si>
    <t>Korea Polar Research Institute [PE16020, PE17090]</t>
  </si>
  <si>
    <t>We are indebted to the curators and directors of the cited herbaria for letting us study their collections and for sending material on loan; to three anonymous referees who provided useful comments; and to M. Karlstad, Tromso University Museum, UiT-the Arctic University of Norway, for taking the photograph shown as Fig. 2b. This study was supported by the Korea Polar Research Institute (Grant Nos. PE16020 and PE17090).</t>
  </si>
  <si>
    <t>10.1007/s00300-018-2265-x</t>
  </si>
  <si>
    <t>GI3EH</t>
  </si>
  <si>
    <t>WOS:000434253800002</t>
  </si>
  <si>
    <t>Foley, CM; Hart, T; Lynch, HJ</t>
  </si>
  <si>
    <t>Foley, C. M.; Hart, T.; Lynch, H. J.</t>
  </si>
  <si>
    <t>King Penguin populations increase on South Georgia but explanations remain elusive</t>
  </si>
  <si>
    <t>Southern Ocean; High-resolution photography; Population estimate; Glacial retreat; Climate forcing</t>
  </si>
  <si>
    <t>APTENODYTES-PATAGONICUS; CLIMATE-CHANGE; ANTARCTIC PENINSULA; MYCTOPHID FISHES; SHETLAND ISLANDS; HEARD-ISLAND; OCEAN; MARINE; ECOSYSTEM; VARIABILITY</t>
  </si>
  <si>
    <t>While dramatic increases in populations of King Penguins (Aptenodytes patagonicus) have been documented throughout their range, population changes on the island of South Georgia have not been assessed. We reconstructed time series of population size for six major colonies across South Georgia using historical data stretching back to 1883 and new population estimates derived from direct on-the-ground censuses and oblique, high-resolution digital photographs. We find evidence for a significant increase in the population of King Penguins at all colonies examined over the 124 years of available survey data. We discuss our findings in the context of four established hypotheses explaining King Penguin population growth: (1) favorable changes in the pelagic food web; (2) climate forcing; (3) greater availability of breeding habitat; and (4) the cessation of harvesting. While we do find evidence that glacial retreat may have increased suitable breeding habitat at some colonies and facilitated population expansion, glacial retreat is not associated with all of South Georgia's growing populations. Local anomalies in sea surface temperature have increased in parallel with King Penguin population growth rate, suggesting that climate forcing may contribute to colony growth, but a complete explanation for the island's rapidly growing King Penguin population remains unclear.</t>
  </si>
  <si>
    <t>[Foley, C. M.; Lynch, H. J.] SUNY Stony Brook, Dept Ecol &amp; Evolut, 106 Life Sci Bldg, Stony Brook, NY 11794 USA; [Hart, T.] Univ Oxford, Dept Zool, Oxford, England</t>
  </si>
  <si>
    <t>State University of New York (SUNY) System; State University of New York (SUNY) Stony Brook; University of Oxford</t>
  </si>
  <si>
    <t>Lynch, HJ (corresponding author), SUNY Stony Brook, Dept Ecol &amp; Evolut, 106 Life Sci Bldg, Stony Brook, NY 11794 USA.</t>
  </si>
  <si>
    <t>heather.lynch@stonybrook.edu</t>
  </si>
  <si>
    <t>US National Science Foundation Office of Polar Programs [NSF/OPP-1255058]; One Ocean Expeditions; Cheeseman's Ecological Safaris; Quark Expeditions; Directorate For Geosciences; Office of Polar Programs (OPP) [1255058] Funding Source: National Science Foundation</t>
  </si>
  <si>
    <t>US National Science Foundation Office of Polar Programs(National Science Foundation (NSF)); One Ocean Expeditions; Cheeseman's Ecological Safaris; Quark Expeditions; Directorate For Geosciences; Office of Polar Programs (OPP)(National Science Foundation (NSF)NSF - Directorate for Geosciences (GEO))</t>
  </si>
  <si>
    <t>We gratefully acknowledge assistance from the US National Science Foundation Office of Polar Programs (Award No. NSF/OPP-1255058) and the Explorer's Club. The authors would also like to thank S. Poncet for contributing data, and C. Black, A. Borowicz, G. Clucas, G. Humphries, M. Lynch, B. Goncalves, C. O'Leary, M. Schrimpf, and C. Youngflesh for help with data collection. Additionally, we would like to thank C. Bell, R. Biondo, L. Caliguri, K. Gregory, V. Kennelly, S. Vincent, A. West, and T. Wong for help with counting panoramas. We gratefully acknowledge the support of the One Ocean Expeditions, Cheeseman's Ecological Safaris, and Quark Expeditions and their field staff for their support in the field.</t>
  </si>
  <si>
    <t>10.1007/s00300-018-2271-z</t>
  </si>
  <si>
    <t>WOS:000434253800005</t>
  </si>
  <si>
    <t>Parnikoza, I; Rozhok, A; Convey, P; Veselski, M; Esefeld, J; Ochyra, R; Mustafa, O; Braun, C; Peter, HU; Smykla, J; Kunakh, V; Kozeretska, I</t>
  </si>
  <si>
    <t>Parnikoza, I.; Rozhok, A.; Convey, P.; Veselski, M.; Esefeld, J.; Ochyra, R.; Mustafa, O.; Braun, C.; Peter, H. -U.; Smykla, J.; Kunakh, V.; Kozeretska, I.</t>
  </si>
  <si>
    <t>Spread of Antarctic vegetation by the kelp gull: comparison of two maritime Antarctic regions</t>
  </si>
  <si>
    <t>Vegetation; Larus dominicanus; Deschampsia antarctica; Colobanthus quitensis; King George Island; Fildes Peninsula; Argentine Islands</t>
  </si>
  <si>
    <t>ARGENTINE ISLANDS; DESCHAMPSIA-ANTARCTICA; PENINSULA; DESV.</t>
  </si>
  <si>
    <t>In the present paper, we compare how the kelp gull, Larus dominicanus, utilizes various nest building materials, particularly vascular plants, bryophytes, lichens and other components, in the Fildes Peninsula area (King George Island) and on the Argentine Islands area. In both areas, nest material primarily consisted of the Antarctic hairgrass (Deschampsia antarctica), bryophytes, lichens, feathers, limpets, and algae. Our study reveals area-specific differences in the utilization of plants for nest building related to local conditions during the nesting season. In the Fildes area, vegetation emerges from under the winter snow cover earlier in the spring, giving the gulls greater choice locally, meaning that the gulls need not resort to long distance material transfer. Here, mosses and lichens dominate in the nest material, likely collected from the nearby vegetation formations. The Antarctic hairgrass in these conditions is mostly found in nests located directly within hairgrass formations. However, on the more southern Argentine Islands, kelp gulls routinely use D. antarctica and some mosses, transferring them from coastal hill tops where snow generally disappears earlier. Here, the gulls appear to be selective still, as they rarely use some mosses, such as Polytrichum strictum, that are abundant near the nesting locations. In the Argentine Islands area, we documented long-range transfer of the Antarctic hairgrass and some other vegetation materials from places of abundance to bare rocks of low islands lacking developed vegetation. This demonstrates the potential of the gulls to serve as dispersal and gene pool exchange agents for the local terrestrial biota in the maritime Antarctic, especially between highly isolated populations from small islands and ice-free areas.</t>
  </si>
  <si>
    <t>[Parnikoza, I.; Kunakh, V.] Natl Acad Sci Ukraine, Inst Mol Biol &amp; Genet, Zabolotnogo Str 150, UA-03143 Kiev, Ukraine; [Parnikoza, I.] Minist Educ &amp; Sci Ukraine, State Inst Natl Antarctic Sci Ctr, Shevchenko Ave 16, UA-01601 Kiev, Ukraine; [Rozhok, A.] Univ Colorado, 1250 14th St, Denver, CO 80204 USA; [Convey, P.] British Antarctic Survey, NERC, Madingley Rd, Cambridge CB3 0ET, England; [Veselski, M.] Zhytomir Reg Museum, Zamkovy Sq 1, UA-10016 Zytomyr, Ukraine; [Esefeld, J.; Braun, C.; Peter, H. -U.] Univ Jena, Inst Ecol &amp; Evolut, Furstengraben 1, D-07743 Jena, Germany; [Ochyra, R.] Polish Acad Sci, W Szafer Inst Bot, Lubicz Str 46, PL-31512 Krakow, Poland; [Mustafa, O.] Thuringian Inst Sustainabil &amp; Climate Protect, Leutragraben 1, D-07743 Jena, Germany; [Smykla, J.] Polish Acad Sci, Inst Nat Conservat, Mickiewicza 33, PL-31120 Krakow, Poland; [Kozeretska, I.] Taras Shevchenko Natl Univ Kyiv, Volodymyrska Str 60, UA-01601 Kiev, Ukraine</t>
  </si>
  <si>
    <t>National Academy of Sciences Ukraine; Institute of Molecular Biology &amp; Genetics of NASU; Ministry of Education &amp; Science of Ukraine; State Institution National Antarctic Scientific Center; University of Colorado System; University of Colorado Denver; UK Research &amp; Innovation (UKRI); Natural Environment Research Council (NERC); NERC British Antarctic Survey; Friedrich Schiller University of Jena; Polish Academy of Sciences; W. Szafer Institute of Botany of the Polish Academy of Sciences; Polish Academy of Sciences; Ministry of Education &amp; Science of Ukraine; Taras Shevchenko National University of Kyiv</t>
  </si>
  <si>
    <t>Parnikoza, I (corresponding author), Natl Acad Sci Ukraine, Inst Mol Biol &amp; Genet, Zabolotnogo Str 150, UA-03143 Kiev, Ukraine.;Parnikoza, I (corresponding author), Minist Educ &amp; Sci Ukraine, State Inst Natl Antarctic Sci Ctr, Shevchenko Ave 16, UA-01601 Kiev, Ukraine.</t>
  </si>
  <si>
    <t>i.yu.parnikoza@imbg.org.ua</t>
  </si>
  <si>
    <t>Convey, Peter/AAV-5728-2020; Parnikoza, Ivan/I-2398-2016; Kozeretska, Iryna A/F-1383-2010; Kunakh, Viktor A./HKV-4993-2023; Ivan, Parnikoza/O-2781-2019; Smykla, Jerzy/N-3288-2014</t>
  </si>
  <si>
    <t>Convey, Peter/0000-0001-8497-9903; Ivan, Parnikoza/0000-0002-0490-8134; Ochyra, Ryszard/0000-0002-2541-0722; Mustafa, Osama/0000-0002-1548-0647; Smykla, Jerzy/0000-0001-8228-6695; Kunakh, Viktor/0000-0002-9418-3172</t>
  </si>
  <si>
    <t>Polish Ministry of Science and Higher Education within the program Supporting International Mobility of Scientists [NN305376438]; NERC; W. Szafer Institute of Botany of the Polish Academy of Sciences; NERC [bas0100036] Funding Source: UKRI</t>
  </si>
  <si>
    <t>Polish Ministry of Science and Higher Education within the program Supporting International Mobility of Scientists; NERC(UK Research &amp; Innovation (UKRI)Natural Environment Research Council (NERC)); W. Szafer Institute of Botany of the Polish Academy of Sciences; NERC(UK Research &amp; Innovation (UKRI)Natural Environment Research Council (NERC))</t>
  </si>
  <si>
    <t>The fieldwork was supported by the State Institution National Antarctic Scientific Center, Ministry of Education and Science of Ukraine during the the 18th and 20th Ukrainian Antarctic expeditions. We thank I. Dyyky, D. Pilipenko, V. Smagol, P. Khoetsky, V. Omelyanovich, O. Salgansky, A. Dzhulai, V. Papitashvili, Z. Yu., D. Beilman for help in expedition preparation and sample collection. This study was carried out as part of the State Priority Scientific and Technical Research Program in the Antarctic during 2011-2020 within the NASU and PAS joint 2015-2017 project Adaptive strategies of mutual survival of organisms in extreme environments. J. Smykla was supported by the Polish Ministry of Science and Higher Education within the program Supporting International Mobility of Scientists and grant no. NN305376438. P. Convey was supported by NERC core funding to the British Antarctic Survey's 'Biodiversity, Evolution and Adaptation' and R. Ochyra gained financial support through the statutory fund of the W. Szafer Institute of Botany of the Polish Academy of Sciences. This paper also contributes to the Scientific Committee on Antarctic Research 'State of the Antarctic Ecosystem' international research program. We thank the Editor and anonymous referees for constructive comments on an earlier version.</t>
  </si>
  <si>
    <t>10.1007/s00300-018-2274-9</t>
  </si>
  <si>
    <t>WOS:000434253800008</t>
  </si>
  <si>
    <t>Urcola, MR; Zelaya, DG</t>
  </si>
  <si>
    <t>Urcola, Matias R.; Zelaya, Diego G.</t>
  </si>
  <si>
    <t>The genus Cyamiocardium Soot-Ryen, 1951 (Bivalvia: Cyamiidae) in sub-Antarctic and Antarctic waters</t>
  </si>
  <si>
    <t>Mollusca; Cyamioidea; Biodiversity; Southern Ocean; Pampa Azul</t>
  </si>
  <si>
    <t>PEREGRINAMOR-OHSHIMAI; MORPHOLOGY</t>
  </si>
  <si>
    <t>For more than 50 years the genus Cyamiocardium was regarded as represented by three species: Cyamiocardium denticulatum (with Cyamiocardium rotundatum as a synonym), Cyamiocardium dahli, and Cyamiocardium crassilabrum. However, in the last years, the latter was removed from Cyamiocardium, alternatively being placed into Perrierina. All these species were mainly based on the general shell morphology of a reduced number of specimens, with scarce (or no) information on their anatomy and reproductive traits. The present study provides the first systematic revision of the species of Cyamiocardium occurring in sub-Antarctic and Antarctic waters. For that, an extant source of material was available; and several characters not studied (in detail) before, such as prodissoconch morphology and microsculpture, gross anatomy, and reproductive characteristics, were investigated. As part of this study, the identity of C. denticulatum (the type species of the genus) and that of C. dahli are clarified. In addition, C. rotundatum is revalidated as a full species, and C. crassilabrum is transferred again to Cyamiocardium. Furthermore, three new species were detected and are described herein: Cyamiocardium chuanisinense new species, Cyamiocardium namuncurense new species, and Cyamiocardium yeskumaala new species. The new information arising from this study is used to redefine the genus Cyamiocardium, and to re-analyze the similarities/differences of this genus with other cyamiids.</t>
  </si>
  <si>
    <t>[Urcola, Matias R.; Zelaya, Diego G.] Univ Buenos Aires, Fac Ciencias Exactas &amp; Nat, Lab Malacol, Dept Biodiversidad &amp; Biol Expt, Intendente Guiraldes 2160,Ciudad Univ,C1428EGA, Buenos Aires, DF, Argentina; [Zelaya, Diego G.] Consejo Nacl Invest Cient &amp; Tecn, Buenos Aires, DF, Argentina</t>
  </si>
  <si>
    <t>University of Buenos Aires; Consejo Nacional de Investigaciones Cientificas y Tecnicas (CONICET)</t>
  </si>
  <si>
    <t>Urcola, MR (corresponding author), Univ Buenos Aires, Fac Ciencias Exactas &amp; Nat, Lab Malacol, Dept Biodiversidad &amp; Biol Expt, Intendente Guiraldes 2160,Ciudad Univ,C1428EGA, Buenos Aires, DF, Argentina.</t>
  </si>
  <si>
    <t>matiasurcola@yahoo.com.ar</t>
  </si>
  <si>
    <t>Urcola, Matias/0000-0002-1335-0072</t>
  </si>
  <si>
    <t>UBACYT [20020150100195BA]</t>
  </si>
  <si>
    <t>UBACYT</t>
  </si>
  <si>
    <t>The authors specially thank Carolina Romero, Daniel Nahabedian and Jesus Troncoso for kindly making available some of the specimens reported herein; Anna Persson (SMNH) and Andreia Salvador (NHMUK) for the photographs and additional information on the types of C. dahli, C. crassilabrum, and C. denticulatum; Lindsey Groves for sending on loan some material housed at the LACM; and Ellen Strong (USNM) and Frank Koeler (formerly ZMB) for their hospitality during the visit of DGZ to their museums. MRU is also grateful to Cristian Ituarte (MACN) for teaching the histological techniques used herein. This study was partially supported by UBACYT 20020150100195BA. MRU is a doctoral fellow at the University of Buenos Aires, and DGZ is member of the Consejo Nacional de Investigaciones Cientificas y Tecnicas (CONICET), Argentina.</t>
  </si>
  <si>
    <t>10.1007/s00300-018-2275-8</t>
  </si>
  <si>
    <t>WOS:000434253800009</t>
  </si>
  <si>
    <t>Connan, M; Bonnevie, B; McQuaid, C</t>
  </si>
  <si>
    <t>Connan, Maelle; Bonnevie, Bo; McQuaid, Christopher</t>
  </si>
  <si>
    <t>Ontogeny, tissue, and species but not sex influence stable isotopic values of three albatross species</t>
  </si>
  <si>
    <t>Thalassarche chrysostoma; Phoebetria palpebrata; Phoebetria fusca; Prince Edward Islands; Southern Ocean</t>
  </si>
  <si>
    <t>PRINCE-EDWARD-ISLANDS; SOOTY ALBATROSSES; FORAGING AREAS; WANDERING ALBATROSSES; TEMPORAL VARIATION; SEASONAL-CHANGES; DELTA-C-13; GROWTH; SEABIRD; BLOOD</t>
  </si>
  <si>
    <t>The use of indirect dietary markers, including stable isotopes, has immensely improved our knowledge of seabird trophic ecology throughout their annual cycle. Important aspects include differences in trophic niche between adults and chicks at the intra- and inter-specific levels and tissue-dependent differentiation in chicks. Using stable isotopic niche as a proxy for trophic ecology, we investigated how three closely related albatross species co-exist in the sub-Antarctic Prince Edward Islands. The effects of age, sex, tissue, and species on the isotopic niche were observed for Grey-headed Thalassarche chrysostoma, Sooty Phoebetria fusca, and Light-mantled Phoebetria palpebrata Albatrosses breeding on Marion Island. At the end of chick-rearing, carbon and nitrogen stable isotope values differed according to age, tissue, and species but not the sex of either adults or chicks. A complex pattern was revealed as the three species exhibited contrasting results. For example, values for delta C-13 or delta N-15 of chick blood could be depleted, enriched or similar relative to that of adults, depending on species. Stable isotope differences between blood and feathers likely reflect differences in their amino acid composition, while adult/chick differences will relate to their different physiological needs and diet. The results indicate that co-existence of the three species on the island is facilitated through resource partitioning among species in terms of foraging areas and in the trophic levels at which adults feed for themselves and their chicks. This work brings new insights into the effect of intrinsic factors on the foraging ecology of marine top predators.</t>
  </si>
  <si>
    <t>[Connan, Maelle; Bonnevie, Bo; McQuaid, Christopher] Rhodes Univ, Dept Zool &amp; Entomol, POB 94, ZA-6140 Grahamstown, South Africa; [Connan, Maelle] Nelson Mandela Univ, Inst Coastal &amp; Marine Res, Dept Zool, Marine Apex Predator Unit, POB 77000, ZA-6031 Port Elizabeth, South Africa</t>
  </si>
  <si>
    <t>Rhodes University; Nelson Mandela University</t>
  </si>
  <si>
    <t>Connan, M (corresponding author), Rhodes Univ, Dept Zool &amp; Entomol, POB 94, ZA-6140 Grahamstown, South Africa.;Connan, M (corresponding author), Nelson Mandela Univ, Inst Coastal &amp; Marine Res, Dept Zool, Marine Apex Predator Unit, POB 77000, ZA-6031 Port Elizabeth, South Africa.</t>
  </si>
  <si>
    <t>maelle.connan@gmail.com; B.Bonnevie@ru.ac.za; c.mcquaid@ru.ac.za</t>
  </si>
  <si>
    <t>McQuaid, Christopher/AAT-3725-2020; Connan, Maelle/A-8468-2008</t>
  </si>
  <si>
    <t>McQuaid, Christopher/0000-0002-3473-8308; Connan, Maelle/0000-0002-1308-9118</t>
  </si>
  <si>
    <t>Department of Environmental Affairs and Tourism through the South African National Antarctic Program; South African Research Chairs Initiative of the Department of Science and Technology; National Research Foundation</t>
  </si>
  <si>
    <t>The authors thank PG Ryan, MGW Jones, B Dyer, and L Clokie for their valuable advices in the field. Isotope samples were analysed by I Newton at the Stable Light Isotope Laboratory of the University of Cape Town under the supervision of J Lanham. Funding and logistical support was provided by the Department of Environmental Affairs and Tourism through the South African National Antarctic Program and administered by the National Research Foundation. This work is based on research supported by the South African Research Chairs Initiative of the Department of Science and Technology and the National Research Foundation. The authors thank Prof Piepenburg, Prof Quillfeldt, and an anonymous reviewer for their valuable comments on an earlier version of the manuscript.</t>
  </si>
  <si>
    <t>10.1007/s00300-018-2276-7</t>
  </si>
  <si>
    <t>WOS:000434253800010</t>
  </si>
  <si>
    <t>Casares, BM; Cantero, ALP</t>
  </si>
  <si>
    <t>Mercado Casares, Borja; Pena Cantero, Alvaro Luis</t>
  </si>
  <si>
    <t>Bathymetric distribution pattern in Antarctic benthic hydroids</t>
  </si>
  <si>
    <t>Southern ocean; Depth; Ecology; Cnidaria; Emersion; Submersion</t>
  </si>
  <si>
    <t>BELLINGSHAUSEN SEA ANTARCTICA; OSWALDELLA STECHOW; CONTINENTAL-SHELF; 1919 CNIDARIA; WEDDELL SEA; ICEBERG DISTURBANCE; SOUTHERN-OCEAN; DEEP-WATER; HYDROZOA; BIODIVERSITY</t>
  </si>
  <si>
    <t>Benthic hydroids are an important component of the Antarctic benthic ecosystem. This is characterised by extreme environmental conditions that undoubtedly affect organism distribution. In some cases, these conditions are related to depth (e.g. anchor ice or iceberg scouring). The Antarctic depth profile has special characteristics that reflect the depression of the continental crust by isostatic loading as well as glacial erosion during ice sheet expansion. Indeed, the Antarctic continental shelf is much deeper than others elsewhere in the world. This fact, along with the dynamic ice formation, affects a priori the bathymetric distribution of Antarctic benthic hydroids. This was first studied by Stepanjants in 1979, and later by Pea Cantero, in 2004, who summarised all available bathymetric information for Antarctic benthic hydroids, and established a series of bathymetric groups according to ecological features. The aim of this study was to review and update the present knowledge of bathymetric distribution of Antarctic benthic hydroids with data gathered in recent years in order to define hydrozoan bathymetric assemblages and depth-indicator species. To this end, all the valid records from the Antarctic (including the Scotia Arc) were compiled. Using similarity matrices (Sorensen coefficient), hierarchical clusters with SIMPROF test were performed. The results of the present study provide the division of the bathymetric profile into three main zones. The first one, which corresponds to the Shelf, extends from 0 to 700 m, and is clearly characterised by Eudendriidae and Campanulinidae. The second one, named Slope, associated with the continental slope, extends from 700 to 1500 m, and is characterised by a few exclusive species, like Halisiphonia prolifica Pea Cantero, 2014. Finally, the third zone, here named Abyss, extends beyond 2000 m, and includes a few species [e.g. Clathrozoella abyssalis Pea Cantero, Vervoort &amp; Watson, 2003 (3083 m)]. The results also indicate a further division of the Shelf into three sub-zones: the anchor ice, the upper shelf and the lower shelf. The results show distinct boundaries between divisions, which could be linked to environmental factors, some of them likely related to the influence of ice.</t>
  </si>
  <si>
    <t>[Mercado Casares, Borja; Pena Cantero, Alvaro Luis] Univ Valencia, Cavanilles Inst Biodivers &amp; Evolutionary Biol ICB, Biodivers &amp; Cnidarians Evolut Grp, Valencia 46071, Spain; [Mercado Casares, Borja; Pena Cantero, Alvaro Luis] Univ Valencia, Dept Zool, Valencia 46071, Spain</t>
  </si>
  <si>
    <t>University of Valencia; University of Valencia</t>
  </si>
  <si>
    <t>Casares, BM (corresponding author), Univ Valencia, Cavanilles Inst Biodivers &amp; Evolutionary Biol ICB, Biodivers &amp; Cnidarians Evolut Grp, Valencia 46071, Spain.;Casares, BM (corresponding author), Univ Valencia, Dept Zool, Valencia 46071, Spain.</t>
  </si>
  <si>
    <t>borja.mercado@gmail.com; alvaro.l.pena@uv.es</t>
  </si>
  <si>
    <t>Cantero, Álvaro Luis Peña/F-7888-2016; Mercado Casares, Borja/HJH-6251-2023</t>
  </si>
  <si>
    <t>10.1007/s00300-018-2281-x</t>
  </si>
  <si>
    <t>WOS:000434253800015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</si>
</sst>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113</v>
      </c>
      <c r="AH2">
        <v>5</v>
      </c>
      <c r="AI2">
        <v>5</v>
      </c>
      <c r="AJ2">
        <v>0</v>
      </c>
      <c r="AK2">
        <v>4</v>
      </c>
      <c r="AL2" t="s">
        <v>92</v>
      </c>
      <c r="AM2" t="s">
        <v>93</v>
      </c>
      <c r="AN2" t="s">
        <v>94</v>
      </c>
      <c r="AO2" t="s">
        <v>95</v>
      </c>
      <c r="AP2" t="s">
        <v>74</v>
      </c>
      <c r="AQ2" t="s">
        <v>74</v>
      </c>
      <c r="AR2" t="s">
        <v>96</v>
      </c>
      <c r="AS2" t="s">
        <v>97</v>
      </c>
      <c r="AT2" t="s">
        <v>98</v>
      </c>
      <c r="AU2">
        <v>2018</v>
      </c>
      <c r="AV2">
        <v>10</v>
      </c>
      <c r="AW2">
        <v>10</v>
      </c>
      <c r="AX2" t="s">
        <v>74</v>
      </c>
      <c r="AY2" t="s">
        <v>74</v>
      </c>
      <c r="AZ2" t="s">
        <v>74</v>
      </c>
      <c r="BA2" t="s">
        <v>74</v>
      </c>
      <c r="BB2">
        <v>2614</v>
      </c>
      <c r="BC2">
        <v>2628</v>
      </c>
      <c r="BD2" t="s">
        <v>74</v>
      </c>
      <c r="BE2" t="s">
        <v>99</v>
      </c>
      <c r="BF2" t="str">
        <f>HYPERLINK("http://dx.doi.org/10.1093/gbe/evy195","http://dx.doi.org/10.1093/gbe/evy195")</f>
        <v>http://dx.doi.org/10.1093/gbe/evy195</v>
      </c>
      <c r="BG2" t="s">
        <v>74</v>
      </c>
      <c r="BH2" t="s">
        <v>74</v>
      </c>
      <c r="BI2">
        <v>15</v>
      </c>
      <c r="BJ2" t="s">
        <v>100</v>
      </c>
      <c r="BK2" t="s">
        <v>101</v>
      </c>
      <c r="BL2" t="s">
        <v>100</v>
      </c>
      <c r="BM2" t="s">
        <v>102</v>
      </c>
      <c r="BN2">
        <v>30202970</v>
      </c>
      <c r="BO2" t="s">
        <v>103</v>
      </c>
      <c r="BP2" t="s">
        <v>74</v>
      </c>
      <c r="BQ2" t="s">
        <v>74</v>
      </c>
      <c r="BR2" t="s">
        <v>104</v>
      </c>
      <c r="BS2" t="s">
        <v>105</v>
      </c>
      <c r="BT2" t="str">
        <f>HYPERLINK("https%3A%2F%2Fwww.webofscience.com%2Fwos%2Fwoscc%2Ffull-record%2FWOS:000455325000005","View Full Record in Web of Science")</f>
        <v>View Full Record in Web of Science</v>
      </c>
    </row>
    <row r="3" spans="1:72" x14ac:dyDescent="0.15">
      <c r="A3" t="s">
        <v>72</v>
      </c>
      <c r="B3" t="s">
        <v>106</v>
      </c>
      <c r="C3" t="s">
        <v>74</v>
      </c>
      <c r="D3" t="s">
        <v>74</v>
      </c>
      <c r="E3" t="s">
        <v>74</v>
      </c>
      <c r="F3" t="s">
        <v>107</v>
      </c>
      <c r="G3" t="s">
        <v>74</v>
      </c>
      <c r="H3" t="s">
        <v>74</v>
      </c>
      <c r="I3" t="s">
        <v>108</v>
      </c>
      <c r="J3" t="s">
        <v>109</v>
      </c>
      <c r="K3" t="s">
        <v>74</v>
      </c>
      <c r="L3" t="s">
        <v>74</v>
      </c>
      <c r="M3" t="s">
        <v>110</v>
      </c>
      <c r="N3" t="s">
        <v>79</v>
      </c>
      <c r="O3" t="s">
        <v>74</v>
      </c>
      <c r="P3" t="s">
        <v>74</v>
      </c>
      <c r="Q3" t="s">
        <v>74</v>
      </c>
      <c r="R3" t="s">
        <v>74</v>
      </c>
      <c r="S3" t="s">
        <v>74</v>
      </c>
      <c r="T3" t="s">
        <v>111</v>
      </c>
      <c r="U3" t="s">
        <v>74</v>
      </c>
      <c r="V3" t="s">
        <v>112</v>
      </c>
      <c r="W3" t="s">
        <v>113</v>
      </c>
      <c r="X3" t="s">
        <v>114</v>
      </c>
      <c r="Y3" t="s">
        <v>115</v>
      </c>
      <c r="Z3" t="s">
        <v>116</v>
      </c>
      <c r="AA3" t="s">
        <v>117</v>
      </c>
      <c r="AB3" t="s">
        <v>74</v>
      </c>
      <c r="AC3" t="s">
        <v>74</v>
      </c>
      <c r="AD3" t="s">
        <v>74</v>
      </c>
      <c r="AE3" t="s">
        <v>74</v>
      </c>
      <c r="AF3" t="s">
        <v>74</v>
      </c>
      <c r="AG3">
        <v>26</v>
      </c>
      <c r="AH3">
        <v>0</v>
      </c>
      <c r="AI3">
        <v>0</v>
      </c>
      <c r="AJ3">
        <v>0</v>
      </c>
      <c r="AK3">
        <v>0</v>
      </c>
      <c r="AL3" t="s">
        <v>118</v>
      </c>
      <c r="AM3" t="s">
        <v>119</v>
      </c>
      <c r="AN3" t="s">
        <v>120</v>
      </c>
      <c r="AO3" t="s">
        <v>121</v>
      </c>
      <c r="AP3" t="s">
        <v>74</v>
      </c>
      <c r="AQ3" t="s">
        <v>74</v>
      </c>
      <c r="AR3" t="s">
        <v>122</v>
      </c>
      <c r="AS3" t="s">
        <v>123</v>
      </c>
      <c r="AT3" t="s">
        <v>124</v>
      </c>
      <c r="AU3">
        <v>2018</v>
      </c>
      <c r="AV3">
        <v>9</v>
      </c>
      <c r="AW3">
        <v>4</v>
      </c>
      <c r="AX3" t="s">
        <v>74</v>
      </c>
      <c r="AY3" t="s">
        <v>74</v>
      </c>
      <c r="AZ3" t="s">
        <v>74</v>
      </c>
      <c r="BA3" t="s">
        <v>74</v>
      </c>
      <c r="BB3">
        <v>65</v>
      </c>
      <c r="BC3">
        <v>79</v>
      </c>
      <c r="BD3" t="s">
        <v>74</v>
      </c>
      <c r="BE3" t="s">
        <v>74</v>
      </c>
      <c r="BF3" t="s">
        <v>74</v>
      </c>
      <c r="BG3" t="s">
        <v>74</v>
      </c>
      <c r="BH3" t="s">
        <v>74</v>
      </c>
      <c r="BI3">
        <v>15</v>
      </c>
      <c r="BJ3" t="s">
        <v>125</v>
      </c>
      <c r="BK3" t="s">
        <v>126</v>
      </c>
      <c r="BL3" t="s">
        <v>125</v>
      </c>
      <c r="BM3" t="s">
        <v>127</v>
      </c>
      <c r="BN3" t="s">
        <v>74</v>
      </c>
      <c r="BO3" t="s">
        <v>74</v>
      </c>
      <c r="BP3" t="s">
        <v>74</v>
      </c>
      <c r="BQ3" t="s">
        <v>74</v>
      </c>
      <c r="BR3" t="s">
        <v>104</v>
      </c>
      <c r="BS3" t="s">
        <v>128</v>
      </c>
      <c r="BT3" t="str">
        <f>HYPERLINK("https%3A%2F%2Fwww.webofscience.com%2Fwos%2Fwoscc%2Ffull-record%2FWOS:000454551000001","View Full Record in Web of Science")</f>
        <v>View Full Record in Web of Science</v>
      </c>
    </row>
    <row r="4" spans="1:72" x14ac:dyDescent="0.15">
      <c r="A4" t="s">
        <v>72</v>
      </c>
      <c r="B4" t="s">
        <v>129</v>
      </c>
      <c r="C4" t="s">
        <v>74</v>
      </c>
      <c r="D4" t="s">
        <v>74</v>
      </c>
      <c r="E4" t="s">
        <v>74</v>
      </c>
      <c r="F4" t="s">
        <v>130</v>
      </c>
      <c r="G4" t="s">
        <v>74</v>
      </c>
      <c r="H4" t="s">
        <v>74</v>
      </c>
      <c r="I4" t="s">
        <v>131</v>
      </c>
      <c r="J4" t="s">
        <v>132</v>
      </c>
      <c r="K4" t="s">
        <v>74</v>
      </c>
      <c r="L4" t="s">
        <v>74</v>
      </c>
      <c r="M4" t="s">
        <v>78</v>
      </c>
      <c r="N4" t="s">
        <v>133</v>
      </c>
      <c r="O4" t="s">
        <v>134</v>
      </c>
      <c r="P4" t="s">
        <v>135</v>
      </c>
      <c r="Q4" t="s">
        <v>136</v>
      </c>
      <c r="R4" t="s">
        <v>74</v>
      </c>
      <c r="S4" t="s">
        <v>137</v>
      </c>
      <c r="T4" t="s">
        <v>138</v>
      </c>
      <c r="U4" t="s">
        <v>139</v>
      </c>
      <c r="V4" t="s">
        <v>140</v>
      </c>
      <c r="W4" t="s">
        <v>141</v>
      </c>
      <c r="X4" t="s">
        <v>142</v>
      </c>
      <c r="Y4" t="s">
        <v>143</v>
      </c>
      <c r="Z4" t="s">
        <v>144</v>
      </c>
      <c r="AA4" t="s">
        <v>74</v>
      </c>
      <c r="AB4" t="s">
        <v>145</v>
      </c>
      <c r="AC4" t="s">
        <v>146</v>
      </c>
      <c r="AD4" t="s">
        <v>147</v>
      </c>
      <c r="AE4" t="s">
        <v>148</v>
      </c>
      <c r="AF4" t="s">
        <v>74</v>
      </c>
      <c r="AG4">
        <v>63</v>
      </c>
      <c r="AH4">
        <v>17</v>
      </c>
      <c r="AI4">
        <v>22</v>
      </c>
      <c r="AJ4">
        <v>3</v>
      </c>
      <c r="AK4">
        <v>31</v>
      </c>
      <c r="AL4" t="s">
        <v>149</v>
      </c>
      <c r="AM4" t="s">
        <v>93</v>
      </c>
      <c r="AN4" t="s">
        <v>150</v>
      </c>
      <c r="AO4" t="s">
        <v>151</v>
      </c>
      <c r="AP4" t="s">
        <v>152</v>
      </c>
      <c r="AQ4" t="s">
        <v>74</v>
      </c>
      <c r="AR4" t="s">
        <v>153</v>
      </c>
      <c r="AS4" t="s">
        <v>154</v>
      </c>
      <c r="AT4" t="s">
        <v>98</v>
      </c>
      <c r="AU4">
        <v>2018</v>
      </c>
      <c r="AV4">
        <v>156</v>
      </c>
      <c r="AW4" t="s">
        <v>74</v>
      </c>
      <c r="AX4" t="s">
        <v>74</v>
      </c>
      <c r="AY4" t="s">
        <v>74</v>
      </c>
      <c r="AZ4" t="s">
        <v>155</v>
      </c>
      <c r="BA4" t="s">
        <v>74</v>
      </c>
      <c r="BB4">
        <v>51</v>
      </c>
      <c r="BC4">
        <v>59</v>
      </c>
      <c r="BD4" t="s">
        <v>74</v>
      </c>
      <c r="BE4" t="s">
        <v>156</v>
      </c>
      <c r="BF4" t="str">
        <f>HYPERLINK("http://dx.doi.org/10.1016/j.dsr2.2018.09.010","http://dx.doi.org/10.1016/j.dsr2.2018.09.010")</f>
        <v>http://dx.doi.org/10.1016/j.dsr2.2018.09.010</v>
      </c>
      <c r="BG4" t="s">
        <v>74</v>
      </c>
      <c r="BH4" t="s">
        <v>74</v>
      </c>
      <c r="BI4">
        <v>9</v>
      </c>
      <c r="BJ4" t="s">
        <v>157</v>
      </c>
      <c r="BK4" t="s">
        <v>158</v>
      </c>
      <c r="BL4" t="s">
        <v>157</v>
      </c>
      <c r="BM4" t="s">
        <v>159</v>
      </c>
      <c r="BN4" t="s">
        <v>74</v>
      </c>
      <c r="BO4" t="s">
        <v>74</v>
      </c>
      <c r="BP4" t="s">
        <v>74</v>
      </c>
      <c r="BQ4" t="s">
        <v>74</v>
      </c>
      <c r="BR4" t="s">
        <v>104</v>
      </c>
      <c r="BS4" t="s">
        <v>160</v>
      </c>
      <c r="BT4" t="str">
        <f>HYPERLINK("https%3A%2F%2Fwww.webofscience.com%2Fwos%2Fwoscc%2Ffull-record%2FWOS:000454184300007","View Full Record in Web of Science")</f>
        <v>View Full Record in Web of Science</v>
      </c>
    </row>
    <row r="5" spans="1:72" x14ac:dyDescent="0.15">
      <c r="A5" t="s">
        <v>72</v>
      </c>
      <c r="B5" t="s">
        <v>161</v>
      </c>
      <c r="C5" t="s">
        <v>74</v>
      </c>
      <c r="D5" t="s">
        <v>74</v>
      </c>
      <c r="E5" t="s">
        <v>74</v>
      </c>
      <c r="F5" t="s">
        <v>162</v>
      </c>
      <c r="G5" t="s">
        <v>74</v>
      </c>
      <c r="H5" t="s">
        <v>74</v>
      </c>
      <c r="I5" t="s">
        <v>163</v>
      </c>
      <c r="J5" t="s">
        <v>164</v>
      </c>
      <c r="K5" t="s">
        <v>74</v>
      </c>
      <c r="L5" t="s">
        <v>74</v>
      </c>
      <c r="M5" t="s">
        <v>165</v>
      </c>
      <c r="N5" t="s">
        <v>79</v>
      </c>
      <c r="O5" t="s">
        <v>74</v>
      </c>
      <c r="P5" t="s">
        <v>74</v>
      </c>
      <c r="Q5" t="s">
        <v>74</v>
      </c>
      <c r="R5" t="s">
        <v>74</v>
      </c>
      <c r="S5" t="s">
        <v>74</v>
      </c>
      <c r="T5" t="s">
        <v>166</v>
      </c>
      <c r="U5" t="s">
        <v>167</v>
      </c>
      <c r="V5" t="s">
        <v>168</v>
      </c>
      <c r="W5" t="s">
        <v>169</v>
      </c>
      <c r="X5" t="s">
        <v>170</v>
      </c>
      <c r="Y5" t="s">
        <v>171</v>
      </c>
      <c r="Z5" t="s">
        <v>172</v>
      </c>
      <c r="AA5" t="s">
        <v>173</v>
      </c>
      <c r="AB5" t="s">
        <v>74</v>
      </c>
      <c r="AC5" t="s">
        <v>74</v>
      </c>
      <c r="AD5" t="s">
        <v>74</v>
      </c>
      <c r="AE5" t="s">
        <v>74</v>
      </c>
      <c r="AF5" t="s">
        <v>74</v>
      </c>
      <c r="AG5">
        <v>44</v>
      </c>
      <c r="AH5">
        <v>1</v>
      </c>
      <c r="AI5">
        <v>1</v>
      </c>
      <c r="AJ5">
        <v>0</v>
      </c>
      <c r="AK5">
        <v>9</v>
      </c>
      <c r="AL5" t="s">
        <v>174</v>
      </c>
      <c r="AM5" t="s">
        <v>175</v>
      </c>
      <c r="AN5" t="s">
        <v>176</v>
      </c>
      <c r="AO5" t="s">
        <v>177</v>
      </c>
      <c r="AP5" t="s">
        <v>178</v>
      </c>
      <c r="AQ5" t="s">
        <v>74</v>
      </c>
      <c r="AR5" t="s">
        <v>179</v>
      </c>
      <c r="AS5" t="s">
        <v>180</v>
      </c>
      <c r="AT5" t="s">
        <v>98</v>
      </c>
      <c r="AU5">
        <v>2018</v>
      </c>
      <c r="AV5">
        <v>54</v>
      </c>
      <c r="AW5">
        <v>5</v>
      </c>
      <c r="AX5" t="s">
        <v>74</v>
      </c>
      <c r="AY5" t="s">
        <v>74</v>
      </c>
      <c r="AZ5" t="s">
        <v>74</v>
      </c>
      <c r="BA5" t="s">
        <v>74</v>
      </c>
      <c r="BB5">
        <v>489</v>
      </c>
      <c r="BC5">
        <v>499</v>
      </c>
      <c r="BD5" t="s">
        <v>74</v>
      </c>
      <c r="BE5" t="s">
        <v>181</v>
      </c>
      <c r="BF5" t="str">
        <f>HYPERLINK("http://dx.doi.org/10.14770/jgsk.2018.54.5.489","http://dx.doi.org/10.14770/jgsk.2018.54.5.489")</f>
        <v>http://dx.doi.org/10.14770/jgsk.2018.54.5.489</v>
      </c>
      <c r="BG5" t="s">
        <v>74</v>
      </c>
      <c r="BH5" t="s">
        <v>74</v>
      </c>
      <c r="BI5">
        <v>11</v>
      </c>
      <c r="BJ5" t="s">
        <v>182</v>
      </c>
      <c r="BK5" t="s">
        <v>126</v>
      </c>
      <c r="BL5" t="s">
        <v>183</v>
      </c>
      <c r="BM5" t="s">
        <v>184</v>
      </c>
      <c r="BN5" t="s">
        <v>74</v>
      </c>
      <c r="BO5" t="s">
        <v>74</v>
      </c>
      <c r="BP5" t="s">
        <v>74</v>
      </c>
      <c r="BQ5" t="s">
        <v>74</v>
      </c>
      <c r="BR5" t="s">
        <v>104</v>
      </c>
      <c r="BS5" t="s">
        <v>185</v>
      </c>
      <c r="BT5" t="str">
        <f>HYPERLINK("https%3A%2F%2Fwww.webofscience.com%2Fwos%2Fwoscc%2Ffull-record%2FWOS:000454037000002","View Full Record in Web of Science")</f>
        <v>View Full Record in Web of Science</v>
      </c>
    </row>
    <row r="6" spans="1:72" x14ac:dyDescent="0.15">
      <c r="A6" t="s">
        <v>72</v>
      </c>
      <c r="B6" t="s">
        <v>186</v>
      </c>
      <c r="C6" t="s">
        <v>74</v>
      </c>
      <c r="D6" t="s">
        <v>74</v>
      </c>
      <c r="E6" t="s">
        <v>74</v>
      </c>
      <c r="F6" t="s">
        <v>187</v>
      </c>
      <c r="G6" t="s">
        <v>74</v>
      </c>
      <c r="H6" t="s">
        <v>74</v>
      </c>
      <c r="I6" t="s">
        <v>188</v>
      </c>
      <c r="J6" t="s">
        <v>189</v>
      </c>
      <c r="K6" t="s">
        <v>74</v>
      </c>
      <c r="L6" t="s">
        <v>74</v>
      </c>
      <c r="M6" t="s">
        <v>78</v>
      </c>
      <c r="N6" t="s">
        <v>79</v>
      </c>
      <c r="O6" t="s">
        <v>74</v>
      </c>
      <c r="P6" t="s">
        <v>74</v>
      </c>
      <c r="Q6" t="s">
        <v>74</v>
      </c>
      <c r="R6" t="s">
        <v>74</v>
      </c>
      <c r="S6" t="s">
        <v>74</v>
      </c>
      <c r="T6" t="s">
        <v>190</v>
      </c>
      <c r="U6" t="s">
        <v>191</v>
      </c>
      <c r="V6" t="s">
        <v>192</v>
      </c>
      <c r="W6" t="s">
        <v>193</v>
      </c>
      <c r="X6" t="s">
        <v>194</v>
      </c>
      <c r="Y6" t="s">
        <v>195</v>
      </c>
      <c r="Z6" t="s">
        <v>196</v>
      </c>
      <c r="AA6" t="s">
        <v>197</v>
      </c>
      <c r="AB6" t="s">
        <v>198</v>
      </c>
      <c r="AC6" t="s">
        <v>199</v>
      </c>
      <c r="AD6" t="s">
        <v>199</v>
      </c>
      <c r="AE6" t="s">
        <v>200</v>
      </c>
      <c r="AF6" t="s">
        <v>74</v>
      </c>
      <c r="AG6">
        <v>41</v>
      </c>
      <c r="AH6">
        <v>6</v>
      </c>
      <c r="AI6">
        <v>6</v>
      </c>
      <c r="AJ6">
        <v>1</v>
      </c>
      <c r="AK6">
        <v>10</v>
      </c>
      <c r="AL6" t="s">
        <v>201</v>
      </c>
      <c r="AM6" t="s">
        <v>93</v>
      </c>
      <c r="AN6" t="s">
        <v>202</v>
      </c>
      <c r="AO6" t="s">
        <v>203</v>
      </c>
      <c r="AP6" t="s">
        <v>204</v>
      </c>
      <c r="AQ6" t="s">
        <v>74</v>
      </c>
      <c r="AR6" t="s">
        <v>205</v>
      </c>
      <c r="AS6" t="s">
        <v>206</v>
      </c>
      <c r="AT6" t="s">
        <v>98</v>
      </c>
      <c r="AU6">
        <v>2018</v>
      </c>
      <c r="AV6">
        <v>48</v>
      </c>
      <c r="AW6" t="s">
        <v>74</v>
      </c>
      <c r="AX6" t="s">
        <v>74</v>
      </c>
      <c r="AY6" t="s">
        <v>74</v>
      </c>
      <c r="AZ6" t="s">
        <v>74</v>
      </c>
      <c r="BA6" t="s">
        <v>74</v>
      </c>
      <c r="BB6">
        <v>121</v>
      </c>
      <c r="BC6">
        <v>132</v>
      </c>
      <c r="BD6" t="s">
        <v>74</v>
      </c>
      <c r="BE6" t="s">
        <v>207</v>
      </c>
      <c r="BF6" t="str">
        <f>HYPERLINK("http://dx.doi.org/10.1016/j.quageo.2018.09.006","http://dx.doi.org/10.1016/j.quageo.2018.09.006")</f>
        <v>http://dx.doi.org/10.1016/j.quageo.2018.09.006</v>
      </c>
      <c r="BG6" t="s">
        <v>74</v>
      </c>
      <c r="BH6" t="s">
        <v>74</v>
      </c>
      <c r="BI6">
        <v>12</v>
      </c>
      <c r="BJ6" t="s">
        <v>208</v>
      </c>
      <c r="BK6" t="s">
        <v>101</v>
      </c>
      <c r="BL6" t="s">
        <v>209</v>
      </c>
      <c r="BM6" t="s">
        <v>210</v>
      </c>
      <c r="BN6" t="s">
        <v>74</v>
      </c>
      <c r="BO6" t="s">
        <v>211</v>
      </c>
      <c r="BP6" t="s">
        <v>74</v>
      </c>
      <c r="BQ6" t="s">
        <v>74</v>
      </c>
      <c r="BR6" t="s">
        <v>104</v>
      </c>
      <c r="BS6" t="s">
        <v>212</v>
      </c>
      <c r="BT6" t="str">
        <f>HYPERLINK("https%3A%2F%2Fwww.webofscience.com%2Fwos%2Fwoscc%2Ffull-record%2FWOS:000453621600013","View Full Record in Web of Science")</f>
        <v>View Full Record in Web of Science</v>
      </c>
    </row>
    <row r="7" spans="1:72" x14ac:dyDescent="0.15">
      <c r="A7" t="s">
        <v>72</v>
      </c>
      <c r="B7" t="s">
        <v>213</v>
      </c>
      <c r="C7" t="s">
        <v>74</v>
      </c>
      <c r="D7" t="s">
        <v>74</v>
      </c>
      <c r="E7" t="s">
        <v>74</v>
      </c>
      <c r="F7" t="s">
        <v>214</v>
      </c>
      <c r="G7" t="s">
        <v>74</v>
      </c>
      <c r="H7" t="s">
        <v>74</v>
      </c>
      <c r="I7" t="s">
        <v>215</v>
      </c>
      <c r="J7" t="s">
        <v>216</v>
      </c>
      <c r="K7" t="s">
        <v>74</v>
      </c>
      <c r="L7" t="s">
        <v>74</v>
      </c>
      <c r="M7" t="s">
        <v>78</v>
      </c>
      <c r="N7" t="s">
        <v>79</v>
      </c>
      <c r="O7" t="s">
        <v>74</v>
      </c>
      <c r="P7" t="s">
        <v>74</v>
      </c>
      <c r="Q7" t="s">
        <v>74</v>
      </c>
      <c r="R7" t="s">
        <v>74</v>
      </c>
      <c r="S7" t="s">
        <v>74</v>
      </c>
      <c r="T7" t="s">
        <v>217</v>
      </c>
      <c r="U7" t="s">
        <v>218</v>
      </c>
      <c r="V7" t="s">
        <v>219</v>
      </c>
      <c r="W7" t="s">
        <v>220</v>
      </c>
      <c r="X7" t="s">
        <v>221</v>
      </c>
      <c r="Y7" t="s">
        <v>222</v>
      </c>
      <c r="Z7" t="s">
        <v>223</v>
      </c>
      <c r="AA7" t="s">
        <v>224</v>
      </c>
      <c r="AB7" t="s">
        <v>225</v>
      </c>
      <c r="AC7" t="s">
        <v>226</v>
      </c>
      <c r="AD7" t="s">
        <v>227</v>
      </c>
      <c r="AE7" t="s">
        <v>228</v>
      </c>
      <c r="AF7" t="s">
        <v>74</v>
      </c>
      <c r="AG7">
        <v>15</v>
      </c>
      <c r="AH7">
        <v>0</v>
      </c>
      <c r="AI7">
        <v>0</v>
      </c>
      <c r="AJ7">
        <v>0</v>
      </c>
      <c r="AK7">
        <v>1</v>
      </c>
      <c r="AL7" t="s">
        <v>229</v>
      </c>
      <c r="AM7" t="s">
        <v>230</v>
      </c>
      <c r="AN7" t="s">
        <v>231</v>
      </c>
      <c r="AO7" t="s">
        <v>232</v>
      </c>
      <c r="AP7" t="s">
        <v>233</v>
      </c>
      <c r="AQ7" t="s">
        <v>74</v>
      </c>
      <c r="AR7" t="s">
        <v>234</v>
      </c>
      <c r="AS7" t="s">
        <v>235</v>
      </c>
      <c r="AT7" t="s">
        <v>124</v>
      </c>
      <c r="AU7">
        <v>2018</v>
      </c>
      <c r="AV7">
        <v>32</v>
      </c>
      <c r="AW7">
        <v>4</v>
      </c>
      <c r="AX7" t="s">
        <v>74</v>
      </c>
      <c r="AY7" t="s">
        <v>74</v>
      </c>
      <c r="AZ7" t="s">
        <v>74</v>
      </c>
      <c r="BA7" t="s">
        <v>74</v>
      </c>
      <c r="BB7">
        <v>667</v>
      </c>
      <c r="BC7">
        <v>669</v>
      </c>
      <c r="BD7" t="s">
        <v>74</v>
      </c>
      <c r="BE7" t="s">
        <v>236</v>
      </c>
      <c r="BF7" t="str">
        <f>HYPERLINK("http://dx.doi.org/10.1590/0102-33062018abb0002","http://dx.doi.org/10.1590/0102-33062018abb0002")</f>
        <v>http://dx.doi.org/10.1590/0102-33062018abb0002</v>
      </c>
      <c r="BG7" t="s">
        <v>74</v>
      </c>
      <c r="BH7" t="s">
        <v>74</v>
      </c>
      <c r="BI7">
        <v>3</v>
      </c>
      <c r="BJ7" t="s">
        <v>237</v>
      </c>
      <c r="BK7" t="s">
        <v>101</v>
      </c>
      <c r="BL7" t="s">
        <v>237</v>
      </c>
      <c r="BM7" t="s">
        <v>238</v>
      </c>
      <c r="BN7" t="s">
        <v>74</v>
      </c>
      <c r="BO7" t="s">
        <v>239</v>
      </c>
      <c r="BP7" t="s">
        <v>74</v>
      </c>
      <c r="BQ7" t="s">
        <v>74</v>
      </c>
      <c r="BR7" t="s">
        <v>104</v>
      </c>
      <c r="BS7" t="s">
        <v>240</v>
      </c>
      <c r="BT7" t="str">
        <f>HYPERLINK("https%3A%2F%2Fwww.webofscience.com%2Fwos%2Fwoscc%2Ffull-record%2FWOS:000444724500018","View Full Record in Web of Science")</f>
        <v>View Full Record in Web of Science</v>
      </c>
    </row>
    <row r="8" spans="1:72" x14ac:dyDescent="0.15">
      <c r="A8" t="s">
        <v>72</v>
      </c>
      <c r="B8" t="s">
        <v>241</v>
      </c>
      <c r="C8" t="s">
        <v>74</v>
      </c>
      <c r="D8" t="s">
        <v>74</v>
      </c>
      <c r="E8" t="s">
        <v>74</v>
      </c>
      <c r="F8" t="s">
        <v>242</v>
      </c>
      <c r="G8" t="s">
        <v>74</v>
      </c>
      <c r="H8" t="s">
        <v>74</v>
      </c>
      <c r="I8" t="s">
        <v>243</v>
      </c>
      <c r="J8" t="s">
        <v>244</v>
      </c>
      <c r="K8" t="s">
        <v>74</v>
      </c>
      <c r="L8" t="s">
        <v>74</v>
      </c>
      <c r="M8" t="s">
        <v>78</v>
      </c>
      <c r="N8" t="s">
        <v>79</v>
      </c>
      <c r="O8" t="s">
        <v>74</v>
      </c>
      <c r="P8" t="s">
        <v>74</v>
      </c>
      <c r="Q8" t="s">
        <v>74</v>
      </c>
      <c r="R8" t="s">
        <v>74</v>
      </c>
      <c r="S8" t="s">
        <v>74</v>
      </c>
      <c r="T8" t="s">
        <v>245</v>
      </c>
      <c r="U8" t="s">
        <v>246</v>
      </c>
      <c r="V8" t="s">
        <v>247</v>
      </c>
      <c r="W8" t="s">
        <v>248</v>
      </c>
      <c r="X8" t="s">
        <v>249</v>
      </c>
      <c r="Y8" t="s">
        <v>250</v>
      </c>
      <c r="Z8" t="s">
        <v>251</v>
      </c>
      <c r="AA8" t="s">
        <v>252</v>
      </c>
      <c r="AB8" t="s">
        <v>253</v>
      </c>
      <c r="AC8" t="s">
        <v>254</v>
      </c>
      <c r="AD8" t="s">
        <v>255</v>
      </c>
      <c r="AE8" t="s">
        <v>256</v>
      </c>
      <c r="AF8" t="s">
        <v>74</v>
      </c>
      <c r="AG8">
        <v>44</v>
      </c>
      <c r="AH8">
        <v>4</v>
      </c>
      <c r="AI8">
        <v>4</v>
      </c>
      <c r="AJ8">
        <v>1</v>
      </c>
      <c r="AK8">
        <v>8</v>
      </c>
      <c r="AL8" t="s">
        <v>257</v>
      </c>
      <c r="AM8" t="s">
        <v>258</v>
      </c>
      <c r="AN8" t="s">
        <v>259</v>
      </c>
      <c r="AO8" t="s">
        <v>260</v>
      </c>
      <c r="AP8" t="s">
        <v>261</v>
      </c>
      <c r="AQ8" t="s">
        <v>74</v>
      </c>
      <c r="AR8" t="s">
        <v>262</v>
      </c>
      <c r="AS8" t="s">
        <v>263</v>
      </c>
      <c r="AT8" t="s">
        <v>98</v>
      </c>
      <c r="AU8">
        <v>2018</v>
      </c>
      <c r="AV8">
        <v>30</v>
      </c>
      <c r="AW8">
        <v>5</v>
      </c>
      <c r="AX8" t="s">
        <v>74</v>
      </c>
      <c r="AY8" t="s">
        <v>74</v>
      </c>
      <c r="AZ8" t="s">
        <v>74</v>
      </c>
      <c r="BA8" t="s">
        <v>74</v>
      </c>
      <c r="BB8">
        <v>271</v>
      </c>
      <c r="BC8">
        <v>277</v>
      </c>
      <c r="BD8" t="s">
        <v>74</v>
      </c>
      <c r="BE8" t="s">
        <v>264</v>
      </c>
      <c r="BF8" t="str">
        <f>HYPERLINK("http://dx.doi.org/10.1017/S0954102018000238","http://dx.doi.org/10.1017/S0954102018000238")</f>
        <v>http://dx.doi.org/10.1017/S0954102018000238</v>
      </c>
      <c r="BG8" t="s">
        <v>74</v>
      </c>
      <c r="BH8" t="s">
        <v>74</v>
      </c>
      <c r="BI8">
        <v>7</v>
      </c>
      <c r="BJ8" t="s">
        <v>265</v>
      </c>
      <c r="BK8" t="s">
        <v>101</v>
      </c>
      <c r="BL8" t="s">
        <v>266</v>
      </c>
      <c r="BM8" t="s">
        <v>267</v>
      </c>
      <c r="BN8" t="s">
        <v>74</v>
      </c>
      <c r="BO8" t="s">
        <v>74</v>
      </c>
      <c r="BP8" t="s">
        <v>74</v>
      </c>
      <c r="BQ8" t="s">
        <v>74</v>
      </c>
      <c r="BR8" t="s">
        <v>104</v>
      </c>
      <c r="BS8" t="s">
        <v>268</v>
      </c>
      <c r="BT8" t="str">
        <f>HYPERLINK("https%3A%2F%2Fwww.webofscience.com%2Fwos%2Fwoscc%2Ffull-record%2FWOS:000446442500002","View Full Record in Web of Science")</f>
        <v>View Full Record in Web of Science</v>
      </c>
    </row>
    <row r="9" spans="1:72" x14ac:dyDescent="0.15">
      <c r="A9" t="s">
        <v>72</v>
      </c>
      <c r="B9" t="s">
        <v>269</v>
      </c>
      <c r="C9" t="s">
        <v>74</v>
      </c>
      <c r="D9" t="s">
        <v>74</v>
      </c>
      <c r="E9" t="s">
        <v>74</v>
      </c>
      <c r="F9" t="s">
        <v>270</v>
      </c>
      <c r="G9" t="s">
        <v>74</v>
      </c>
      <c r="H9" t="s">
        <v>74</v>
      </c>
      <c r="I9" t="s">
        <v>271</v>
      </c>
      <c r="J9" t="s">
        <v>272</v>
      </c>
      <c r="K9" t="s">
        <v>74</v>
      </c>
      <c r="L9" t="s">
        <v>74</v>
      </c>
      <c r="M9" t="s">
        <v>78</v>
      </c>
      <c r="N9" t="s">
        <v>273</v>
      </c>
      <c r="O9" t="s">
        <v>74</v>
      </c>
      <c r="P9" t="s">
        <v>74</v>
      </c>
      <c r="Q9" t="s">
        <v>74</v>
      </c>
      <c r="R9" t="s">
        <v>74</v>
      </c>
      <c r="S9" t="s">
        <v>74</v>
      </c>
      <c r="T9" t="s">
        <v>274</v>
      </c>
      <c r="U9" t="s">
        <v>275</v>
      </c>
      <c r="V9" t="s">
        <v>276</v>
      </c>
      <c r="W9" t="s">
        <v>277</v>
      </c>
      <c r="X9" t="s">
        <v>278</v>
      </c>
      <c r="Y9" t="s">
        <v>279</v>
      </c>
      <c r="Z9" t="s">
        <v>280</v>
      </c>
      <c r="AA9" t="s">
        <v>74</v>
      </c>
      <c r="AB9" t="s">
        <v>281</v>
      </c>
      <c r="AC9" t="s">
        <v>282</v>
      </c>
      <c r="AD9" t="s">
        <v>283</v>
      </c>
      <c r="AE9" t="s">
        <v>284</v>
      </c>
      <c r="AF9" t="s">
        <v>74</v>
      </c>
      <c r="AG9">
        <v>39</v>
      </c>
      <c r="AH9">
        <v>28</v>
      </c>
      <c r="AI9">
        <v>30</v>
      </c>
      <c r="AJ9">
        <v>1</v>
      </c>
      <c r="AK9">
        <v>27</v>
      </c>
      <c r="AL9" t="s">
        <v>285</v>
      </c>
      <c r="AM9" t="s">
        <v>286</v>
      </c>
      <c r="AN9" t="s">
        <v>287</v>
      </c>
      <c r="AO9" t="s">
        <v>288</v>
      </c>
      <c r="AP9" t="s">
        <v>289</v>
      </c>
      <c r="AQ9" t="s">
        <v>74</v>
      </c>
      <c r="AR9" t="s">
        <v>272</v>
      </c>
      <c r="AS9" t="s">
        <v>290</v>
      </c>
      <c r="AT9" t="s">
        <v>291</v>
      </c>
      <c r="AU9">
        <v>2018</v>
      </c>
      <c r="AV9">
        <v>495</v>
      </c>
      <c r="AW9" t="s">
        <v>74</v>
      </c>
      <c r="AX9" t="s">
        <v>74</v>
      </c>
      <c r="AY9" t="s">
        <v>74</v>
      </c>
      <c r="AZ9" t="s">
        <v>74</v>
      </c>
      <c r="BA9" t="s">
        <v>74</v>
      </c>
      <c r="BB9">
        <v>179</v>
      </c>
      <c r="BC9">
        <v>186</v>
      </c>
      <c r="BD9" t="s">
        <v>74</v>
      </c>
      <c r="BE9" t="s">
        <v>292</v>
      </c>
      <c r="BF9" t="str">
        <f>HYPERLINK("http://dx.doi.org/10.1016/j.aquaculture.2018.05.019","http://dx.doi.org/10.1016/j.aquaculture.2018.05.019")</f>
        <v>http://dx.doi.org/10.1016/j.aquaculture.2018.05.019</v>
      </c>
      <c r="BG9" t="s">
        <v>74</v>
      </c>
      <c r="BH9" t="s">
        <v>74</v>
      </c>
      <c r="BI9">
        <v>8</v>
      </c>
      <c r="BJ9" t="s">
        <v>293</v>
      </c>
      <c r="BK9" t="s">
        <v>101</v>
      </c>
      <c r="BL9" t="s">
        <v>293</v>
      </c>
      <c r="BM9" t="s">
        <v>294</v>
      </c>
      <c r="BN9" t="s">
        <v>74</v>
      </c>
      <c r="BO9" t="s">
        <v>74</v>
      </c>
      <c r="BP9" t="s">
        <v>74</v>
      </c>
      <c r="BQ9" t="s">
        <v>74</v>
      </c>
      <c r="BR9" t="s">
        <v>104</v>
      </c>
      <c r="BS9" t="s">
        <v>295</v>
      </c>
      <c r="BT9" t="str">
        <f>HYPERLINK("https%3A%2F%2Fwww.webofscience.com%2Fwos%2Fwoscc%2Ffull-record%2FWOS:000439123500021","View Full Record in Web of Science")</f>
        <v>View Full Record in Web of Science</v>
      </c>
    </row>
    <row r="10" spans="1:72" x14ac:dyDescent="0.15">
      <c r="A10" t="s">
        <v>72</v>
      </c>
      <c r="B10" t="s">
        <v>296</v>
      </c>
      <c r="C10" t="s">
        <v>74</v>
      </c>
      <c r="D10" t="s">
        <v>74</v>
      </c>
      <c r="E10" t="s">
        <v>74</v>
      </c>
      <c r="F10" t="s">
        <v>297</v>
      </c>
      <c r="G10" t="s">
        <v>74</v>
      </c>
      <c r="H10" t="s">
        <v>74</v>
      </c>
      <c r="I10" t="s">
        <v>298</v>
      </c>
      <c r="J10" t="s">
        <v>299</v>
      </c>
      <c r="K10" t="s">
        <v>74</v>
      </c>
      <c r="L10" t="s">
        <v>74</v>
      </c>
      <c r="M10" t="s">
        <v>78</v>
      </c>
      <c r="N10" t="s">
        <v>79</v>
      </c>
      <c r="O10" t="s">
        <v>74</v>
      </c>
      <c r="P10" t="s">
        <v>74</v>
      </c>
      <c r="Q10" t="s">
        <v>74</v>
      </c>
      <c r="R10" t="s">
        <v>74</v>
      </c>
      <c r="S10" t="s">
        <v>74</v>
      </c>
      <c r="T10" t="s">
        <v>300</v>
      </c>
      <c r="U10" t="s">
        <v>301</v>
      </c>
      <c r="V10" t="s">
        <v>302</v>
      </c>
      <c r="W10" t="s">
        <v>303</v>
      </c>
      <c r="X10" t="s">
        <v>304</v>
      </c>
      <c r="Y10" t="s">
        <v>305</v>
      </c>
      <c r="Z10" t="s">
        <v>306</v>
      </c>
      <c r="AA10" t="s">
        <v>307</v>
      </c>
      <c r="AB10" t="s">
        <v>308</v>
      </c>
      <c r="AC10" t="s">
        <v>309</v>
      </c>
      <c r="AD10" t="s">
        <v>310</v>
      </c>
      <c r="AE10" t="s">
        <v>311</v>
      </c>
      <c r="AF10" t="s">
        <v>74</v>
      </c>
      <c r="AG10">
        <v>42</v>
      </c>
      <c r="AH10">
        <v>17</v>
      </c>
      <c r="AI10">
        <v>17</v>
      </c>
      <c r="AJ10">
        <v>7</v>
      </c>
      <c r="AK10">
        <v>89</v>
      </c>
      <c r="AL10" t="s">
        <v>149</v>
      </c>
      <c r="AM10" t="s">
        <v>93</v>
      </c>
      <c r="AN10" t="s">
        <v>150</v>
      </c>
      <c r="AO10" t="s">
        <v>312</v>
      </c>
      <c r="AP10" t="s">
        <v>313</v>
      </c>
      <c r="AQ10" t="s">
        <v>74</v>
      </c>
      <c r="AR10" t="s">
        <v>314</v>
      </c>
      <c r="AS10" t="s">
        <v>315</v>
      </c>
      <c r="AT10" t="s">
        <v>98</v>
      </c>
      <c r="AU10">
        <v>2018</v>
      </c>
      <c r="AV10">
        <v>191</v>
      </c>
      <c r="AW10" t="s">
        <v>74</v>
      </c>
      <c r="AX10" t="s">
        <v>74</v>
      </c>
      <c r="AY10" t="s">
        <v>74</v>
      </c>
      <c r="AZ10" t="s">
        <v>74</v>
      </c>
      <c r="BA10" t="s">
        <v>74</v>
      </c>
      <c r="BB10">
        <v>432</v>
      </c>
      <c r="BC10">
        <v>439</v>
      </c>
      <c r="BD10" t="s">
        <v>74</v>
      </c>
      <c r="BE10" t="s">
        <v>316</v>
      </c>
      <c r="BF10" t="str">
        <f>HYPERLINK("http://dx.doi.org/10.1016/j.atmosenv.2018.08.036","http://dx.doi.org/10.1016/j.atmosenv.2018.08.036")</f>
        <v>http://dx.doi.org/10.1016/j.atmosenv.2018.08.036</v>
      </c>
      <c r="BG10" t="s">
        <v>74</v>
      </c>
      <c r="BH10" t="s">
        <v>74</v>
      </c>
      <c r="BI10">
        <v>8</v>
      </c>
      <c r="BJ10" t="s">
        <v>317</v>
      </c>
      <c r="BK10" t="s">
        <v>101</v>
      </c>
      <c r="BL10" t="s">
        <v>318</v>
      </c>
      <c r="BM10" t="s">
        <v>319</v>
      </c>
      <c r="BN10" t="s">
        <v>74</v>
      </c>
      <c r="BO10" t="s">
        <v>74</v>
      </c>
      <c r="BP10" t="s">
        <v>74</v>
      </c>
      <c r="BQ10" t="s">
        <v>74</v>
      </c>
      <c r="BR10" t="s">
        <v>104</v>
      </c>
      <c r="BS10" t="s">
        <v>320</v>
      </c>
      <c r="BT10" t="str">
        <f>HYPERLINK("https%3A%2F%2Fwww.webofscience.com%2Fwos%2Fwoscc%2Ffull-record%2FWOS:000447579800044","View Full Record in Web of Science")</f>
        <v>View Full Record in Web of Science</v>
      </c>
    </row>
    <row r="11" spans="1:72" x14ac:dyDescent="0.15">
      <c r="A11" t="s">
        <v>72</v>
      </c>
      <c r="B11" t="s">
        <v>321</v>
      </c>
      <c r="C11" t="s">
        <v>74</v>
      </c>
      <c r="D11" t="s">
        <v>74</v>
      </c>
      <c r="E11" t="s">
        <v>74</v>
      </c>
      <c r="F11" t="s">
        <v>322</v>
      </c>
      <c r="G11" t="s">
        <v>74</v>
      </c>
      <c r="H11" t="s">
        <v>74</v>
      </c>
      <c r="I11" t="s">
        <v>323</v>
      </c>
      <c r="J11" t="s">
        <v>324</v>
      </c>
      <c r="K11" t="s">
        <v>74</v>
      </c>
      <c r="L11" t="s">
        <v>74</v>
      </c>
      <c r="M11" t="s">
        <v>78</v>
      </c>
      <c r="N11" t="s">
        <v>79</v>
      </c>
      <c r="O11" t="s">
        <v>74</v>
      </c>
      <c r="P11" t="s">
        <v>74</v>
      </c>
      <c r="Q11" t="s">
        <v>74</v>
      </c>
      <c r="R11" t="s">
        <v>74</v>
      </c>
      <c r="S11" t="s">
        <v>74</v>
      </c>
      <c r="T11" t="s">
        <v>325</v>
      </c>
      <c r="U11" t="s">
        <v>326</v>
      </c>
      <c r="V11" t="s">
        <v>327</v>
      </c>
      <c r="W11" t="s">
        <v>328</v>
      </c>
      <c r="X11" t="s">
        <v>329</v>
      </c>
      <c r="Y11" t="s">
        <v>330</v>
      </c>
      <c r="Z11" t="s">
        <v>331</v>
      </c>
      <c r="AA11" t="s">
        <v>332</v>
      </c>
      <c r="AB11" t="s">
        <v>333</v>
      </c>
      <c r="AC11" t="s">
        <v>334</v>
      </c>
      <c r="AD11" t="s">
        <v>335</v>
      </c>
      <c r="AE11" t="s">
        <v>336</v>
      </c>
      <c r="AF11" t="s">
        <v>74</v>
      </c>
      <c r="AG11">
        <v>45</v>
      </c>
      <c r="AH11">
        <v>21</v>
      </c>
      <c r="AI11">
        <v>21</v>
      </c>
      <c r="AJ11">
        <v>0</v>
      </c>
      <c r="AK11">
        <v>26</v>
      </c>
      <c r="AL11" t="s">
        <v>337</v>
      </c>
      <c r="AM11" t="s">
        <v>258</v>
      </c>
      <c r="AN11" t="s">
        <v>338</v>
      </c>
      <c r="AO11" t="s">
        <v>339</v>
      </c>
      <c r="AP11" t="s">
        <v>340</v>
      </c>
      <c r="AQ11" t="s">
        <v>74</v>
      </c>
      <c r="AR11" t="s">
        <v>341</v>
      </c>
      <c r="AS11" t="s">
        <v>342</v>
      </c>
      <c r="AT11" t="s">
        <v>124</v>
      </c>
      <c r="AU11">
        <v>2018</v>
      </c>
      <c r="AV11">
        <v>49</v>
      </c>
      <c r="AW11">
        <v>4</v>
      </c>
      <c r="AX11" t="s">
        <v>74</v>
      </c>
      <c r="AY11" t="s">
        <v>74</v>
      </c>
      <c r="AZ11" t="s">
        <v>74</v>
      </c>
      <c r="BA11" t="s">
        <v>74</v>
      </c>
      <c r="BB11">
        <v>695</v>
      </c>
      <c r="BC11">
        <v>702</v>
      </c>
      <c r="BD11" t="s">
        <v>74</v>
      </c>
      <c r="BE11" t="s">
        <v>343</v>
      </c>
      <c r="BF11" t="str">
        <f>HYPERLINK("http://dx.doi.org/10.1016/j.bjm.2018.02.005","http://dx.doi.org/10.1016/j.bjm.2018.02.005")</f>
        <v>http://dx.doi.org/10.1016/j.bjm.2018.02.005</v>
      </c>
      <c r="BG11" t="s">
        <v>74</v>
      </c>
      <c r="BH11" t="s">
        <v>74</v>
      </c>
      <c r="BI11">
        <v>8</v>
      </c>
      <c r="BJ11" t="s">
        <v>344</v>
      </c>
      <c r="BK11" t="s">
        <v>101</v>
      </c>
      <c r="BL11" t="s">
        <v>344</v>
      </c>
      <c r="BM11" t="s">
        <v>345</v>
      </c>
      <c r="BN11">
        <v>29598976</v>
      </c>
      <c r="BO11" t="s">
        <v>346</v>
      </c>
      <c r="BP11" t="s">
        <v>74</v>
      </c>
      <c r="BQ11" t="s">
        <v>74</v>
      </c>
      <c r="BR11" t="s">
        <v>104</v>
      </c>
      <c r="BS11" t="s">
        <v>347</v>
      </c>
      <c r="BT11" t="str">
        <f>HYPERLINK("https%3A%2F%2Fwww.webofscience.com%2Fwos%2Fwoscc%2Ffull-record%2FWOS:000447893000002","View Full Record in Web of Science")</f>
        <v>View Full Record in Web of Science</v>
      </c>
    </row>
    <row r="12" spans="1:72" x14ac:dyDescent="0.15">
      <c r="A12" t="s">
        <v>72</v>
      </c>
      <c r="B12" t="s">
        <v>348</v>
      </c>
      <c r="C12" t="s">
        <v>74</v>
      </c>
      <c r="D12" t="s">
        <v>74</v>
      </c>
      <c r="E12" t="s">
        <v>74</v>
      </c>
      <c r="F12" t="s">
        <v>349</v>
      </c>
      <c r="G12" t="s">
        <v>74</v>
      </c>
      <c r="H12" t="s">
        <v>74</v>
      </c>
      <c r="I12" t="s">
        <v>350</v>
      </c>
      <c r="J12" t="s">
        <v>351</v>
      </c>
      <c r="K12" t="s">
        <v>74</v>
      </c>
      <c r="L12" t="s">
        <v>74</v>
      </c>
      <c r="M12" t="s">
        <v>78</v>
      </c>
      <c r="N12" t="s">
        <v>79</v>
      </c>
      <c r="O12" t="s">
        <v>74</v>
      </c>
      <c r="P12" t="s">
        <v>74</v>
      </c>
      <c r="Q12" t="s">
        <v>74</v>
      </c>
      <c r="R12" t="s">
        <v>74</v>
      </c>
      <c r="S12" t="s">
        <v>74</v>
      </c>
      <c r="T12" t="s">
        <v>352</v>
      </c>
      <c r="U12" t="s">
        <v>353</v>
      </c>
      <c r="V12" t="s">
        <v>354</v>
      </c>
      <c r="W12" t="s">
        <v>355</v>
      </c>
      <c r="X12" t="s">
        <v>356</v>
      </c>
      <c r="Y12" t="s">
        <v>357</v>
      </c>
      <c r="Z12" t="s">
        <v>358</v>
      </c>
      <c r="AA12" t="s">
        <v>359</v>
      </c>
      <c r="AB12" t="s">
        <v>74</v>
      </c>
      <c r="AC12" t="s">
        <v>360</v>
      </c>
      <c r="AD12" t="s">
        <v>361</v>
      </c>
      <c r="AE12" t="s">
        <v>362</v>
      </c>
      <c r="AF12" t="s">
        <v>74</v>
      </c>
      <c r="AG12">
        <v>59</v>
      </c>
      <c r="AH12">
        <v>20</v>
      </c>
      <c r="AI12">
        <v>25</v>
      </c>
      <c r="AJ12">
        <v>3</v>
      </c>
      <c r="AK12">
        <v>42</v>
      </c>
      <c r="AL12" t="s">
        <v>337</v>
      </c>
      <c r="AM12" t="s">
        <v>258</v>
      </c>
      <c r="AN12" t="s">
        <v>338</v>
      </c>
      <c r="AO12" t="s">
        <v>363</v>
      </c>
      <c r="AP12" t="s">
        <v>364</v>
      </c>
      <c r="AQ12" t="s">
        <v>74</v>
      </c>
      <c r="AR12" t="s">
        <v>365</v>
      </c>
      <c r="AS12" t="s">
        <v>366</v>
      </c>
      <c r="AT12" t="s">
        <v>98</v>
      </c>
      <c r="AU12">
        <v>2018</v>
      </c>
      <c r="AV12">
        <v>51</v>
      </c>
      <c r="AW12" t="s">
        <v>367</v>
      </c>
      <c r="AX12" t="s">
        <v>74</v>
      </c>
      <c r="AY12" t="s">
        <v>74</v>
      </c>
      <c r="AZ12" t="s">
        <v>74</v>
      </c>
      <c r="BA12" t="s">
        <v>74</v>
      </c>
      <c r="BB12">
        <v>2793</v>
      </c>
      <c r="BC12">
        <v>2805</v>
      </c>
      <c r="BD12" t="s">
        <v>74</v>
      </c>
      <c r="BE12" t="s">
        <v>368</v>
      </c>
      <c r="BF12" t="str">
        <f>HYPERLINK("http://dx.doi.org/10.1007/s00382-017-4045-7","http://dx.doi.org/10.1007/s00382-017-4045-7")</f>
        <v>http://dx.doi.org/10.1007/s00382-017-4045-7</v>
      </c>
      <c r="BG12" t="s">
        <v>74</v>
      </c>
      <c r="BH12" t="s">
        <v>74</v>
      </c>
      <c r="BI12">
        <v>13</v>
      </c>
      <c r="BJ12" t="s">
        <v>369</v>
      </c>
      <c r="BK12" t="s">
        <v>101</v>
      </c>
      <c r="BL12" t="s">
        <v>369</v>
      </c>
      <c r="BM12" t="s">
        <v>370</v>
      </c>
      <c r="BN12" t="s">
        <v>74</v>
      </c>
      <c r="BO12" t="s">
        <v>74</v>
      </c>
      <c r="BP12" t="s">
        <v>74</v>
      </c>
      <c r="BQ12" t="s">
        <v>74</v>
      </c>
      <c r="BR12" t="s">
        <v>104</v>
      </c>
      <c r="BS12" t="s">
        <v>371</v>
      </c>
      <c r="BT12" t="str">
        <f>HYPERLINK("https%3A%2F%2Fwww.webofscience.com%2Fwos%2Fwoscc%2Ffull-record%2FWOS:000444947600024","View Full Record in Web of Science")</f>
        <v>View Full Record in Web of Science</v>
      </c>
    </row>
    <row r="13" spans="1:72" x14ac:dyDescent="0.15">
      <c r="A13" t="s">
        <v>72</v>
      </c>
      <c r="B13" t="s">
        <v>372</v>
      </c>
      <c r="C13" t="s">
        <v>74</v>
      </c>
      <c r="D13" t="s">
        <v>74</v>
      </c>
      <c r="E13" t="s">
        <v>74</v>
      </c>
      <c r="F13" t="s">
        <v>373</v>
      </c>
      <c r="G13" t="s">
        <v>74</v>
      </c>
      <c r="H13" t="s">
        <v>74</v>
      </c>
      <c r="I13" t="s">
        <v>374</v>
      </c>
      <c r="J13" t="s">
        <v>351</v>
      </c>
      <c r="K13" t="s">
        <v>74</v>
      </c>
      <c r="L13" t="s">
        <v>74</v>
      </c>
      <c r="M13" t="s">
        <v>78</v>
      </c>
      <c r="N13" t="s">
        <v>79</v>
      </c>
      <c r="O13" t="s">
        <v>74</v>
      </c>
      <c r="P13" t="s">
        <v>74</v>
      </c>
      <c r="Q13" t="s">
        <v>74</v>
      </c>
      <c r="R13" t="s">
        <v>74</v>
      </c>
      <c r="S13" t="s">
        <v>74</v>
      </c>
      <c r="T13" t="s">
        <v>375</v>
      </c>
      <c r="U13" t="s">
        <v>376</v>
      </c>
      <c r="V13" t="s">
        <v>377</v>
      </c>
      <c r="W13" t="s">
        <v>378</v>
      </c>
      <c r="X13" t="s">
        <v>379</v>
      </c>
      <c r="Y13" t="s">
        <v>380</v>
      </c>
      <c r="Z13" t="s">
        <v>381</v>
      </c>
      <c r="AA13" t="s">
        <v>382</v>
      </c>
      <c r="AB13" t="s">
        <v>383</v>
      </c>
      <c r="AC13" t="s">
        <v>384</v>
      </c>
      <c r="AD13" t="s">
        <v>385</v>
      </c>
      <c r="AE13" t="s">
        <v>386</v>
      </c>
      <c r="AF13" t="s">
        <v>74</v>
      </c>
      <c r="AG13">
        <v>82</v>
      </c>
      <c r="AH13">
        <v>7</v>
      </c>
      <c r="AI13">
        <v>10</v>
      </c>
      <c r="AJ13">
        <v>3</v>
      </c>
      <c r="AK13">
        <v>50</v>
      </c>
      <c r="AL13" t="s">
        <v>337</v>
      </c>
      <c r="AM13" t="s">
        <v>258</v>
      </c>
      <c r="AN13" t="s">
        <v>387</v>
      </c>
      <c r="AO13" t="s">
        <v>363</v>
      </c>
      <c r="AP13" t="s">
        <v>364</v>
      </c>
      <c r="AQ13" t="s">
        <v>74</v>
      </c>
      <c r="AR13" t="s">
        <v>365</v>
      </c>
      <c r="AS13" t="s">
        <v>366</v>
      </c>
      <c r="AT13" t="s">
        <v>98</v>
      </c>
      <c r="AU13">
        <v>2018</v>
      </c>
      <c r="AV13">
        <v>51</v>
      </c>
      <c r="AW13" t="s">
        <v>367</v>
      </c>
      <c r="AX13" t="s">
        <v>74</v>
      </c>
      <c r="AY13" t="s">
        <v>74</v>
      </c>
      <c r="AZ13" t="s">
        <v>74</v>
      </c>
      <c r="BA13" t="s">
        <v>74</v>
      </c>
      <c r="BB13">
        <v>2989</v>
      </c>
      <c r="BC13">
        <v>3008</v>
      </c>
      <c r="BD13" t="s">
        <v>74</v>
      </c>
      <c r="BE13" t="s">
        <v>388</v>
      </c>
      <c r="BF13" t="str">
        <f>HYPERLINK("http://dx.doi.org/10.1007/s00382-017-4060-8","http://dx.doi.org/10.1007/s00382-017-4060-8")</f>
        <v>http://dx.doi.org/10.1007/s00382-017-4060-8</v>
      </c>
      <c r="BG13" t="s">
        <v>74</v>
      </c>
      <c r="BH13" t="s">
        <v>74</v>
      </c>
      <c r="BI13">
        <v>20</v>
      </c>
      <c r="BJ13" t="s">
        <v>369</v>
      </c>
      <c r="BK13" t="s">
        <v>101</v>
      </c>
      <c r="BL13" t="s">
        <v>369</v>
      </c>
      <c r="BM13" t="s">
        <v>370</v>
      </c>
      <c r="BN13" t="s">
        <v>74</v>
      </c>
      <c r="BO13" t="s">
        <v>74</v>
      </c>
      <c r="BP13" t="s">
        <v>74</v>
      </c>
      <c r="BQ13" t="s">
        <v>74</v>
      </c>
      <c r="BR13" t="s">
        <v>104</v>
      </c>
      <c r="BS13" t="s">
        <v>389</v>
      </c>
      <c r="BT13" t="str">
        <f>HYPERLINK("https%3A%2F%2Fwww.webofscience.com%2Fwos%2Fwoscc%2Ffull-record%2FWOS:000444947600035","View Full Record in Web of Science")</f>
        <v>View Full Record in Web of Science</v>
      </c>
    </row>
    <row r="14" spans="1:72" x14ac:dyDescent="0.15">
      <c r="A14" t="s">
        <v>72</v>
      </c>
      <c r="B14" t="s">
        <v>390</v>
      </c>
      <c r="C14" t="s">
        <v>74</v>
      </c>
      <c r="D14" t="s">
        <v>74</v>
      </c>
      <c r="E14" t="s">
        <v>74</v>
      </c>
      <c r="F14" t="s">
        <v>391</v>
      </c>
      <c r="G14" t="s">
        <v>74</v>
      </c>
      <c r="H14" t="s">
        <v>74</v>
      </c>
      <c r="I14" t="s">
        <v>392</v>
      </c>
      <c r="J14" t="s">
        <v>393</v>
      </c>
      <c r="K14" t="s">
        <v>74</v>
      </c>
      <c r="L14" t="s">
        <v>74</v>
      </c>
      <c r="M14" t="s">
        <v>78</v>
      </c>
      <c r="N14" t="s">
        <v>79</v>
      </c>
      <c r="O14" t="s">
        <v>74</v>
      </c>
      <c r="P14" t="s">
        <v>74</v>
      </c>
      <c r="Q14" t="s">
        <v>74</v>
      </c>
      <c r="R14" t="s">
        <v>74</v>
      </c>
      <c r="S14" t="s">
        <v>74</v>
      </c>
      <c r="T14" t="s">
        <v>394</v>
      </c>
      <c r="U14" t="s">
        <v>395</v>
      </c>
      <c r="V14" t="s">
        <v>396</v>
      </c>
      <c r="W14" t="s">
        <v>397</v>
      </c>
      <c r="X14" t="s">
        <v>398</v>
      </c>
      <c r="Y14" t="s">
        <v>399</v>
      </c>
      <c r="Z14" t="s">
        <v>400</v>
      </c>
      <c r="AA14" t="s">
        <v>74</v>
      </c>
      <c r="AB14" t="s">
        <v>74</v>
      </c>
      <c r="AC14" t="s">
        <v>401</v>
      </c>
      <c r="AD14" t="s">
        <v>402</v>
      </c>
      <c r="AE14" t="s">
        <v>403</v>
      </c>
      <c r="AF14" t="s">
        <v>74</v>
      </c>
      <c r="AG14">
        <v>69</v>
      </c>
      <c r="AH14">
        <v>8</v>
      </c>
      <c r="AI14">
        <v>10</v>
      </c>
      <c r="AJ14">
        <v>0</v>
      </c>
      <c r="AK14">
        <v>27</v>
      </c>
      <c r="AL14" t="s">
        <v>404</v>
      </c>
      <c r="AM14" t="s">
        <v>258</v>
      </c>
      <c r="AN14" t="s">
        <v>405</v>
      </c>
      <c r="AO14" t="s">
        <v>406</v>
      </c>
      <c r="AP14" t="s">
        <v>407</v>
      </c>
      <c r="AQ14" t="s">
        <v>74</v>
      </c>
      <c r="AR14" t="s">
        <v>408</v>
      </c>
      <c r="AS14" t="s">
        <v>409</v>
      </c>
      <c r="AT14" t="s">
        <v>98</v>
      </c>
      <c r="AU14">
        <v>2018</v>
      </c>
      <c r="AV14">
        <v>224</v>
      </c>
      <c r="AW14" t="s">
        <v>74</v>
      </c>
      <c r="AX14" t="s">
        <v>74</v>
      </c>
      <c r="AY14" t="s">
        <v>74</v>
      </c>
      <c r="AZ14" t="s">
        <v>74</v>
      </c>
      <c r="BA14" t="s">
        <v>74</v>
      </c>
      <c r="BB14">
        <v>76</v>
      </c>
      <c r="BC14">
        <v>83</v>
      </c>
      <c r="BD14" t="s">
        <v>74</v>
      </c>
      <c r="BE14" t="s">
        <v>410</v>
      </c>
      <c r="BF14" t="str">
        <f>HYPERLINK("http://dx.doi.org/10.1016/j.cbpa.2018.06.018","http://dx.doi.org/10.1016/j.cbpa.2018.06.018")</f>
        <v>http://dx.doi.org/10.1016/j.cbpa.2018.06.018</v>
      </c>
      <c r="BG14" t="s">
        <v>74</v>
      </c>
      <c r="BH14" t="s">
        <v>74</v>
      </c>
      <c r="BI14">
        <v>8</v>
      </c>
      <c r="BJ14" t="s">
        <v>411</v>
      </c>
      <c r="BK14" t="s">
        <v>101</v>
      </c>
      <c r="BL14" t="s">
        <v>411</v>
      </c>
      <c r="BM14" t="s">
        <v>412</v>
      </c>
      <c r="BN14">
        <v>29953949</v>
      </c>
      <c r="BO14" t="s">
        <v>74</v>
      </c>
      <c r="BP14" t="s">
        <v>74</v>
      </c>
      <c r="BQ14" t="s">
        <v>74</v>
      </c>
      <c r="BR14" t="s">
        <v>104</v>
      </c>
      <c r="BS14" t="s">
        <v>413</v>
      </c>
      <c r="BT14" t="str">
        <f>HYPERLINK("https%3A%2F%2Fwww.webofscience.com%2Fwos%2Fwoscc%2Ffull-record%2FWOS:000441493500009","View Full Record in Web of Science")</f>
        <v>View Full Record in Web of Science</v>
      </c>
    </row>
    <row r="15" spans="1:72" x14ac:dyDescent="0.15">
      <c r="A15" t="s">
        <v>72</v>
      </c>
      <c r="B15" t="s">
        <v>414</v>
      </c>
      <c r="C15" t="s">
        <v>74</v>
      </c>
      <c r="D15" t="s">
        <v>74</v>
      </c>
      <c r="E15" t="s">
        <v>74</v>
      </c>
      <c r="F15" t="s">
        <v>415</v>
      </c>
      <c r="G15" t="s">
        <v>74</v>
      </c>
      <c r="H15" t="s">
        <v>74</v>
      </c>
      <c r="I15" t="s">
        <v>416</v>
      </c>
      <c r="J15" t="s">
        <v>417</v>
      </c>
      <c r="K15" t="s">
        <v>74</v>
      </c>
      <c r="L15" t="s">
        <v>74</v>
      </c>
      <c r="M15" t="s">
        <v>78</v>
      </c>
      <c r="N15" t="s">
        <v>418</v>
      </c>
      <c r="O15" t="s">
        <v>74</v>
      </c>
      <c r="P15" t="s">
        <v>74</v>
      </c>
      <c r="Q15" t="s">
        <v>74</v>
      </c>
      <c r="R15" t="s">
        <v>74</v>
      </c>
      <c r="S15" t="s">
        <v>74</v>
      </c>
      <c r="T15" t="s">
        <v>74</v>
      </c>
      <c r="U15" t="s">
        <v>419</v>
      </c>
      <c r="V15" t="s">
        <v>420</v>
      </c>
      <c r="W15" t="s">
        <v>421</v>
      </c>
      <c r="X15" t="s">
        <v>422</v>
      </c>
      <c r="Y15" t="s">
        <v>423</v>
      </c>
      <c r="Z15" t="s">
        <v>424</v>
      </c>
      <c r="AA15" t="s">
        <v>425</v>
      </c>
      <c r="AB15" t="s">
        <v>426</v>
      </c>
      <c r="AC15" t="s">
        <v>427</v>
      </c>
      <c r="AD15" t="s">
        <v>428</v>
      </c>
      <c r="AE15" t="s">
        <v>429</v>
      </c>
      <c r="AF15" t="s">
        <v>74</v>
      </c>
      <c r="AG15">
        <v>5</v>
      </c>
      <c r="AH15">
        <v>1</v>
      </c>
      <c r="AI15">
        <v>1</v>
      </c>
      <c r="AJ15">
        <v>0</v>
      </c>
      <c r="AK15">
        <v>4</v>
      </c>
      <c r="AL15" t="s">
        <v>430</v>
      </c>
      <c r="AM15" t="s">
        <v>286</v>
      </c>
      <c r="AN15" t="s">
        <v>431</v>
      </c>
      <c r="AO15" t="s">
        <v>432</v>
      </c>
      <c r="AP15" t="s">
        <v>74</v>
      </c>
      <c r="AQ15" t="s">
        <v>74</v>
      </c>
      <c r="AR15" t="s">
        <v>433</v>
      </c>
      <c r="AS15" t="s">
        <v>434</v>
      </c>
      <c r="AT15" t="s">
        <v>98</v>
      </c>
      <c r="AU15">
        <v>2018</v>
      </c>
      <c r="AV15">
        <v>20</v>
      </c>
      <c r="AW15" t="s">
        <v>74</v>
      </c>
      <c r="AX15" t="s">
        <v>74</v>
      </c>
      <c r="AY15" t="s">
        <v>74</v>
      </c>
      <c r="AZ15" t="s">
        <v>74</v>
      </c>
      <c r="BA15" t="s">
        <v>74</v>
      </c>
      <c r="BB15">
        <v>1297</v>
      </c>
      <c r="BC15">
        <v>1304</v>
      </c>
      <c r="BD15" t="s">
        <v>74</v>
      </c>
      <c r="BE15" t="s">
        <v>435</v>
      </c>
      <c r="BF15" t="str">
        <f>HYPERLINK("http://dx.doi.org/10.1016/j.dib.2018.08.166","http://dx.doi.org/10.1016/j.dib.2018.08.166")</f>
        <v>http://dx.doi.org/10.1016/j.dib.2018.08.166</v>
      </c>
      <c r="BG15" t="s">
        <v>74</v>
      </c>
      <c r="BH15" t="s">
        <v>74</v>
      </c>
      <c r="BI15">
        <v>8</v>
      </c>
      <c r="BJ15" t="s">
        <v>436</v>
      </c>
      <c r="BK15" t="s">
        <v>126</v>
      </c>
      <c r="BL15" t="s">
        <v>437</v>
      </c>
      <c r="BM15" t="s">
        <v>438</v>
      </c>
      <c r="BN15">
        <v>30238042</v>
      </c>
      <c r="BO15" t="s">
        <v>439</v>
      </c>
      <c r="BP15" t="s">
        <v>74</v>
      </c>
      <c r="BQ15" t="s">
        <v>74</v>
      </c>
      <c r="BR15" t="s">
        <v>104</v>
      </c>
      <c r="BS15" t="s">
        <v>440</v>
      </c>
      <c r="BT15" t="str">
        <f>HYPERLINK("https%3A%2F%2Fwww.webofscience.com%2Fwos%2Fwoscc%2Ffull-record%2FWOS:000450242200194","View Full Record in Web of Science")</f>
        <v>View Full Record in Web of Science</v>
      </c>
    </row>
    <row r="16" spans="1:72" x14ac:dyDescent="0.15">
      <c r="A16" t="s">
        <v>72</v>
      </c>
      <c r="B16" t="s">
        <v>441</v>
      </c>
      <c r="C16" t="s">
        <v>74</v>
      </c>
      <c r="D16" t="s">
        <v>74</v>
      </c>
      <c r="E16" t="s">
        <v>74</v>
      </c>
      <c r="F16" t="s">
        <v>442</v>
      </c>
      <c r="G16" t="s">
        <v>74</v>
      </c>
      <c r="H16" t="s">
        <v>74</v>
      </c>
      <c r="I16" t="s">
        <v>443</v>
      </c>
      <c r="J16" t="s">
        <v>444</v>
      </c>
      <c r="K16" t="s">
        <v>74</v>
      </c>
      <c r="L16" t="s">
        <v>74</v>
      </c>
      <c r="M16" t="s">
        <v>78</v>
      </c>
      <c r="N16" t="s">
        <v>79</v>
      </c>
      <c r="O16" t="s">
        <v>74</v>
      </c>
      <c r="P16" t="s">
        <v>74</v>
      </c>
      <c r="Q16" t="s">
        <v>74</v>
      </c>
      <c r="R16" t="s">
        <v>74</v>
      </c>
      <c r="S16" t="s">
        <v>74</v>
      </c>
      <c r="T16" t="s">
        <v>445</v>
      </c>
      <c r="U16" t="s">
        <v>446</v>
      </c>
      <c r="V16" t="s">
        <v>447</v>
      </c>
      <c r="W16" t="s">
        <v>448</v>
      </c>
      <c r="X16" t="s">
        <v>449</v>
      </c>
      <c r="Y16" t="s">
        <v>450</v>
      </c>
      <c r="Z16" t="s">
        <v>451</v>
      </c>
      <c r="AA16" t="s">
        <v>74</v>
      </c>
      <c r="AB16" t="s">
        <v>452</v>
      </c>
      <c r="AC16" t="s">
        <v>453</v>
      </c>
      <c r="AD16" t="s">
        <v>454</v>
      </c>
      <c r="AE16" t="s">
        <v>455</v>
      </c>
      <c r="AF16" t="s">
        <v>74</v>
      </c>
      <c r="AG16">
        <v>73</v>
      </c>
      <c r="AH16">
        <v>19</v>
      </c>
      <c r="AI16">
        <v>20</v>
      </c>
      <c r="AJ16">
        <v>0</v>
      </c>
      <c r="AK16">
        <v>13</v>
      </c>
      <c r="AL16" t="s">
        <v>149</v>
      </c>
      <c r="AM16" t="s">
        <v>93</v>
      </c>
      <c r="AN16" t="s">
        <v>150</v>
      </c>
      <c r="AO16" t="s">
        <v>456</v>
      </c>
      <c r="AP16" t="s">
        <v>457</v>
      </c>
      <c r="AQ16" t="s">
        <v>74</v>
      </c>
      <c r="AR16" t="s">
        <v>458</v>
      </c>
      <c r="AS16" t="s">
        <v>459</v>
      </c>
      <c r="AT16" t="s">
        <v>98</v>
      </c>
      <c r="AU16">
        <v>2018</v>
      </c>
      <c r="AV16">
        <v>140</v>
      </c>
      <c r="AW16" t="s">
        <v>74</v>
      </c>
      <c r="AX16" t="s">
        <v>74</v>
      </c>
      <c r="AY16" t="s">
        <v>74</v>
      </c>
      <c r="AZ16" t="s">
        <v>74</v>
      </c>
      <c r="BA16" t="s">
        <v>74</v>
      </c>
      <c r="BB16">
        <v>95</v>
      </c>
      <c r="BC16">
        <v>117</v>
      </c>
      <c r="BD16" t="s">
        <v>74</v>
      </c>
      <c r="BE16" t="s">
        <v>460</v>
      </c>
      <c r="BF16" t="str">
        <f>HYPERLINK("http://dx.doi.org/10.1016/j.dsr.2018.07.014","http://dx.doi.org/10.1016/j.dsr.2018.07.014")</f>
        <v>http://dx.doi.org/10.1016/j.dsr.2018.07.014</v>
      </c>
      <c r="BG16" t="s">
        <v>74</v>
      </c>
      <c r="BH16" t="s">
        <v>74</v>
      </c>
      <c r="BI16">
        <v>23</v>
      </c>
      <c r="BJ16" t="s">
        <v>157</v>
      </c>
      <c r="BK16" t="s">
        <v>101</v>
      </c>
      <c r="BL16" t="s">
        <v>157</v>
      </c>
      <c r="BM16" t="s">
        <v>461</v>
      </c>
      <c r="BN16" t="s">
        <v>74</v>
      </c>
      <c r="BO16" t="s">
        <v>74</v>
      </c>
      <c r="BP16" t="s">
        <v>74</v>
      </c>
      <c r="BQ16" t="s">
        <v>74</v>
      </c>
      <c r="BR16" t="s">
        <v>104</v>
      </c>
      <c r="BS16" t="s">
        <v>462</v>
      </c>
      <c r="BT16" t="str">
        <f>HYPERLINK("https%3A%2F%2Fwww.webofscience.com%2Fwos%2Fwoscc%2Ffull-record%2FWOS:000449133700009","View Full Record in Web of Science")</f>
        <v>View Full Record in Web of Science</v>
      </c>
    </row>
    <row r="17" spans="1:72" x14ac:dyDescent="0.15">
      <c r="A17" t="s">
        <v>72</v>
      </c>
      <c r="B17" t="s">
        <v>463</v>
      </c>
      <c r="C17" t="s">
        <v>74</v>
      </c>
      <c r="D17" t="s">
        <v>74</v>
      </c>
      <c r="E17" t="s">
        <v>74</v>
      </c>
      <c r="F17" t="s">
        <v>464</v>
      </c>
      <c r="G17" t="s">
        <v>74</v>
      </c>
      <c r="H17" t="s">
        <v>74</v>
      </c>
      <c r="I17" t="s">
        <v>465</v>
      </c>
      <c r="J17" t="s">
        <v>466</v>
      </c>
      <c r="K17" t="s">
        <v>74</v>
      </c>
      <c r="L17" t="s">
        <v>74</v>
      </c>
      <c r="M17" t="s">
        <v>78</v>
      </c>
      <c r="N17" t="s">
        <v>79</v>
      </c>
      <c r="O17" t="s">
        <v>74</v>
      </c>
      <c r="P17" t="s">
        <v>74</v>
      </c>
      <c r="Q17" t="s">
        <v>74</v>
      </c>
      <c r="R17" t="s">
        <v>74</v>
      </c>
      <c r="S17" t="s">
        <v>74</v>
      </c>
      <c r="T17" t="s">
        <v>467</v>
      </c>
      <c r="U17" t="s">
        <v>468</v>
      </c>
      <c r="V17" t="s">
        <v>469</v>
      </c>
      <c r="W17" t="s">
        <v>470</v>
      </c>
      <c r="X17" t="s">
        <v>471</v>
      </c>
      <c r="Y17" t="s">
        <v>472</v>
      </c>
      <c r="Z17" t="s">
        <v>473</v>
      </c>
      <c r="AA17" t="s">
        <v>474</v>
      </c>
      <c r="AB17" t="s">
        <v>475</v>
      </c>
      <c r="AC17" t="s">
        <v>476</v>
      </c>
      <c r="AD17" t="s">
        <v>477</v>
      </c>
      <c r="AE17" t="s">
        <v>478</v>
      </c>
      <c r="AF17" t="s">
        <v>74</v>
      </c>
      <c r="AG17">
        <v>59</v>
      </c>
      <c r="AH17">
        <v>43</v>
      </c>
      <c r="AI17">
        <v>51</v>
      </c>
      <c r="AJ17">
        <v>8</v>
      </c>
      <c r="AK17">
        <v>79</v>
      </c>
      <c r="AL17" t="s">
        <v>285</v>
      </c>
      <c r="AM17" t="s">
        <v>286</v>
      </c>
      <c r="AN17" t="s">
        <v>287</v>
      </c>
      <c r="AO17" t="s">
        <v>479</v>
      </c>
      <c r="AP17" t="s">
        <v>480</v>
      </c>
      <c r="AQ17" t="s">
        <v>74</v>
      </c>
      <c r="AR17" t="s">
        <v>481</v>
      </c>
      <c r="AS17" t="s">
        <v>482</v>
      </c>
      <c r="AT17" t="s">
        <v>291</v>
      </c>
      <c r="AU17">
        <v>2018</v>
      </c>
      <c r="AV17">
        <v>499</v>
      </c>
      <c r="AW17" t="s">
        <v>74</v>
      </c>
      <c r="AX17" t="s">
        <v>74</v>
      </c>
      <c r="AY17" t="s">
        <v>74</v>
      </c>
      <c r="AZ17" t="s">
        <v>74</v>
      </c>
      <c r="BA17" t="s">
        <v>74</v>
      </c>
      <c r="BB17">
        <v>134</v>
      </c>
      <c r="BC17">
        <v>144</v>
      </c>
      <c r="BD17" t="s">
        <v>74</v>
      </c>
      <c r="BE17" t="s">
        <v>483</v>
      </c>
      <c r="BF17" t="str">
        <f>HYPERLINK("http://dx.doi.org/10.1016/j.epsl.2018.07.011","http://dx.doi.org/10.1016/j.epsl.2018.07.011")</f>
        <v>http://dx.doi.org/10.1016/j.epsl.2018.07.011</v>
      </c>
      <c r="BG17" t="s">
        <v>74</v>
      </c>
      <c r="BH17" t="s">
        <v>74</v>
      </c>
      <c r="BI17">
        <v>11</v>
      </c>
      <c r="BJ17" t="s">
        <v>484</v>
      </c>
      <c r="BK17" t="s">
        <v>101</v>
      </c>
      <c r="BL17" t="s">
        <v>484</v>
      </c>
      <c r="BM17" t="s">
        <v>485</v>
      </c>
      <c r="BN17" t="s">
        <v>74</v>
      </c>
      <c r="BO17" t="s">
        <v>486</v>
      </c>
      <c r="BP17" t="s">
        <v>74</v>
      </c>
      <c r="BQ17" t="s">
        <v>74</v>
      </c>
      <c r="BR17" t="s">
        <v>104</v>
      </c>
      <c r="BS17" t="s">
        <v>487</v>
      </c>
      <c r="BT17" t="str">
        <f>HYPERLINK("https%3A%2F%2Fwww.webofscience.com%2Fwos%2Fwoscc%2Ffull-record%2FWOS:000444359800012","View Full Record in Web of Science")</f>
        <v>View Full Record in Web of Science</v>
      </c>
    </row>
    <row r="18" spans="1:72" x14ac:dyDescent="0.15">
      <c r="A18" t="s">
        <v>72</v>
      </c>
      <c r="B18" t="s">
        <v>488</v>
      </c>
      <c r="C18" t="s">
        <v>74</v>
      </c>
      <c r="D18" t="s">
        <v>74</v>
      </c>
      <c r="E18" t="s">
        <v>74</v>
      </c>
      <c r="F18" t="s">
        <v>489</v>
      </c>
      <c r="G18" t="s">
        <v>74</v>
      </c>
      <c r="H18" t="s">
        <v>74</v>
      </c>
      <c r="I18" t="s">
        <v>490</v>
      </c>
      <c r="J18" t="s">
        <v>491</v>
      </c>
      <c r="K18" t="s">
        <v>74</v>
      </c>
      <c r="L18" t="s">
        <v>74</v>
      </c>
      <c r="M18" t="s">
        <v>78</v>
      </c>
      <c r="N18" t="s">
        <v>79</v>
      </c>
      <c r="O18" t="s">
        <v>74</v>
      </c>
      <c r="P18" t="s">
        <v>74</v>
      </c>
      <c r="Q18" t="s">
        <v>74</v>
      </c>
      <c r="R18" t="s">
        <v>74</v>
      </c>
      <c r="S18" t="s">
        <v>74</v>
      </c>
      <c r="T18" t="s">
        <v>74</v>
      </c>
      <c r="U18" t="s">
        <v>492</v>
      </c>
      <c r="V18" t="s">
        <v>493</v>
      </c>
      <c r="W18" t="s">
        <v>494</v>
      </c>
      <c r="X18" t="s">
        <v>495</v>
      </c>
      <c r="Y18" t="s">
        <v>496</v>
      </c>
      <c r="Z18" t="s">
        <v>497</v>
      </c>
      <c r="AA18" t="s">
        <v>498</v>
      </c>
      <c r="AB18" t="s">
        <v>499</v>
      </c>
      <c r="AC18" t="s">
        <v>500</v>
      </c>
      <c r="AD18" t="s">
        <v>501</v>
      </c>
      <c r="AE18" t="s">
        <v>502</v>
      </c>
      <c r="AF18" t="s">
        <v>74</v>
      </c>
      <c r="AG18">
        <v>45</v>
      </c>
      <c r="AH18">
        <v>29</v>
      </c>
      <c r="AI18">
        <v>32</v>
      </c>
      <c r="AJ18">
        <v>1</v>
      </c>
      <c r="AK18">
        <v>7</v>
      </c>
      <c r="AL18" t="s">
        <v>503</v>
      </c>
      <c r="AM18" t="s">
        <v>504</v>
      </c>
      <c r="AN18" t="s">
        <v>505</v>
      </c>
      <c r="AO18" t="s">
        <v>506</v>
      </c>
      <c r="AP18" t="s">
        <v>74</v>
      </c>
      <c r="AQ18" t="s">
        <v>74</v>
      </c>
      <c r="AR18" t="s">
        <v>507</v>
      </c>
      <c r="AS18" t="s">
        <v>508</v>
      </c>
      <c r="AT18" t="s">
        <v>98</v>
      </c>
      <c r="AU18">
        <v>2018</v>
      </c>
      <c r="AV18">
        <v>5</v>
      </c>
      <c r="AW18">
        <v>10</v>
      </c>
      <c r="AX18" t="s">
        <v>74</v>
      </c>
      <c r="AY18" t="s">
        <v>74</v>
      </c>
      <c r="AZ18" t="s">
        <v>74</v>
      </c>
      <c r="BA18" t="s">
        <v>74</v>
      </c>
      <c r="BB18">
        <v>578</v>
      </c>
      <c r="BC18">
        <v>591</v>
      </c>
      <c r="BD18" t="s">
        <v>74</v>
      </c>
      <c r="BE18" t="s">
        <v>509</v>
      </c>
      <c r="BF18" t="str">
        <f>HYPERLINK("http://dx.doi.org/10.1029/2018EA000421","http://dx.doi.org/10.1029/2018EA000421")</f>
        <v>http://dx.doi.org/10.1029/2018EA000421</v>
      </c>
      <c r="BG18" t="s">
        <v>74</v>
      </c>
      <c r="BH18" t="s">
        <v>74</v>
      </c>
      <c r="BI18">
        <v>14</v>
      </c>
      <c r="BJ18" t="s">
        <v>510</v>
      </c>
      <c r="BK18" t="s">
        <v>101</v>
      </c>
      <c r="BL18" t="s">
        <v>511</v>
      </c>
      <c r="BM18" t="s">
        <v>512</v>
      </c>
      <c r="BN18" t="s">
        <v>74</v>
      </c>
      <c r="BO18" t="s">
        <v>439</v>
      </c>
      <c r="BP18" t="s">
        <v>74</v>
      </c>
      <c r="BQ18" t="s">
        <v>74</v>
      </c>
      <c r="BR18" t="s">
        <v>104</v>
      </c>
      <c r="BS18" t="s">
        <v>513</v>
      </c>
      <c r="BT18" t="str">
        <f>HYPERLINK("https%3A%2F%2Fwww.webofscience.com%2Fwos%2Fwoscc%2Ffull-record%2FWOS:000450411800002","View Full Record in Web of Science")</f>
        <v>View Full Record in Web of Science</v>
      </c>
    </row>
    <row r="19" spans="1:72" x14ac:dyDescent="0.15">
      <c r="A19" t="s">
        <v>72</v>
      </c>
      <c r="B19" t="s">
        <v>514</v>
      </c>
      <c r="C19" t="s">
        <v>74</v>
      </c>
      <c r="D19" t="s">
        <v>74</v>
      </c>
      <c r="E19" t="s">
        <v>74</v>
      </c>
      <c r="F19" t="s">
        <v>515</v>
      </c>
      <c r="G19" t="s">
        <v>74</v>
      </c>
      <c r="H19" t="s">
        <v>74</v>
      </c>
      <c r="I19" t="s">
        <v>516</v>
      </c>
      <c r="J19" t="s">
        <v>517</v>
      </c>
      <c r="K19" t="s">
        <v>74</v>
      </c>
      <c r="L19" t="s">
        <v>74</v>
      </c>
      <c r="M19" t="s">
        <v>78</v>
      </c>
      <c r="N19" t="s">
        <v>79</v>
      </c>
      <c r="O19" t="s">
        <v>74</v>
      </c>
      <c r="P19" t="s">
        <v>74</v>
      </c>
      <c r="Q19" t="s">
        <v>74</v>
      </c>
      <c r="R19" t="s">
        <v>74</v>
      </c>
      <c r="S19" t="s">
        <v>74</v>
      </c>
      <c r="T19" t="s">
        <v>74</v>
      </c>
      <c r="U19" t="s">
        <v>518</v>
      </c>
      <c r="V19" t="s">
        <v>519</v>
      </c>
      <c r="W19" t="s">
        <v>520</v>
      </c>
      <c r="X19" t="s">
        <v>521</v>
      </c>
      <c r="Y19" t="s">
        <v>522</v>
      </c>
      <c r="Z19" t="s">
        <v>523</v>
      </c>
      <c r="AA19" t="s">
        <v>524</v>
      </c>
      <c r="AB19" t="s">
        <v>525</v>
      </c>
      <c r="AC19" t="s">
        <v>526</v>
      </c>
      <c r="AD19" t="s">
        <v>527</v>
      </c>
      <c r="AE19" t="s">
        <v>528</v>
      </c>
      <c r="AF19" t="s">
        <v>74</v>
      </c>
      <c r="AG19">
        <v>107</v>
      </c>
      <c r="AH19">
        <v>17</v>
      </c>
      <c r="AI19">
        <v>18</v>
      </c>
      <c r="AJ19">
        <v>1</v>
      </c>
      <c r="AK19">
        <v>31</v>
      </c>
      <c r="AL19" t="s">
        <v>430</v>
      </c>
      <c r="AM19" t="s">
        <v>286</v>
      </c>
      <c r="AN19" t="s">
        <v>431</v>
      </c>
      <c r="AO19" t="s">
        <v>529</v>
      </c>
      <c r="AP19" t="s">
        <v>530</v>
      </c>
      <c r="AQ19" t="s">
        <v>74</v>
      </c>
      <c r="AR19" t="s">
        <v>531</v>
      </c>
      <c r="AS19" t="s">
        <v>532</v>
      </c>
      <c r="AT19" t="s">
        <v>98</v>
      </c>
      <c r="AU19">
        <v>2018</v>
      </c>
      <c r="AV19">
        <v>185</v>
      </c>
      <c r="AW19" t="s">
        <v>74</v>
      </c>
      <c r="AX19" t="s">
        <v>74</v>
      </c>
      <c r="AY19" t="s">
        <v>74</v>
      </c>
      <c r="AZ19" t="s">
        <v>74</v>
      </c>
      <c r="BA19" t="s">
        <v>74</v>
      </c>
      <c r="BB19">
        <v>887</v>
      </c>
      <c r="BC19">
        <v>900</v>
      </c>
      <c r="BD19" t="s">
        <v>74</v>
      </c>
      <c r="BE19" t="s">
        <v>533</v>
      </c>
      <c r="BF19" t="str">
        <f>HYPERLINK("http://dx.doi.org/10.1016/j.earscirev.2018.07.014","http://dx.doi.org/10.1016/j.earscirev.2018.07.014")</f>
        <v>http://dx.doi.org/10.1016/j.earscirev.2018.07.014</v>
      </c>
      <c r="BG19" t="s">
        <v>74</v>
      </c>
      <c r="BH19" t="s">
        <v>74</v>
      </c>
      <c r="BI19">
        <v>14</v>
      </c>
      <c r="BJ19" t="s">
        <v>182</v>
      </c>
      <c r="BK19" t="s">
        <v>101</v>
      </c>
      <c r="BL19" t="s">
        <v>183</v>
      </c>
      <c r="BM19" t="s">
        <v>534</v>
      </c>
      <c r="BN19" t="s">
        <v>74</v>
      </c>
      <c r="BO19" t="s">
        <v>535</v>
      </c>
      <c r="BP19" t="s">
        <v>74</v>
      </c>
      <c r="BQ19" t="s">
        <v>74</v>
      </c>
      <c r="BR19" t="s">
        <v>104</v>
      </c>
      <c r="BS19" t="s">
        <v>536</v>
      </c>
      <c r="BT19" t="str">
        <f>HYPERLINK("https%3A%2F%2Fwww.webofscience.com%2Fwos%2Fwoscc%2Ffull-record%2FWOS:000448493500040","View Full Record in Web of Science")</f>
        <v>View Full Record in Web of Science</v>
      </c>
    </row>
    <row r="20" spans="1:72" x14ac:dyDescent="0.15">
      <c r="A20" t="s">
        <v>72</v>
      </c>
      <c r="B20" t="s">
        <v>537</v>
      </c>
      <c r="C20" t="s">
        <v>74</v>
      </c>
      <c r="D20" t="s">
        <v>74</v>
      </c>
      <c r="E20" t="s">
        <v>74</v>
      </c>
      <c r="F20" t="s">
        <v>538</v>
      </c>
      <c r="G20" t="s">
        <v>74</v>
      </c>
      <c r="H20" t="s">
        <v>74</v>
      </c>
      <c r="I20" t="s">
        <v>539</v>
      </c>
      <c r="J20" t="s">
        <v>540</v>
      </c>
      <c r="K20" t="s">
        <v>74</v>
      </c>
      <c r="L20" t="s">
        <v>74</v>
      </c>
      <c r="M20" t="s">
        <v>78</v>
      </c>
      <c r="N20" t="s">
        <v>79</v>
      </c>
      <c r="O20" t="s">
        <v>74</v>
      </c>
      <c r="P20" t="s">
        <v>74</v>
      </c>
      <c r="Q20" t="s">
        <v>74</v>
      </c>
      <c r="R20" t="s">
        <v>74</v>
      </c>
      <c r="S20" t="s">
        <v>74</v>
      </c>
      <c r="T20" t="s">
        <v>541</v>
      </c>
      <c r="U20" t="s">
        <v>542</v>
      </c>
      <c r="V20" t="s">
        <v>543</v>
      </c>
      <c r="W20" t="s">
        <v>544</v>
      </c>
      <c r="X20" t="s">
        <v>545</v>
      </c>
      <c r="Y20" t="s">
        <v>546</v>
      </c>
      <c r="Z20" t="s">
        <v>547</v>
      </c>
      <c r="AA20" t="s">
        <v>548</v>
      </c>
      <c r="AB20" t="s">
        <v>549</v>
      </c>
      <c r="AC20" t="s">
        <v>550</v>
      </c>
      <c r="AD20" t="s">
        <v>551</v>
      </c>
      <c r="AE20" t="s">
        <v>552</v>
      </c>
      <c r="AF20" t="s">
        <v>74</v>
      </c>
      <c r="AG20">
        <v>79</v>
      </c>
      <c r="AH20">
        <v>54</v>
      </c>
      <c r="AI20">
        <v>56</v>
      </c>
      <c r="AJ20">
        <v>1</v>
      </c>
      <c r="AK20">
        <v>62</v>
      </c>
      <c r="AL20" t="s">
        <v>201</v>
      </c>
      <c r="AM20" t="s">
        <v>93</v>
      </c>
      <c r="AN20" t="s">
        <v>202</v>
      </c>
      <c r="AO20" t="s">
        <v>553</v>
      </c>
      <c r="AP20" t="s">
        <v>554</v>
      </c>
      <c r="AQ20" t="s">
        <v>74</v>
      </c>
      <c r="AR20" t="s">
        <v>555</v>
      </c>
      <c r="AS20" t="s">
        <v>556</v>
      </c>
      <c r="AT20" t="s">
        <v>98</v>
      </c>
      <c r="AU20">
        <v>2018</v>
      </c>
      <c r="AV20">
        <v>241</v>
      </c>
      <c r="AW20" t="s">
        <v>74</v>
      </c>
      <c r="AX20" t="s">
        <v>74</v>
      </c>
      <c r="AY20" t="s">
        <v>74</v>
      </c>
      <c r="AZ20" t="s">
        <v>74</v>
      </c>
      <c r="BA20" t="s">
        <v>74</v>
      </c>
      <c r="BB20">
        <v>124</v>
      </c>
      <c r="BC20">
        <v>135</v>
      </c>
      <c r="BD20" t="s">
        <v>74</v>
      </c>
      <c r="BE20" t="s">
        <v>557</v>
      </c>
      <c r="BF20" t="str">
        <f>HYPERLINK("http://dx.doi.org/10.1016/j.envpol.2018.05.048","http://dx.doi.org/10.1016/j.envpol.2018.05.048")</f>
        <v>http://dx.doi.org/10.1016/j.envpol.2018.05.048</v>
      </c>
      <c r="BG20" t="s">
        <v>74</v>
      </c>
      <c r="BH20" t="s">
        <v>74</v>
      </c>
      <c r="BI20">
        <v>12</v>
      </c>
      <c r="BJ20" t="s">
        <v>558</v>
      </c>
      <c r="BK20" t="s">
        <v>101</v>
      </c>
      <c r="BL20" t="s">
        <v>559</v>
      </c>
      <c r="BM20" t="s">
        <v>560</v>
      </c>
      <c r="BN20">
        <v>29803026</v>
      </c>
      <c r="BO20" t="s">
        <v>535</v>
      </c>
      <c r="BP20" t="s">
        <v>74</v>
      </c>
      <c r="BQ20" t="s">
        <v>74</v>
      </c>
      <c r="BR20" t="s">
        <v>104</v>
      </c>
      <c r="BS20" t="s">
        <v>561</v>
      </c>
      <c r="BT20" t="str">
        <f>HYPERLINK("https%3A%2F%2Fwww.webofscience.com%2Fwos%2Fwoscc%2Ffull-record%2FWOS:000440390800014","View Full Record in Web of Science")</f>
        <v>View Full Record in Web of Science</v>
      </c>
    </row>
    <row r="21" spans="1:72" x14ac:dyDescent="0.15">
      <c r="A21" t="s">
        <v>72</v>
      </c>
      <c r="B21" t="s">
        <v>562</v>
      </c>
      <c r="C21" t="s">
        <v>74</v>
      </c>
      <c r="D21" t="s">
        <v>74</v>
      </c>
      <c r="E21" t="s">
        <v>74</v>
      </c>
      <c r="F21" t="s">
        <v>563</v>
      </c>
      <c r="G21" t="s">
        <v>74</v>
      </c>
      <c r="H21" t="s">
        <v>74</v>
      </c>
      <c r="I21" t="s">
        <v>564</v>
      </c>
      <c r="J21" t="s">
        <v>540</v>
      </c>
      <c r="K21" t="s">
        <v>74</v>
      </c>
      <c r="L21" t="s">
        <v>74</v>
      </c>
      <c r="M21" t="s">
        <v>78</v>
      </c>
      <c r="N21" t="s">
        <v>79</v>
      </c>
      <c r="O21" t="s">
        <v>74</v>
      </c>
      <c r="P21" t="s">
        <v>74</v>
      </c>
      <c r="Q21" t="s">
        <v>74</v>
      </c>
      <c r="R21" t="s">
        <v>74</v>
      </c>
      <c r="S21" t="s">
        <v>74</v>
      </c>
      <c r="T21" t="s">
        <v>565</v>
      </c>
      <c r="U21" t="s">
        <v>566</v>
      </c>
      <c r="V21" t="s">
        <v>567</v>
      </c>
      <c r="W21" t="s">
        <v>568</v>
      </c>
      <c r="X21" t="s">
        <v>569</v>
      </c>
      <c r="Y21" t="s">
        <v>570</v>
      </c>
      <c r="Z21" t="s">
        <v>571</v>
      </c>
      <c r="AA21" t="s">
        <v>572</v>
      </c>
      <c r="AB21" t="s">
        <v>573</v>
      </c>
      <c r="AC21" t="s">
        <v>574</v>
      </c>
      <c r="AD21" t="s">
        <v>575</v>
      </c>
      <c r="AE21" t="s">
        <v>576</v>
      </c>
      <c r="AF21" t="s">
        <v>74</v>
      </c>
      <c r="AG21">
        <v>62</v>
      </c>
      <c r="AH21">
        <v>14</v>
      </c>
      <c r="AI21">
        <v>15</v>
      </c>
      <c r="AJ21">
        <v>5</v>
      </c>
      <c r="AK21">
        <v>60</v>
      </c>
      <c r="AL21" t="s">
        <v>201</v>
      </c>
      <c r="AM21" t="s">
        <v>93</v>
      </c>
      <c r="AN21" t="s">
        <v>202</v>
      </c>
      <c r="AO21" t="s">
        <v>553</v>
      </c>
      <c r="AP21" t="s">
        <v>554</v>
      </c>
      <c r="AQ21" t="s">
        <v>74</v>
      </c>
      <c r="AR21" t="s">
        <v>555</v>
      </c>
      <c r="AS21" t="s">
        <v>556</v>
      </c>
      <c r="AT21" t="s">
        <v>98</v>
      </c>
      <c r="AU21">
        <v>2018</v>
      </c>
      <c r="AV21">
        <v>241</v>
      </c>
      <c r="AW21" t="s">
        <v>74</v>
      </c>
      <c r="AX21" t="s">
        <v>74</v>
      </c>
      <c r="AY21" t="s">
        <v>74</v>
      </c>
      <c r="AZ21" t="s">
        <v>74</v>
      </c>
      <c r="BA21" t="s">
        <v>74</v>
      </c>
      <c r="BB21">
        <v>155</v>
      </c>
      <c r="BC21">
        <v>163</v>
      </c>
      <c r="BD21" t="s">
        <v>74</v>
      </c>
      <c r="BE21" t="s">
        <v>577</v>
      </c>
      <c r="BF21" t="str">
        <f>HYPERLINK("http://dx.doi.org/10.1016/j.envpol.2018.05.003","http://dx.doi.org/10.1016/j.envpol.2018.05.003")</f>
        <v>http://dx.doi.org/10.1016/j.envpol.2018.05.003</v>
      </c>
      <c r="BG21" t="s">
        <v>74</v>
      </c>
      <c r="BH21" t="s">
        <v>74</v>
      </c>
      <c r="BI21">
        <v>9</v>
      </c>
      <c r="BJ21" t="s">
        <v>558</v>
      </c>
      <c r="BK21" t="s">
        <v>101</v>
      </c>
      <c r="BL21" t="s">
        <v>559</v>
      </c>
      <c r="BM21" t="s">
        <v>560</v>
      </c>
      <c r="BN21">
        <v>29804048</v>
      </c>
      <c r="BO21" t="s">
        <v>486</v>
      </c>
      <c r="BP21" t="s">
        <v>74</v>
      </c>
      <c r="BQ21" t="s">
        <v>74</v>
      </c>
      <c r="BR21" t="s">
        <v>104</v>
      </c>
      <c r="BS21" t="s">
        <v>578</v>
      </c>
      <c r="BT21" t="str">
        <f>HYPERLINK("https%3A%2F%2Fwww.webofscience.com%2Fwos%2Fwoscc%2Ffull-record%2FWOS:000440390800017","View Full Record in Web of Science")</f>
        <v>View Full Record in Web of Science</v>
      </c>
    </row>
    <row r="22" spans="1:72" x14ac:dyDescent="0.15">
      <c r="A22" t="s">
        <v>72</v>
      </c>
      <c r="B22" t="s">
        <v>579</v>
      </c>
      <c r="C22" t="s">
        <v>74</v>
      </c>
      <c r="D22" t="s">
        <v>74</v>
      </c>
      <c r="E22" t="s">
        <v>74</v>
      </c>
      <c r="F22" t="s">
        <v>580</v>
      </c>
      <c r="G22" t="s">
        <v>74</v>
      </c>
      <c r="H22" t="s">
        <v>74</v>
      </c>
      <c r="I22" t="s">
        <v>581</v>
      </c>
      <c r="J22" t="s">
        <v>540</v>
      </c>
      <c r="K22" t="s">
        <v>74</v>
      </c>
      <c r="L22" t="s">
        <v>74</v>
      </c>
      <c r="M22" t="s">
        <v>78</v>
      </c>
      <c r="N22" t="s">
        <v>79</v>
      </c>
      <c r="O22" t="s">
        <v>74</v>
      </c>
      <c r="P22" t="s">
        <v>74</v>
      </c>
      <c r="Q22" t="s">
        <v>74</v>
      </c>
      <c r="R22" t="s">
        <v>74</v>
      </c>
      <c r="S22" t="s">
        <v>74</v>
      </c>
      <c r="T22" t="s">
        <v>582</v>
      </c>
      <c r="U22" t="s">
        <v>583</v>
      </c>
      <c r="V22" t="s">
        <v>584</v>
      </c>
      <c r="W22" t="s">
        <v>585</v>
      </c>
      <c r="X22" t="s">
        <v>586</v>
      </c>
      <c r="Y22" t="s">
        <v>587</v>
      </c>
      <c r="Z22" t="s">
        <v>588</v>
      </c>
      <c r="AA22" t="s">
        <v>589</v>
      </c>
      <c r="AB22" t="s">
        <v>590</v>
      </c>
      <c r="AC22" t="s">
        <v>591</v>
      </c>
      <c r="AD22" t="s">
        <v>592</v>
      </c>
      <c r="AE22" t="s">
        <v>593</v>
      </c>
      <c r="AF22" t="s">
        <v>74</v>
      </c>
      <c r="AG22">
        <v>52</v>
      </c>
      <c r="AH22">
        <v>79</v>
      </c>
      <c r="AI22">
        <v>89</v>
      </c>
      <c r="AJ22">
        <v>2</v>
      </c>
      <c r="AK22">
        <v>109</v>
      </c>
      <c r="AL22" t="s">
        <v>201</v>
      </c>
      <c r="AM22" t="s">
        <v>93</v>
      </c>
      <c r="AN22" t="s">
        <v>202</v>
      </c>
      <c r="AO22" t="s">
        <v>553</v>
      </c>
      <c r="AP22" t="s">
        <v>554</v>
      </c>
      <c r="AQ22" t="s">
        <v>74</v>
      </c>
      <c r="AR22" t="s">
        <v>555</v>
      </c>
      <c r="AS22" t="s">
        <v>556</v>
      </c>
      <c r="AT22" t="s">
        <v>98</v>
      </c>
      <c r="AU22">
        <v>2018</v>
      </c>
      <c r="AV22">
        <v>241</v>
      </c>
      <c r="AW22" t="s">
        <v>74</v>
      </c>
      <c r="AX22" t="s">
        <v>74</v>
      </c>
      <c r="AY22" t="s">
        <v>74</v>
      </c>
      <c r="AZ22" t="s">
        <v>74</v>
      </c>
      <c r="BA22" t="s">
        <v>74</v>
      </c>
      <c r="BB22">
        <v>654</v>
      </c>
      <c r="BC22">
        <v>663</v>
      </c>
      <c r="BD22" t="s">
        <v>74</v>
      </c>
      <c r="BE22" t="s">
        <v>594</v>
      </c>
      <c r="BF22" t="str">
        <f>HYPERLINK("http://dx.doi.org/10.1016/j.envpol.2018.05.100","http://dx.doi.org/10.1016/j.envpol.2018.05.100")</f>
        <v>http://dx.doi.org/10.1016/j.envpol.2018.05.100</v>
      </c>
      <c r="BG22" t="s">
        <v>74</v>
      </c>
      <c r="BH22" t="s">
        <v>74</v>
      </c>
      <c r="BI22">
        <v>10</v>
      </c>
      <c r="BJ22" t="s">
        <v>558</v>
      </c>
      <c r="BK22" t="s">
        <v>101</v>
      </c>
      <c r="BL22" t="s">
        <v>559</v>
      </c>
      <c r="BM22" t="s">
        <v>560</v>
      </c>
      <c r="BN22">
        <v>29902748</v>
      </c>
      <c r="BO22" t="s">
        <v>486</v>
      </c>
      <c r="BP22" t="s">
        <v>74</v>
      </c>
      <c r="BQ22" t="s">
        <v>74</v>
      </c>
      <c r="BR22" t="s">
        <v>104</v>
      </c>
      <c r="BS22" t="s">
        <v>595</v>
      </c>
      <c r="BT22" t="str">
        <f>HYPERLINK("https%3A%2F%2Fwww.webofscience.com%2Fwos%2Fwoscc%2Ffull-record%2FWOS:000440390800070","View Full Record in Web of Science")</f>
        <v>View Full Record in Web of Science</v>
      </c>
    </row>
    <row r="23" spans="1:72" x14ac:dyDescent="0.15">
      <c r="A23" t="s">
        <v>72</v>
      </c>
      <c r="B23" t="s">
        <v>596</v>
      </c>
      <c r="C23" t="s">
        <v>74</v>
      </c>
      <c r="D23" t="s">
        <v>74</v>
      </c>
      <c r="E23" t="s">
        <v>74</v>
      </c>
      <c r="F23" t="s">
        <v>597</v>
      </c>
      <c r="G23" t="s">
        <v>74</v>
      </c>
      <c r="H23" t="s">
        <v>74</v>
      </c>
      <c r="I23" t="s">
        <v>598</v>
      </c>
      <c r="J23" t="s">
        <v>540</v>
      </c>
      <c r="K23" t="s">
        <v>74</v>
      </c>
      <c r="L23" t="s">
        <v>74</v>
      </c>
      <c r="M23" t="s">
        <v>78</v>
      </c>
      <c r="N23" t="s">
        <v>79</v>
      </c>
      <c r="O23" t="s">
        <v>74</v>
      </c>
      <c r="P23" t="s">
        <v>74</v>
      </c>
      <c r="Q23" t="s">
        <v>74</v>
      </c>
      <c r="R23" t="s">
        <v>74</v>
      </c>
      <c r="S23" t="s">
        <v>74</v>
      </c>
      <c r="T23" t="s">
        <v>599</v>
      </c>
      <c r="U23" t="s">
        <v>600</v>
      </c>
      <c r="V23" t="s">
        <v>601</v>
      </c>
      <c r="W23" t="s">
        <v>602</v>
      </c>
      <c r="X23" t="s">
        <v>603</v>
      </c>
      <c r="Y23" t="s">
        <v>604</v>
      </c>
      <c r="Z23" t="s">
        <v>605</v>
      </c>
      <c r="AA23" t="s">
        <v>606</v>
      </c>
      <c r="AB23" t="s">
        <v>607</v>
      </c>
      <c r="AC23" t="s">
        <v>608</v>
      </c>
      <c r="AD23" t="s">
        <v>609</v>
      </c>
      <c r="AE23" t="s">
        <v>610</v>
      </c>
      <c r="AF23" t="s">
        <v>74</v>
      </c>
      <c r="AG23">
        <v>53</v>
      </c>
      <c r="AH23">
        <v>32</v>
      </c>
      <c r="AI23">
        <v>35</v>
      </c>
      <c r="AJ23">
        <v>15</v>
      </c>
      <c r="AK23">
        <v>139</v>
      </c>
      <c r="AL23" t="s">
        <v>201</v>
      </c>
      <c r="AM23" t="s">
        <v>93</v>
      </c>
      <c r="AN23" t="s">
        <v>202</v>
      </c>
      <c r="AO23" t="s">
        <v>553</v>
      </c>
      <c r="AP23" t="s">
        <v>554</v>
      </c>
      <c r="AQ23" t="s">
        <v>74</v>
      </c>
      <c r="AR23" t="s">
        <v>555</v>
      </c>
      <c r="AS23" t="s">
        <v>556</v>
      </c>
      <c r="AT23" t="s">
        <v>98</v>
      </c>
      <c r="AU23">
        <v>2018</v>
      </c>
      <c r="AV23">
        <v>241</v>
      </c>
      <c r="AW23" t="s">
        <v>74</v>
      </c>
      <c r="AX23" t="s">
        <v>74</v>
      </c>
      <c r="AY23" t="s">
        <v>74</v>
      </c>
      <c r="AZ23" t="s">
        <v>74</v>
      </c>
      <c r="BA23" t="s">
        <v>74</v>
      </c>
      <c r="BB23">
        <v>950</v>
      </c>
      <c r="BC23">
        <v>958</v>
      </c>
      <c r="BD23" t="s">
        <v>74</v>
      </c>
      <c r="BE23" t="s">
        <v>611</v>
      </c>
      <c r="BF23" t="str">
        <f>HYPERLINK("http://dx.doi.org/10.1016/j.envpol.2018.06.025","http://dx.doi.org/10.1016/j.envpol.2018.06.025")</f>
        <v>http://dx.doi.org/10.1016/j.envpol.2018.06.025</v>
      </c>
      <c r="BG23" t="s">
        <v>74</v>
      </c>
      <c r="BH23" t="s">
        <v>74</v>
      </c>
      <c r="BI23">
        <v>9</v>
      </c>
      <c r="BJ23" t="s">
        <v>558</v>
      </c>
      <c r="BK23" t="s">
        <v>101</v>
      </c>
      <c r="BL23" t="s">
        <v>559</v>
      </c>
      <c r="BM23" t="s">
        <v>560</v>
      </c>
      <c r="BN23">
        <v>30029329</v>
      </c>
      <c r="BO23" t="s">
        <v>74</v>
      </c>
      <c r="BP23" t="s">
        <v>74</v>
      </c>
      <c r="BQ23" t="s">
        <v>74</v>
      </c>
      <c r="BR23" t="s">
        <v>104</v>
      </c>
      <c r="BS23" t="s">
        <v>612</v>
      </c>
      <c r="BT23" t="str">
        <f>HYPERLINK("https%3A%2F%2Fwww.webofscience.com%2Fwos%2Fwoscc%2Ffull-record%2FWOS:000440390800099","View Full Record in Web of Science")</f>
        <v>View Full Record in Web of Science</v>
      </c>
    </row>
    <row r="24" spans="1:72" x14ac:dyDescent="0.15">
      <c r="A24" t="s">
        <v>72</v>
      </c>
      <c r="B24" t="s">
        <v>613</v>
      </c>
      <c r="C24" t="s">
        <v>74</v>
      </c>
      <c r="D24" t="s">
        <v>74</v>
      </c>
      <c r="E24" t="s">
        <v>74</v>
      </c>
      <c r="F24" t="s">
        <v>614</v>
      </c>
      <c r="G24" t="s">
        <v>74</v>
      </c>
      <c r="H24" t="s">
        <v>74</v>
      </c>
      <c r="I24" t="s">
        <v>615</v>
      </c>
      <c r="J24" t="s">
        <v>616</v>
      </c>
      <c r="K24" t="s">
        <v>74</v>
      </c>
      <c r="L24" t="s">
        <v>74</v>
      </c>
      <c r="M24" t="s">
        <v>78</v>
      </c>
      <c r="N24" t="s">
        <v>79</v>
      </c>
      <c r="O24" t="s">
        <v>74</v>
      </c>
      <c r="P24" t="s">
        <v>74</v>
      </c>
      <c r="Q24" t="s">
        <v>74</v>
      </c>
      <c r="R24" t="s">
        <v>74</v>
      </c>
      <c r="S24" t="s">
        <v>74</v>
      </c>
      <c r="T24" t="s">
        <v>617</v>
      </c>
      <c r="U24" t="s">
        <v>618</v>
      </c>
      <c r="V24" t="s">
        <v>619</v>
      </c>
      <c r="W24" t="s">
        <v>620</v>
      </c>
      <c r="X24" t="s">
        <v>621</v>
      </c>
      <c r="Y24" t="s">
        <v>622</v>
      </c>
      <c r="Z24" t="s">
        <v>623</v>
      </c>
      <c r="AA24" t="s">
        <v>624</v>
      </c>
      <c r="AB24" t="s">
        <v>625</v>
      </c>
      <c r="AC24" t="s">
        <v>626</v>
      </c>
      <c r="AD24" t="s">
        <v>626</v>
      </c>
      <c r="AE24" t="s">
        <v>627</v>
      </c>
      <c r="AF24" t="s">
        <v>74</v>
      </c>
      <c r="AG24">
        <v>55</v>
      </c>
      <c r="AH24">
        <v>4</v>
      </c>
      <c r="AI24">
        <v>4</v>
      </c>
      <c r="AJ24">
        <v>2</v>
      </c>
      <c r="AK24">
        <v>28</v>
      </c>
      <c r="AL24" t="s">
        <v>92</v>
      </c>
      <c r="AM24" t="s">
        <v>93</v>
      </c>
      <c r="AN24" t="s">
        <v>94</v>
      </c>
      <c r="AO24" t="s">
        <v>628</v>
      </c>
      <c r="AP24" t="s">
        <v>629</v>
      </c>
      <c r="AQ24" t="s">
        <v>74</v>
      </c>
      <c r="AR24" t="s">
        <v>630</v>
      </c>
      <c r="AS24" t="s">
        <v>631</v>
      </c>
      <c r="AT24" t="s">
        <v>98</v>
      </c>
      <c r="AU24">
        <v>2018</v>
      </c>
      <c r="AV24">
        <v>94</v>
      </c>
      <c r="AW24">
        <v>10</v>
      </c>
      <c r="AX24" t="s">
        <v>74</v>
      </c>
      <c r="AY24" t="s">
        <v>74</v>
      </c>
      <c r="AZ24" t="s">
        <v>74</v>
      </c>
      <c r="BA24" t="s">
        <v>74</v>
      </c>
      <c r="BB24" t="s">
        <v>74</v>
      </c>
      <c r="BC24" t="s">
        <v>74</v>
      </c>
      <c r="BD24" t="s">
        <v>632</v>
      </c>
      <c r="BE24" t="s">
        <v>633</v>
      </c>
      <c r="BF24" t="str">
        <f>HYPERLINK("http://dx.doi.org/10.1093/femsec/fiy150","http://dx.doi.org/10.1093/femsec/fiy150")</f>
        <v>http://dx.doi.org/10.1093/femsec/fiy150</v>
      </c>
      <c r="BG24" t="s">
        <v>74</v>
      </c>
      <c r="BH24" t="s">
        <v>74</v>
      </c>
      <c r="BI24">
        <v>10</v>
      </c>
      <c r="BJ24" t="s">
        <v>344</v>
      </c>
      <c r="BK24" t="s">
        <v>101</v>
      </c>
      <c r="BL24" t="s">
        <v>344</v>
      </c>
      <c r="BM24" t="s">
        <v>634</v>
      </c>
      <c r="BN24">
        <v>30084997</v>
      </c>
      <c r="BO24" t="s">
        <v>635</v>
      </c>
      <c r="BP24" t="s">
        <v>74</v>
      </c>
      <c r="BQ24" t="s">
        <v>74</v>
      </c>
      <c r="BR24" t="s">
        <v>104</v>
      </c>
      <c r="BS24" t="s">
        <v>636</v>
      </c>
      <c r="BT24" t="str">
        <f>HYPERLINK("https%3A%2F%2Fwww.webofscience.com%2Fwos%2Fwoscc%2Ffull-record%2FWOS:000448167900011","View Full Record in Web of Science")</f>
        <v>View Full Record in Web of Science</v>
      </c>
    </row>
    <row r="25" spans="1:72" x14ac:dyDescent="0.15">
      <c r="A25" t="s">
        <v>72</v>
      </c>
      <c r="B25" t="s">
        <v>637</v>
      </c>
      <c r="C25" t="s">
        <v>74</v>
      </c>
      <c r="D25" t="s">
        <v>74</v>
      </c>
      <c r="E25" t="s">
        <v>74</v>
      </c>
      <c r="F25" t="s">
        <v>638</v>
      </c>
      <c r="G25" t="s">
        <v>74</v>
      </c>
      <c r="H25" t="s">
        <v>74</v>
      </c>
      <c r="I25" t="s">
        <v>639</v>
      </c>
      <c r="J25" t="s">
        <v>640</v>
      </c>
      <c r="K25" t="s">
        <v>74</v>
      </c>
      <c r="L25" t="s">
        <v>74</v>
      </c>
      <c r="M25" t="s">
        <v>78</v>
      </c>
      <c r="N25" t="s">
        <v>79</v>
      </c>
      <c r="O25" t="s">
        <v>74</v>
      </c>
      <c r="P25" t="s">
        <v>74</v>
      </c>
      <c r="Q25" t="s">
        <v>74</v>
      </c>
      <c r="R25" t="s">
        <v>74</v>
      </c>
      <c r="S25" t="s">
        <v>74</v>
      </c>
      <c r="T25" t="s">
        <v>641</v>
      </c>
      <c r="U25" t="s">
        <v>642</v>
      </c>
      <c r="V25" t="s">
        <v>643</v>
      </c>
      <c r="W25" t="s">
        <v>644</v>
      </c>
      <c r="X25" t="s">
        <v>645</v>
      </c>
      <c r="Y25" t="s">
        <v>646</v>
      </c>
      <c r="Z25" t="s">
        <v>647</v>
      </c>
      <c r="AA25" t="s">
        <v>648</v>
      </c>
      <c r="AB25" t="s">
        <v>649</v>
      </c>
      <c r="AC25" t="s">
        <v>650</v>
      </c>
      <c r="AD25" t="s">
        <v>651</v>
      </c>
      <c r="AE25" t="s">
        <v>652</v>
      </c>
      <c r="AF25" t="s">
        <v>74</v>
      </c>
      <c r="AG25">
        <v>70</v>
      </c>
      <c r="AH25">
        <v>15</v>
      </c>
      <c r="AI25">
        <v>15</v>
      </c>
      <c r="AJ25">
        <v>3</v>
      </c>
      <c r="AK25">
        <v>31</v>
      </c>
      <c r="AL25" t="s">
        <v>503</v>
      </c>
      <c r="AM25" t="s">
        <v>504</v>
      </c>
      <c r="AN25" t="s">
        <v>505</v>
      </c>
      <c r="AO25" t="s">
        <v>653</v>
      </c>
      <c r="AP25" t="s">
        <v>654</v>
      </c>
      <c r="AQ25" t="s">
        <v>74</v>
      </c>
      <c r="AR25" t="s">
        <v>655</v>
      </c>
      <c r="AS25" t="s">
        <v>656</v>
      </c>
      <c r="AT25" t="s">
        <v>98</v>
      </c>
      <c r="AU25">
        <v>2018</v>
      </c>
      <c r="AV25">
        <v>32</v>
      </c>
      <c r="AW25">
        <v>10</v>
      </c>
      <c r="AX25" t="s">
        <v>74</v>
      </c>
      <c r="AY25" t="s">
        <v>74</v>
      </c>
      <c r="AZ25" t="s">
        <v>74</v>
      </c>
      <c r="BA25" t="s">
        <v>74</v>
      </c>
      <c r="BB25">
        <v>1556</v>
      </c>
      <c r="BC25">
        <v>1573</v>
      </c>
      <c r="BD25" t="s">
        <v>74</v>
      </c>
      <c r="BE25" t="s">
        <v>657</v>
      </c>
      <c r="BF25" t="str">
        <f>HYPERLINK("http://dx.doi.org/10.1029/2018GB005977","http://dx.doi.org/10.1029/2018GB005977")</f>
        <v>http://dx.doi.org/10.1029/2018GB005977</v>
      </c>
      <c r="BG25" t="s">
        <v>74</v>
      </c>
      <c r="BH25" t="s">
        <v>74</v>
      </c>
      <c r="BI25">
        <v>18</v>
      </c>
      <c r="BJ25" t="s">
        <v>658</v>
      </c>
      <c r="BK25" t="s">
        <v>101</v>
      </c>
      <c r="BL25" t="s">
        <v>659</v>
      </c>
      <c r="BM25" t="s">
        <v>660</v>
      </c>
      <c r="BN25" t="s">
        <v>74</v>
      </c>
      <c r="BO25" t="s">
        <v>661</v>
      </c>
      <c r="BP25" t="s">
        <v>74</v>
      </c>
      <c r="BQ25" t="s">
        <v>74</v>
      </c>
      <c r="BR25" t="s">
        <v>104</v>
      </c>
      <c r="BS25" t="s">
        <v>662</v>
      </c>
      <c r="BT25" t="str">
        <f>HYPERLINK("https%3A%2F%2Fwww.webofscience.com%2Fwos%2Fwoscc%2Ffull-record%2FWOS:000450063500010","View Full Record in Web of Science")</f>
        <v>View Full Record in Web of Science</v>
      </c>
    </row>
    <row r="26" spans="1:72" x14ac:dyDescent="0.15">
      <c r="A26" t="s">
        <v>72</v>
      </c>
      <c r="B26" t="s">
        <v>663</v>
      </c>
      <c r="C26" t="s">
        <v>74</v>
      </c>
      <c r="D26" t="s">
        <v>74</v>
      </c>
      <c r="E26" t="s">
        <v>74</v>
      </c>
      <c r="F26" t="s">
        <v>664</v>
      </c>
      <c r="G26" t="s">
        <v>74</v>
      </c>
      <c r="H26" t="s">
        <v>74</v>
      </c>
      <c r="I26" t="s">
        <v>665</v>
      </c>
      <c r="J26" t="s">
        <v>666</v>
      </c>
      <c r="K26" t="s">
        <v>74</v>
      </c>
      <c r="L26" t="s">
        <v>74</v>
      </c>
      <c r="M26" t="s">
        <v>78</v>
      </c>
      <c r="N26" t="s">
        <v>79</v>
      </c>
      <c r="O26" t="s">
        <v>74</v>
      </c>
      <c r="P26" t="s">
        <v>74</v>
      </c>
      <c r="Q26" t="s">
        <v>74</v>
      </c>
      <c r="R26" t="s">
        <v>74</v>
      </c>
      <c r="S26" t="s">
        <v>74</v>
      </c>
      <c r="T26" t="s">
        <v>667</v>
      </c>
      <c r="U26" t="s">
        <v>668</v>
      </c>
      <c r="V26" t="s">
        <v>669</v>
      </c>
      <c r="W26" t="s">
        <v>670</v>
      </c>
      <c r="X26" t="s">
        <v>671</v>
      </c>
      <c r="Y26" t="s">
        <v>672</v>
      </c>
      <c r="Z26" t="s">
        <v>673</v>
      </c>
      <c r="AA26" t="s">
        <v>674</v>
      </c>
      <c r="AB26" t="s">
        <v>675</v>
      </c>
      <c r="AC26" t="s">
        <v>74</v>
      </c>
      <c r="AD26" t="s">
        <v>74</v>
      </c>
      <c r="AE26" t="s">
        <v>74</v>
      </c>
      <c r="AF26" t="s">
        <v>74</v>
      </c>
      <c r="AG26">
        <v>52</v>
      </c>
      <c r="AH26">
        <v>15</v>
      </c>
      <c r="AI26">
        <v>15</v>
      </c>
      <c r="AJ26">
        <v>0</v>
      </c>
      <c r="AK26">
        <v>17</v>
      </c>
      <c r="AL26" t="s">
        <v>676</v>
      </c>
      <c r="AM26" t="s">
        <v>677</v>
      </c>
      <c r="AN26" t="s">
        <v>678</v>
      </c>
      <c r="AO26" t="s">
        <v>679</v>
      </c>
      <c r="AP26" t="s">
        <v>680</v>
      </c>
      <c r="AQ26" t="s">
        <v>74</v>
      </c>
      <c r="AR26" t="s">
        <v>681</v>
      </c>
      <c r="AS26" t="s">
        <v>682</v>
      </c>
      <c r="AT26" t="s">
        <v>98</v>
      </c>
      <c r="AU26">
        <v>2018</v>
      </c>
      <c r="AV26">
        <v>22</v>
      </c>
      <c r="AW26">
        <v>4</v>
      </c>
      <c r="AX26" t="s">
        <v>74</v>
      </c>
      <c r="AY26" t="s">
        <v>74</v>
      </c>
      <c r="AZ26" t="s">
        <v>74</v>
      </c>
      <c r="BA26" t="s">
        <v>74</v>
      </c>
      <c r="BB26" t="s">
        <v>74</v>
      </c>
      <c r="BC26" t="s">
        <v>74</v>
      </c>
      <c r="BD26">
        <v>107</v>
      </c>
      <c r="BE26" t="s">
        <v>683</v>
      </c>
      <c r="BF26" t="str">
        <f>HYPERLINK("http://dx.doi.org/10.1007/s10291-018-0772-4","http://dx.doi.org/10.1007/s10291-018-0772-4")</f>
        <v>http://dx.doi.org/10.1007/s10291-018-0772-4</v>
      </c>
      <c r="BG26" t="s">
        <v>74</v>
      </c>
      <c r="BH26" t="s">
        <v>74</v>
      </c>
      <c r="BI26">
        <v>18</v>
      </c>
      <c r="BJ26" t="s">
        <v>684</v>
      </c>
      <c r="BK26" t="s">
        <v>101</v>
      </c>
      <c r="BL26" t="s">
        <v>684</v>
      </c>
      <c r="BM26" t="s">
        <v>685</v>
      </c>
      <c r="BN26" t="s">
        <v>74</v>
      </c>
      <c r="BO26" t="s">
        <v>74</v>
      </c>
      <c r="BP26" t="s">
        <v>74</v>
      </c>
      <c r="BQ26" t="s">
        <v>74</v>
      </c>
      <c r="BR26" t="s">
        <v>104</v>
      </c>
      <c r="BS26" t="s">
        <v>686</v>
      </c>
      <c r="BT26" t="str">
        <f>HYPERLINK("https%3A%2F%2Fwww.webofscience.com%2Fwos%2Fwoscc%2Ffull-record%2FWOS:000441412000001","View Full Record in Web of Science")</f>
        <v>View Full Record in Web of Science</v>
      </c>
    </row>
    <row r="27" spans="1:72" x14ac:dyDescent="0.15">
      <c r="A27" t="s">
        <v>72</v>
      </c>
      <c r="B27" t="s">
        <v>687</v>
      </c>
      <c r="C27" t="s">
        <v>74</v>
      </c>
      <c r="D27" t="s">
        <v>74</v>
      </c>
      <c r="E27" t="s">
        <v>74</v>
      </c>
      <c r="F27" t="s">
        <v>688</v>
      </c>
      <c r="G27" t="s">
        <v>74</v>
      </c>
      <c r="H27" t="s">
        <v>74</v>
      </c>
      <c r="I27" t="s">
        <v>689</v>
      </c>
      <c r="J27" t="s">
        <v>690</v>
      </c>
      <c r="K27" t="s">
        <v>74</v>
      </c>
      <c r="L27" t="s">
        <v>74</v>
      </c>
      <c r="M27" t="s">
        <v>78</v>
      </c>
      <c r="N27" t="s">
        <v>79</v>
      </c>
      <c r="O27" t="s">
        <v>74</v>
      </c>
      <c r="P27" t="s">
        <v>74</v>
      </c>
      <c r="Q27" t="s">
        <v>74</v>
      </c>
      <c r="R27" t="s">
        <v>74</v>
      </c>
      <c r="S27" t="s">
        <v>74</v>
      </c>
      <c r="T27" t="s">
        <v>691</v>
      </c>
      <c r="U27" t="s">
        <v>692</v>
      </c>
      <c r="V27" t="s">
        <v>693</v>
      </c>
      <c r="W27" t="s">
        <v>694</v>
      </c>
      <c r="X27" t="s">
        <v>695</v>
      </c>
      <c r="Y27" t="s">
        <v>696</v>
      </c>
      <c r="Z27" t="s">
        <v>697</v>
      </c>
      <c r="AA27" t="s">
        <v>698</v>
      </c>
      <c r="AB27" t="s">
        <v>699</v>
      </c>
      <c r="AC27" t="s">
        <v>700</v>
      </c>
      <c r="AD27" t="s">
        <v>701</v>
      </c>
      <c r="AE27" t="s">
        <v>702</v>
      </c>
      <c r="AF27" t="s">
        <v>74</v>
      </c>
      <c r="AG27">
        <v>54</v>
      </c>
      <c r="AH27">
        <v>5</v>
      </c>
      <c r="AI27">
        <v>7</v>
      </c>
      <c r="AJ27">
        <v>0</v>
      </c>
      <c r="AK27">
        <v>19</v>
      </c>
      <c r="AL27" t="s">
        <v>703</v>
      </c>
      <c r="AM27" t="s">
        <v>704</v>
      </c>
      <c r="AN27" t="s">
        <v>705</v>
      </c>
      <c r="AO27" t="s">
        <v>706</v>
      </c>
      <c r="AP27" t="s">
        <v>707</v>
      </c>
      <c r="AQ27" t="s">
        <v>74</v>
      </c>
      <c r="AR27" t="s">
        <v>708</v>
      </c>
      <c r="AS27" t="s">
        <v>709</v>
      </c>
      <c r="AT27" t="s">
        <v>98</v>
      </c>
      <c r="AU27">
        <v>2018</v>
      </c>
      <c r="AV27">
        <v>68</v>
      </c>
      <c r="AW27">
        <v>10</v>
      </c>
      <c r="AX27" t="s">
        <v>74</v>
      </c>
      <c r="AY27" t="s">
        <v>74</v>
      </c>
      <c r="AZ27" t="s">
        <v>74</v>
      </c>
      <c r="BA27" t="s">
        <v>74</v>
      </c>
      <c r="BB27">
        <v>3132</v>
      </c>
      <c r="BC27">
        <v>3139</v>
      </c>
      <c r="BD27" t="s">
        <v>74</v>
      </c>
      <c r="BE27" t="s">
        <v>710</v>
      </c>
      <c r="BF27" t="str">
        <f>HYPERLINK("http://dx.doi.org/10.1099/ijsem.0.002952","http://dx.doi.org/10.1099/ijsem.0.002952")</f>
        <v>http://dx.doi.org/10.1099/ijsem.0.002952</v>
      </c>
      <c r="BG27" t="s">
        <v>74</v>
      </c>
      <c r="BH27" t="s">
        <v>74</v>
      </c>
      <c r="BI27">
        <v>8</v>
      </c>
      <c r="BJ27" t="s">
        <v>344</v>
      </c>
      <c r="BK27" t="s">
        <v>101</v>
      </c>
      <c r="BL27" t="s">
        <v>344</v>
      </c>
      <c r="BM27" t="s">
        <v>711</v>
      </c>
      <c r="BN27">
        <v>30095387</v>
      </c>
      <c r="BO27" t="s">
        <v>712</v>
      </c>
      <c r="BP27" t="s">
        <v>74</v>
      </c>
      <c r="BQ27" t="s">
        <v>74</v>
      </c>
      <c r="BR27" t="s">
        <v>104</v>
      </c>
      <c r="BS27" t="s">
        <v>713</v>
      </c>
      <c r="BT27" t="str">
        <f>HYPERLINK("https%3A%2F%2Fwww.webofscience.com%2Fwos%2Fwoscc%2Ffull-record%2FWOS:000446161300008","View Full Record in Web of Science")</f>
        <v>View Full Record in Web of Science</v>
      </c>
    </row>
    <row r="28" spans="1:72" x14ac:dyDescent="0.15">
      <c r="A28" t="s">
        <v>72</v>
      </c>
      <c r="B28" t="s">
        <v>714</v>
      </c>
      <c r="C28" t="s">
        <v>74</v>
      </c>
      <c r="D28" t="s">
        <v>74</v>
      </c>
      <c r="E28" t="s">
        <v>74</v>
      </c>
      <c r="F28" t="s">
        <v>715</v>
      </c>
      <c r="G28" t="s">
        <v>74</v>
      </c>
      <c r="H28" t="s">
        <v>74</v>
      </c>
      <c r="I28" t="s">
        <v>716</v>
      </c>
      <c r="J28" t="s">
        <v>717</v>
      </c>
      <c r="K28" t="s">
        <v>74</v>
      </c>
      <c r="L28" t="s">
        <v>74</v>
      </c>
      <c r="M28" t="s">
        <v>78</v>
      </c>
      <c r="N28" t="s">
        <v>79</v>
      </c>
      <c r="O28" t="s">
        <v>74</v>
      </c>
      <c r="P28" t="s">
        <v>74</v>
      </c>
      <c r="Q28" t="s">
        <v>74</v>
      </c>
      <c r="R28" t="s">
        <v>74</v>
      </c>
      <c r="S28" t="s">
        <v>74</v>
      </c>
      <c r="T28" t="s">
        <v>74</v>
      </c>
      <c r="U28" t="s">
        <v>718</v>
      </c>
      <c r="V28" t="s">
        <v>719</v>
      </c>
      <c r="W28" t="s">
        <v>720</v>
      </c>
      <c r="X28" t="s">
        <v>721</v>
      </c>
      <c r="Y28" t="s">
        <v>722</v>
      </c>
      <c r="Z28" t="s">
        <v>723</v>
      </c>
      <c r="AA28" t="s">
        <v>724</v>
      </c>
      <c r="AB28" t="s">
        <v>725</v>
      </c>
      <c r="AC28" t="s">
        <v>726</v>
      </c>
      <c r="AD28" t="s">
        <v>727</v>
      </c>
      <c r="AE28" t="s">
        <v>728</v>
      </c>
      <c r="AF28" t="s">
        <v>74</v>
      </c>
      <c r="AG28">
        <v>25</v>
      </c>
      <c r="AH28">
        <v>28</v>
      </c>
      <c r="AI28">
        <v>28</v>
      </c>
      <c r="AJ28">
        <v>2</v>
      </c>
      <c r="AK28">
        <v>85</v>
      </c>
      <c r="AL28" t="s">
        <v>729</v>
      </c>
      <c r="AM28" t="s">
        <v>730</v>
      </c>
      <c r="AN28" t="s">
        <v>731</v>
      </c>
      <c r="AO28" t="s">
        <v>732</v>
      </c>
      <c r="AP28" t="s">
        <v>733</v>
      </c>
      <c r="AQ28" t="s">
        <v>74</v>
      </c>
      <c r="AR28" t="s">
        <v>734</v>
      </c>
      <c r="AS28" t="s">
        <v>735</v>
      </c>
      <c r="AT28" t="s">
        <v>291</v>
      </c>
      <c r="AU28">
        <v>2018</v>
      </c>
      <c r="AV28">
        <v>33</v>
      </c>
      <c r="AW28">
        <v>10</v>
      </c>
      <c r="AX28" t="s">
        <v>74</v>
      </c>
      <c r="AY28" t="s">
        <v>74</v>
      </c>
      <c r="AZ28" t="s">
        <v>74</v>
      </c>
      <c r="BA28" t="s">
        <v>74</v>
      </c>
      <c r="BB28">
        <v>1737</v>
      </c>
      <c r="BC28">
        <v>1744</v>
      </c>
      <c r="BD28" t="s">
        <v>74</v>
      </c>
      <c r="BE28" t="s">
        <v>736</v>
      </c>
      <c r="BF28" t="str">
        <f>HYPERLINK("http://dx.doi.org/10.1039/c8ja00188j","http://dx.doi.org/10.1039/c8ja00188j")</f>
        <v>http://dx.doi.org/10.1039/c8ja00188j</v>
      </c>
      <c r="BG28" t="s">
        <v>74</v>
      </c>
      <c r="BH28" t="s">
        <v>74</v>
      </c>
      <c r="BI28">
        <v>8</v>
      </c>
      <c r="BJ28" t="s">
        <v>737</v>
      </c>
      <c r="BK28" t="s">
        <v>101</v>
      </c>
      <c r="BL28" t="s">
        <v>738</v>
      </c>
      <c r="BM28" t="s">
        <v>739</v>
      </c>
      <c r="BN28" t="s">
        <v>74</v>
      </c>
      <c r="BO28" t="s">
        <v>740</v>
      </c>
      <c r="BP28" t="s">
        <v>74</v>
      </c>
      <c r="BQ28" t="s">
        <v>74</v>
      </c>
      <c r="BR28" t="s">
        <v>104</v>
      </c>
      <c r="BS28" t="s">
        <v>741</v>
      </c>
      <c r="BT28" t="str">
        <f>HYPERLINK("https%3A%2F%2Fwww.webofscience.com%2Fwos%2Fwoscc%2Ffull-record%2FWOS:000448340200015","View Full Record in Web of Science")</f>
        <v>View Full Record in Web of Science</v>
      </c>
    </row>
    <row r="29" spans="1:72" x14ac:dyDescent="0.15">
      <c r="A29" t="s">
        <v>72</v>
      </c>
      <c r="B29" t="s">
        <v>742</v>
      </c>
      <c r="C29" t="s">
        <v>74</v>
      </c>
      <c r="D29" t="s">
        <v>74</v>
      </c>
      <c r="E29" t="s">
        <v>74</v>
      </c>
      <c r="F29" t="s">
        <v>743</v>
      </c>
      <c r="G29" t="s">
        <v>74</v>
      </c>
      <c r="H29" t="s">
        <v>74</v>
      </c>
      <c r="I29" t="s">
        <v>744</v>
      </c>
      <c r="J29" t="s">
        <v>745</v>
      </c>
      <c r="K29" t="s">
        <v>74</v>
      </c>
      <c r="L29" t="s">
        <v>74</v>
      </c>
      <c r="M29" t="s">
        <v>78</v>
      </c>
      <c r="N29" t="s">
        <v>79</v>
      </c>
      <c r="O29" t="s">
        <v>74</v>
      </c>
      <c r="P29" t="s">
        <v>74</v>
      </c>
      <c r="Q29" t="s">
        <v>74</v>
      </c>
      <c r="R29" t="s">
        <v>74</v>
      </c>
      <c r="S29" t="s">
        <v>74</v>
      </c>
      <c r="T29" t="s">
        <v>746</v>
      </c>
      <c r="U29" t="s">
        <v>747</v>
      </c>
      <c r="V29" t="s">
        <v>748</v>
      </c>
      <c r="W29" t="s">
        <v>749</v>
      </c>
      <c r="X29" t="s">
        <v>750</v>
      </c>
      <c r="Y29" t="s">
        <v>751</v>
      </c>
      <c r="Z29" t="s">
        <v>752</v>
      </c>
      <c r="AA29" t="s">
        <v>753</v>
      </c>
      <c r="AB29" t="s">
        <v>754</v>
      </c>
      <c r="AC29" t="s">
        <v>755</v>
      </c>
      <c r="AD29" t="s">
        <v>756</v>
      </c>
      <c r="AE29" t="s">
        <v>757</v>
      </c>
      <c r="AF29" t="s">
        <v>74</v>
      </c>
      <c r="AG29">
        <v>58</v>
      </c>
      <c r="AH29">
        <v>14</v>
      </c>
      <c r="AI29">
        <v>16</v>
      </c>
      <c r="AJ29">
        <v>9</v>
      </c>
      <c r="AK29">
        <v>85</v>
      </c>
      <c r="AL29" t="s">
        <v>758</v>
      </c>
      <c r="AM29" t="s">
        <v>759</v>
      </c>
      <c r="AN29" t="s">
        <v>760</v>
      </c>
      <c r="AO29" t="s">
        <v>761</v>
      </c>
      <c r="AP29" t="s">
        <v>762</v>
      </c>
      <c r="AQ29" t="s">
        <v>74</v>
      </c>
      <c r="AR29" t="s">
        <v>763</v>
      </c>
      <c r="AS29" t="s">
        <v>764</v>
      </c>
      <c r="AT29" t="s">
        <v>98</v>
      </c>
      <c r="AU29">
        <v>2018</v>
      </c>
      <c r="AV29">
        <v>45</v>
      </c>
      <c r="AW29">
        <v>10</v>
      </c>
      <c r="AX29" t="s">
        <v>74</v>
      </c>
      <c r="AY29" t="s">
        <v>74</v>
      </c>
      <c r="AZ29" t="s">
        <v>74</v>
      </c>
      <c r="BA29" t="s">
        <v>74</v>
      </c>
      <c r="BB29">
        <v>2272</v>
      </c>
      <c r="BC29">
        <v>2287</v>
      </c>
      <c r="BD29" t="s">
        <v>74</v>
      </c>
      <c r="BE29" t="s">
        <v>765</v>
      </c>
      <c r="BF29" t="str">
        <f>HYPERLINK("http://dx.doi.org/10.1111/jbi.13377","http://dx.doi.org/10.1111/jbi.13377")</f>
        <v>http://dx.doi.org/10.1111/jbi.13377</v>
      </c>
      <c r="BG29" t="s">
        <v>74</v>
      </c>
      <c r="BH29" t="s">
        <v>74</v>
      </c>
      <c r="BI29">
        <v>16</v>
      </c>
      <c r="BJ29" t="s">
        <v>766</v>
      </c>
      <c r="BK29" t="s">
        <v>101</v>
      </c>
      <c r="BL29" t="s">
        <v>767</v>
      </c>
      <c r="BM29" t="s">
        <v>768</v>
      </c>
      <c r="BN29" t="s">
        <v>74</v>
      </c>
      <c r="BO29" t="s">
        <v>74</v>
      </c>
      <c r="BP29" t="s">
        <v>74</v>
      </c>
      <c r="BQ29" t="s">
        <v>74</v>
      </c>
      <c r="BR29" t="s">
        <v>104</v>
      </c>
      <c r="BS29" t="s">
        <v>769</v>
      </c>
      <c r="BT29" t="str">
        <f>HYPERLINK("https%3A%2F%2Fwww.webofscience.com%2Fwos%2Fwoscc%2Ffull-record%2FWOS:000452234900005","View Full Record in Web of Science")</f>
        <v>View Full Record in Web of Science</v>
      </c>
    </row>
    <row r="30" spans="1:72" x14ac:dyDescent="0.15">
      <c r="A30" t="s">
        <v>72</v>
      </c>
      <c r="B30" t="s">
        <v>770</v>
      </c>
      <c r="C30" t="s">
        <v>74</v>
      </c>
      <c r="D30" t="s">
        <v>74</v>
      </c>
      <c r="E30" t="s">
        <v>74</v>
      </c>
      <c r="F30" t="s">
        <v>771</v>
      </c>
      <c r="G30" t="s">
        <v>74</v>
      </c>
      <c r="H30" t="s">
        <v>74</v>
      </c>
      <c r="I30" t="s">
        <v>772</v>
      </c>
      <c r="J30" t="s">
        <v>773</v>
      </c>
      <c r="K30" t="s">
        <v>74</v>
      </c>
      <c r="L30" t="s">
        <v>74</v>
      </c>
      <c r="M30" t="s">
        <v>78</v>
      </c>
      <c r="N30" t="s">
        <v>79</v>
      </c>
      <c r="O30" t="s">
        <v>74</v>
      </c>
      <c r="P30" t="s">
        <v>74</v>
      </c>
      <c r="Q30" t="s">
        <v>74</v>
      </c>
      <c r="R30" t="s">
        <v>74</v>
      </c>
      <c r="S30" t="s">
        <v>74</v>
      </c>
      <c r="T30" t="s">
        <v>774</v>
      </c>
      <c r="U30" t="s">
        <v>775</v>
      </c>
      <c r="V30" t="s">
        <v>776</v>
      </c>
      <c r="W30" t="s">
        <v>777</v>
      </c>
      <c r="X30" t="s">
        <v>778</v>
      </c>
      <c r="Y30" t="s">
        <v>779</v>
      </c>
      <c r="Z30" t="s">
        <v>780</v>
      </c>
      <c r="AA30" t="s">
        <v>781</v>
      </c>
      <c r="AB30" t="s">
        <v>74</v>
      </c>
      <c r="AC30" t="s">
        <v>782</v>
      </c>
      <c r="AD30" t="s">
        <v>783</v>
      </c>
      <c r="AE30" t="s">
        <v>784</v>
      </c>
      <c r="AF30" t="s">
        <v>74</v>
      </c>
      <c r="AG30">
        <v>86</v>
      </c>
      <c r="AH30">
        <v>26</v>
      </c>
      <c r="AI30">
        <v>30</v>
      </c>
      <c r="AJ30">
        <v>2</v>
      </c>
      <c r="AK30">
        <v>43</v>
      </c>
      <c r="AL30" t="s">
        <v>785</v>
      </c>
      <c r="AM30" t="s">
        <v>786</v>
      </c>
      <c r="AN30" t="s">
        <v>787</v>
      </c>
      <c r="AO30" t="s">
        <v>788</v>
      </c>
      <c r="AP30" t="s">
        <v>789</v>
      </c>
      <c r="AQ30" t="s">
        <v>74</v>
      </c>
      <c r="AR30" t="s">
        <v>790</v>
      </c>
      <c r="AS30" t="s">
        <v>791</v>
      </c>
      <c r="AT30" t="s">
        <v>98</v>
      </c>
      <c r="AU30">
        <v>2018</v>
      </c>
      <c r="AV30">
        <v>31</v>
      </c>
      <c r="AW30">
        <v>19</v>
      </c>
      <c r="AX30" t="s">
        <v>74</v>
      </c>
      <c r="AY30" t="s">
        <v>74</v>
      </c>
      <c r="AZ30" t="s">
        <v>74</v>
      </c>
      <c r="BA30" t="s">
        <v>74</v>
      </c>
      <c r="BB30">
        <v>7701</v>
      </c>
      <c r="BC30">
        <v>7718</v>
      </c>
      <c r="BD30" t="s">
        <v>74</v>
      </c>
      <c r="BE30" t="s">
        <v>792</v>
      </c>
      <c r="BF30" t="str">
        <f>HYPERLINK("http://dx.doi.org/10.1175/JCLI-D-17-0327.1","http://dx.doi.org/10.1175/JCLI-D-17-0327.1")</f>
        <v>http://dx.doi.org/10.1175/JCLI-D-17-0327.1</v>
      </c>
      <c r="BG30" t="s">
        <v>74</v>
      </c>
      <c r="BH30" t="s">
        <v>74</v>
      </c>
      <c r="BI30">
        <v>18</v>
      </c>
      <c r="BJ30" t="s">
        <v>369</v>
      </c>
      <c r="BK30" t="s">
        <v>101</v>
      </c>
      <c r="BL30" t="s">
        <v>369</v>
      </c>
      <c r="BM30" t="s">
        <v>793</v>
      </c>
      <c r="BN30" t="s">
        <v>74</v>
      </c>
      <c r="BO30" t="s">
        <v>712</v>
      </c>
      <c r="BP30" t="s">
        <v>74</v>
      </c>
      <c r="BQ30" t="s">
        <v>74</v>
      </c>
      <c r="BR30" t="s">
        <v>104</v>
      </c>
      <c r="BS30" t="s">
        <v>794</v>
      </c>
      <c r="BT30" t="str">
        <f>HYPERLINK("https%3A%2F%2Fwww.webofscience.com%2Fwos%2Fwoscc%2Ffull-record%2FWOS:000441232700001","View Full Record in Web of Science")</f>
        <v>View Full Record in Web of Science</v>
      </c>
    </row>
    <row r="31" spans="1:72" x14ac:dyDescent="0.15">
      <c r="A31" t="s">
        <v>72</v>
      </c>
      <c r="B31" t="s">
        <v>795</v>
      </c>
      <c r="C31" t="s">
        <v>74</v>
      </c>
      <c r="D31" t="s">
        <v>74</v>
      </c>
      <c r="E31" t="s">
        <v>74</v>
      </c>
      <c r="F31" t="s">
        <v>796</v>
      </c>
      <c r="G31" t="s">
        <v>74</v>
      </c>
      <c r="H31" t="s">
        <v>74</v>
      </c>
      <c r="I31" t="s">
        <v>797</v>
      </c>
      <c r="J31" t="s">
        <v>798</v>
      </c>
      <c r="K31" t="s">
        <v>74</v>
      </c>
      <c r="L31" t="s">
        <v>74</v>
      </c>
      <c r="M31" t="s">
        <v>78</v>
      </c>
      <c r="N31" t="s">
        <v>79</v>
      </c>
      <c r="O31" t="s">
        <v>74</v>
      </c>
      <c r="P31" t="s">
        <v>74</v>
      </c>
      <c r="Q31" t="s">
        <v>74</v>
      </c>
      <c r="R31" t="s">
        <v>74</v>
      </c>
      <c r="S31" t="s">
        <v>74</v>
      </c>
      <c r="T31" t="s">
        <v>799</v>
      </c>
      <c r="U31" t="s">
        <v>800</v>
      </c>
      <c r="V31" t="s">
        <v>801</v>
      </c>
      <c r="W31" t="s">
        <v>802</v>
      </c>
      <c r="X31" t="s">
        <v>803</v>
      </c>
      <c r="Y31" t="s">
        <v>804</v>
      </c>
      <c r="Z31" t="s">
        <v>805</v>
      </c>
      <c r="AA31" t="s">
        <v>806</v>
      </c>
      <c r="AB31" t="s">
        <v>807</v>
      </c>
      <c r="AC31" t="s">
        <v>808</v>
      </c>
      <c r="AD31" t="s">
        <v>809</v>
      </c>
      <c r="AE31" t="s">
        <v>810</v>
      </c>
      <c r="AF31" t="s">
        <v>74</v>
      </c>
      <c r="AG31">
        <v>45</v>
      </c>
      <c r="AH31">
        <v>16</v>
      </c>
      <c r="AI31">
        <v>16</v>
      </c>
      <c r="AJ31">
        <v>1</v>
      </c>
      <c r="AK31">
        <v>7</v>
      </c>
      <c r="AL31" t="s">
        <v>503</v>
      </c>
      <c r="AM31" t="s">
        <v>504</v>
      </c>
      <c r="AN31" t="s">
        <v>505</v>
      </c>
      <c r="AO31" t="s">
        <v>811</v>
      </c>
      <c r="AP31" t="s">
        <v>812</v>
      </c>
      <c r="AQ31" t="s">
        <v>74</v>
      </c>
      <c r="AR31" t="s">
        <v>813</v>
      </c>
      <c r="AS31" t="s">
        <v>814</v>
      </c>
      <c r="AT31" t="s">
        <v>98</v>
      </c>
      <c r="AU31">
        <v>2018</v>
      </c>
      <c r="AV31">
        <v>123</v>
      </c>
      <c r="AW31">
        <v>10</v>
      </c>
      <c r="AX31" t="s">
        <v>74</v>
      </c>
      <c r="AY31" t="s">
        <v>74</v>
      </c>
      <c r="AZ31" t="s">
        <v>74</v>
      </c>
      <c r="BA31" t="s">
        <v>74</v>
      </c>
      <c r="BB31">
        <v>7067</v>
      </c>
      <c r="BC31">
        <v>7083</v>
      </c>
      <c r="BD31" t="s">
        <v>74</v>
      </c>
      <c r="BE31" t="s">
        <v>815</v>
      </c>
      <c r="BF31" t="str">
        <f>HYPERLINK("http://dx.doi.org/10.1029/2018JC014319","http://dx.doi.org/10.1029/2018JC014319")</f>
        <v>http://dx.doi.org/10.1029/2018JC014319</v>
      </c>
      <c r="BG31" t="s">
        <v>74</v>
      </c>
      <c r="BH31" t="s">
        <v>74</v>
      </c>
      <c r="BI31">
        <v>17</v>
      </c>
      <c r="BJ31" t="s">
        <v>157</v>
      </c>
      <c r="BK31" t="s">
        <v>101</v>
      </c>
      <c r="BL31" t="s">
        <v>157</v>
      </c>
      <c r="BM31" t="s">
        <v>816</v>
      </c>
      <c r="BN31" t="s">
        <v>74</v>
      </c>
      <c r="BO31" t="s">
        <v>817</v>
      </c>
      <c r="BP31" t="s">
        <v>74</v>
      </c>
      <c r="BQ31" t="s">
        <v>74</v>
      </c>
      <c r="BR31" t="s">
        <v>104</v>
      </c>
      <c r="BS31" t="s">
        <v>818</v>
      </c>
      <c r="BT31" t="str">
        <f>HYPERLINK("https%3A%2F%2Fwww.webofscience.com%2Fwos%2Fwoscc%2Ffull-record%2FWOS:000451274900006","View Full Record in Web of Science")</f>
        <v>View Full Record in Web of Science</v>
      </c>
    </row>
    <row r="32" spans="1:72" x14ac:dyDescent="0.15">
      <c r="A32" t="s">
        <v>72</v>
      </c>
      <c r="B32" t="s">
        <v>819</v>
      </c>
      <c r="C32" t="s">
        <v>74</v>
      </c>
      <c r="D32" t="s">
        <v>74</v>
      </c>
      <c r="E32" t="s">
        <v>74</v>
      </c>
      <c r="F32" t="s">
        <v>820</v>
      </c>
      <c r="G32" t="s">
        <v>74</v>
      </c>
      <c r="H32" t="s">
        <v>74</v>
      </c>
      <c r="I32" t="s">
        <v>821</v>
      </c>
      <c r="J32" t="s">
        <v>798</v>
      </c>
      <c r="K32" t="s">
        <v>74</v>
      </c>
      <c r="L32" t="s">
        <v>74</v>
      </c>
      <c r="M32" t="s">
        <v>78</v>
      </c>
      <c r="N32" t="s">
        <v>79</v>
      </c>
      <c r="O32" t="s">
        <v>74</v>
      </c>
      <c r="P32" t="s">
        <v>74</v>
      </c>
      <c r="Q32" t="s">
        <v>74</v>
      </c>
      <c r="R32" t="s">
        <v>74</v>
      </c>
      <c r="S32" t="s">
        <v>74</v>
      </c>
      <c r="T32" t="s">
        <v>822</v>
      </c>
      <c r="U32" t="s">
        <v>823</v>
      </c>
      <c r="V32" t="s">
        <v>824</v>
      </c>
      <c r="W32" t="s">
        <v>825</v>
      </c>
      <c r="X32" t="s">
        <v>826</v>
      </c>
      <c r="Y32" t="s">
        <v>827</v>
      </c>
      <c r="Z32" t="s">
        <v>828</v>
      </c>
      <c r="AA32" t="s">
        <v>829</v>
      </c>
      <c r="AB32" t="s">
        <v>830</v>
      </c>
      <c r="AC32" t="s">
        <v>831</v>
      </c>
      <c r="AD32" t="s">
        <v>832</v>
      </c>
      <c r="AE32" t="s">
        <v>833</v>
      </c>
      <c r="AF32" t="s">
        <v>74</v>
      </c>
      <c r="AG32">
        <v>177</v>
      </c>
      <c r="AH32">
        <v>44</v>
      </c>
      <c r="AI32">
        <v>50</v>
      </c>
      <c r="AJ32">
        <v>0</v>
      </c>
      <c r="AK32">
        <v>25</v>
      </c>
      <c r="AL32" t="s">
        <v>503</v>
      </c>
      <c r="AM32" t="s">
        <v>504</v>
      </c>
      <c r="AN32" t="s">
        <v>505</v>
      </c>
      <c r="AO32" t="s">
        <v>811</v>
      </c>
      <c r="AP32" t="s">
        <v>812</v>
      </c>
      <c r="AQ32" t="s">
        <v>74</v>
      </c>
      <c r="AR32" t="s">
        <v>813</v>
      </c>
      <c r="AS32" t="s">
        <v>814</v>
      </c>
      <c r="AT32" t="s">
        <v>98</v>
      </c>
      <c r="AU32">
        <v>2018</v>
      </c>
      <c r="AV32">
        <v>123</v>
      </c>
      <c r="AW32">
        <v>10</v>
      </c>
      <c r="AX32" t="s">
        <v>74</v>
      </c>
      <c r="AY32" t="s">
        <v>74</v>
      </c>
      <c r="AZ32" t="s">
        <v>74</v>
      </c>
      <c r="BA32" t="s">
        <v>74</v>
      </c>
      <c r="BB32">
        <v>7264</v>
      </c>
      <c r="BC32">
        <v>7289</v>
      </c>
      <c r="BD32" t="s">
        <v>74</v>
      </c>
      <c r="BE32" t="s">
        <v>834</v>
      </c>
      <c r="BF32" t="str">
        <f>HYPERLINK("http://dx.doi.org/10.1029/2018JC014416","http://dx.doi.org/10.1029/2018JC014416")</f>
        <v>http://dx.doi.org/10.1029/2018JC014416</v>
      </c>
      <c r="BG32" t="s">
        <v>74</v>
      </c>
      <c r="BH32" t="s">
        <v>74</v>
      </c>
      <c r="BI32">
        <v>26</v>
      </c>
      <c r="BJ32" t="s">
        <v>157</v>
      </c>
      <c r="BK32" t="s">
        <v>101</v>
      </c>
      <c r="BL32" t="s">
        <v>157</v>
      </c>
      <c r="BM32" t="s">
        <v>816</v>
      </c>
      <c r="BN32" t="s">
        <v>74</v>
      </c>
      <c r="BO32" t="s">
        <v>835</v>
      </c>
      <c r="BP32" t="s">
        <v>74</v>
      </c>
      <c r="BQ32" t="s">
        <v>74</v>
      </c>
      <c r="BR32" t="s">
        <v>104</v>
      </c>
      <c r="BS32" t="s">
        <v>836</v>
      </c>
      <c r="BT32" t="str">
        <f>HYPERLINK("https%3A%2F%2Fwww.webofscience.com%2Fwos%2Fwoscc%2Ffull-record%2FWOS:000451274900017","View Full Record in Web of Science")</f>
        <v>View Full Record in Web of Science</v>
      </c>
    </row>
    <row r="33" spans="1:72" x14ac:dyDescent="0.15">
      <c r="A33" t="s">
        <v>72</v>
      </c>
      <c r="B33" t="s">
        <v>837</v>
      </c>
      <c r="C33" t="s">
        <v>74</v>
      </c>
      <c r="D33" t="s">
        <v>74</v>
      </c>
      <c r="E33" t="s">
        <v>74</v>
      </c>
      <c r="F33" t="s">
        <v>838</v>
      </c>
      <c r="G33" t="s">
        <v>74</v>
      </c>
      <c r="H33" t="s">
        <v>74</v>
      </c>
      <c r="I33" t="s">
        <v>839</v>
      </c>
      <c r="J33" t="s">
        <v>798</v>
      </c>
      <c r="K33" t="s">
        <v>74</v>
      </c>
      <c r="L33" t="s">
        <v>74</v>
      </c>
      <c r="M33" t="s">
        <v>78</v>
      </c>
      <c r="N33" t="s">
        <v>79</v>
      </c>
      <c r="O33" t="s">
        <v>74</v>
      </c>
      <c r="P33" t="s">
        <v>74</v>
      </c>
      <c r="Q33" t="s">
        <v>74</v>
      </c>
      <c r="R33" t="s">
        <v>74</v>
      </c>
      <c r="S33" t="s">
        <v>74</v>
      </c>
      <c r="T33" t="s">
        <v>840</v>
      </c>
      <c r="U33" t="s">
        <v>841</v>
      </c>
      <c r="V33" t="s">
        <v>842</v>
      </c>
      <c r="W33" t="s">
        <v>843</v>
      </c>
      <c r="X33" t="s">
        <v>844</v>
      </c>
      <c r="Y33" t="s">
        <v>845</v>
      </c>
      <c r="Z33" t="s">
        <v>846</v>
      </c>
      <c r="AA33" t="s">
        <v>847</v>
      </c>
      <c r="AB33" t="s">
        <v>848</v>
      </c>
      <c r="AC33" t="s">
        <v>849</v>
      </c>
      <c r="AD33" t="s">
        <v>850</v>
      </c>
      <c r="AE33" t="s">
        <v>851</v>
      </c>
      <c r="AF33" t="s">
        <v>74</v>
      </c>
      <c r="AG33">
        <v>42</v>
      </c>
      <c r="AH33">
        <v>14</v>
      </c>
      <c r="AI33">
        <v>14</v>
      </c>
      <c r="AJ33">
        <v>1</v>
      </c>
      <c r="AK33">
        <v>5</v>
      </c>
      <c r="AL33" t="s">
        <v>503</v>
      </c>
      <c r="AM33" t="s">
        <v>504</v>
      </c>
      <c r="AN33" t="s">
        <v>505</v>
      </c>
      <c r="AO33" t="s">
        <v>811</v>
      </c>
      <c r="AP33" t="s">
        <v>812</v>
      </c>
      <c r="AQ33" t="s">
        <v>74</v>
      </c>
      <c r="AR33" t="s">
        <v>813</v>
      </c>
      <c r="AS33" t="s">
        <v>814</v>
      </c>
      <c r="AT33" t="s">
        <v>98</v>
      </c>
      <c r="AU33">
        <v>2018</v>
      </c>
      <c r="AV33">
        <v>123</v>
      </c>
      <c r="AW33">
        <v>10</v>
      </c>
      <c r="AX33" t="s">
        <v>74</v>
      </c>
      <c r="AY33" t="s">
        <v>74</v>
      </c>
      <c r="AZ33" t="s">
        <v>74</v>
      </c>
      <c r="BA33" t="s">
        <v>74</v>
      </c>
      <c r="BB33">
        <v>7366</v>
      </c>
      <c r="BC33">
        <v>7381</v>
      </c>
      <c r="BD33" t="s">
        <v>74</v>
      </c>
      <c r="BE33" t="s">
        <v>852</v>
      </c>
      <c r="BF33" t="str">
        <f>HYPERLINK("http://dx.doi.org/10.1029/2018JC013994","http://dx.doi.org/10.1029/2018JC013994")</f>
        <v>http://dx.doi.org/10.1029/2018JC013994</v>
      </c>
      <c r="BG33" t="s">
        <v>74</v>
      </c>
      <c r="BH33" t="s">
        <v>74</v>
      </c>
      <c r="BI33">
        <v>16</v>
      </c>
      <c r="BJ33" t="s">
        <v>157</v>
      </c>
      <c r="BK33" t="s">
        <v>101</v>
      </c>
      <c r="BL33" t="s">
        <v>157</v>
      </c>
      <c r="BM33" t="s">
        <v>816</v>
      </c>
      <c r="BN33" t="s">
        <v>74</v>
      </c>
      <c r="BO33" t="s">
        <v>853</v>
      </c>
      <c r="BP33" t="s">
        <v>74</v>
      </c>
      <c r="BQ33" t="s">
        <v>74</v>
      </c>
      <c r="BR33" t="s">
        <v>104</v>
      </c>
      <c r="BS33" t="s">
        <v>854</v>
      </c>
      <c r="BT33" t="str">
        <f>HYPERLINK("https%3A%2F%2Fwww.webofscience.com%2Fwos%2Fwoscc%2Ffull-record%2FWOS:000451274900022","View Full Record in Web of Science")</f>
        <v>View Full Record in Web of Science</v>
      </c>
    </row>
    <row r="34" spans="1:72" x14ac:dyDescent="0.15">
      <c r="A34" t="s">
        <v>72</v>
      </c>
      <c r="B34" t="s">
        <v>855</v>
      </c>
      <c r="C34" t="s">
        <v>74</v>
      </c>
      <c r="D34" t="s">
        <v>74</v>
      </c>
      <c r="E34" t="s">
        <v>74</v>
      </c>
      <c r="F34" t="s">
        <v>856</v>
      </c>
      <c r="G34" t="s">
        <v>74</v>
      </c>
      <c r="H34" t="s">
        <v>74</v>
      </c>
      <c r="I34" t="s">
        <v>857</v>
      </c>
      <c r="J34" t="s">
        <v>798</v>
      </c>
      <c r="K34" t="s">
        <v>74</v>
      </c>
      <c r="L34" t="s">
        <v>74</v>
      </c>
      <c r="M34" t="s">
        <v>78</v>
      </c>
      <c r="N34" t="s">
        <v>79</v>
      </c>
      <c r="O34" t="s">
        <v>74</v>
      </c>
      <c r="P34" t="s">
        <v>74</v>
      </c>
      <c r="Q34" t="s">
        <v>74</v>
      </c>
      <c r="R34" t="s">
        <v>74</v>
      </c>
      <c r="S34" t="s">
        <v>74</v>
      </c>
      <c r="T34" t="s">
        <v>858</v>
      </c>
      <c r="U34" t="s">
        <v>859</v>
      </c>
      <c r="V34" t="s">
        <v>860</v>
      </c>
      <c r="W34" t="s">
        <v>861</v>
      </c>
      <c r="X34" t="s">
        <v>862</v>
      </c>
      <c r="Y34" t="s">
        <v>863</v>
      </c>
      <c r="Z34" t="s">
        <v>864</v>
      </c>
      <c r="AA34" t="s">
        <v>865</v>
      </c>
      <c r="AB34" t="s">
        <v>866</v>
      </c>
      <c r="AC34" t="s">
        <v>867</v>
      </c>
      <c r="AD34" t="s">
        <v>868</v>
      </c>
      <c r="AE34" t="s">
        <v>869</v>
      </c>
      <c r="AF34" t="s">
        <v>74</v>
      </c>
      <c r="AG34">
        <v>79</v>
      </c>
      <c r="AH34">
        <v>38</v>
      </c>
      <c r="AI34">
        <v>41</v>
      </c>
      <c r="AJ34">
        <v>1</v>
      </c>
      <c r="AK34">
        <v>23</v>
      </c>
      <c r="AL34" t="s">
        <v>503</v>
      </c>
      <c r="AM34" t="s">
        <v>504</v>
      </c>
      <c r="AN34" t="s">
        <v>505</v>
      </c>
      <c r="AO34" t="s">
        <v>811</v>
      </c>
      <c r="AP34" t="s">
        <v>812</v>
      </c>
      <c r="AQ34" t="s">
        <v>74</v>
      </c>
      <c r="AR34" t="s">
        <v>813</v>
      </c>
      <c r="AS34" t="s">
        <v>814</v>
      </c>
      <c r="AT34" t="s">
        <v>98</v>
      </c>
      <c r="AU34">
        <v>2018</v>
      </c>
      <c r="AV34">
        <v>123</v>
      </c>
      <c r="AW34">
        <v>10</v>
      </c>
      <c r="AX34" t="s">
        <v>74</v>
      </c>
      <c r="AY34" t="s">
        <v>74</v>
      </c>
      <c r="AZ34" t="s">
        <v>74</v>
      </c>
      <c r="BA34" t="s">
        <v>74</v>
      </c>
      <c r="BB34">
        <v>7438</v>
      </c>
      <c r="BC34">
        <v>7452</v>
      </c>
      <c r="BD34" t="s">
        <v>74</v>
      </c>
      <c r="BE34" t="s">
        <v>870</v>
      </c>
      <c r="BF34" t="str">
        <f>HYPERLINK("http://dx.doi.org/10.1029/2018JC013987","http://dx.doi.org/10.1029/2018JC013987")</f>
        <v>http://dx.doi.org/10.1029/2018JC013987</v>
      </c>
      <c r="BG34" t="s">
        <v>74</v>
      </c>
      <c r="BH34" t="s">
        <v>74</v>
      </c>
      <c r="BI34">
        <v>15</v>
      </c>
      <c r="BJ34" t="s">
        <v>157</v>
      </c>
      <c r="BK34" t="s">
        <v>101</v>
      </c>
      <c r="BL34" t="s">
        <v>157</v>
      </c>
      <c r="BM34" t="s">
        <v>816</v>
      </c>
      <c r="BN34" t="s">
        <v>74</v>
      </c>
      <c r="BO34" t="s">
        <v>871</v>
      </c>
      <c r="BP34" t="s">
        <v>74</v>
      </c>
      <c r="BQ34" t="s">
        <v>74</v>
      </c>
      <c r="BR34" t="s">
        <v>104</v>
      </c>
      <c r="BS34" t="s">
        <v>872</v>
      </c>
      <c r="BT34" t="str">
        <f>HYPERLINK("https%3A%2F%2Fwww.webofscience.com%2Fwos%2Fwoscc%2Ffull-record%2FWOS:000451274900027","View Full Record in Web of Science")</f>
        <v>View Full Record in Web of Science</v>
      </c>
    </row>
    <row r="35" spans="1:72" x14ac:dyDescent="0.15">
      <c r="A35" t="s">
        <v>72</v>
      </c>
      <c r="B35" t="s">
        <v>873</v>
      </c>
      <c r="C35" t="s">
        <v>74</v>
      </c>
      <c r="D35" t="s">
        <v>74</v>
      </c>
      <c r="E35" t="s">
        <v>74</v>
      </c>
      <c r="F35" t="s">
        <v>874</v>
      </c>
      <c r="G35" t="s">
        <v>74</v>
      </c>
      <c r="H35" t="s">
        <v>74</v>
      </c>
      <c r="I35" t="s">
        <v>875</v>
      </c>
      <c r="J35" t="s">
        <v>876</v>
      </c>
      <c r="K35" t="s">
        <v>74</v>
      </c>
      <c r="L35" t="s">
        <v>74</v>
      </c>
      <c r="M35" t="s">
        <v>78</v>
      </c>
      <c r="N35" t="s">
        <v>79</v>
      </c>
      <c r="O35" t="s">
        <v>74</v>
      </c>
      <c r="P35" t="s">
        <v>74</v>
      </c>
      <c r="Q35" t="s">
        <v>74</v>
      </c>
      <c r="R35" t="s">
        <v>74</v>
      </c>
      <c r="S35" t="s">
        <v>74</v>
      </c>
      <c r="T35" t="s">
        <v>877</v>
      </c>
      <c r="U35" t="s">
        <v>878</v>
      </c>
      <c r="V35" t="s">
        <v>879</v>
      </c>
      <c r="W35" t="s">
        <v>880</v>
      </c>
      <c r="X35" t="s">
        <v>881</v>
      </c>
      <c r="Y35" t="s">
        <v>882</v>
      </c>
      <c r="Z35" t="s">
        <v>883</v>
      </c>
      <c r="AA35" t="s">
        <v>884</v>
      </c>
      <c r="AB35" t="s">
        <v>74</v>
      </c>
      <c r="AC35" t="s">
        <v>885</v>
      </c>
      <c r="AD35" t="s">
        <v>886</v>
      </c>
      <c r="AE35" t="s">
        <v>887</v>
      </c>
      <c r="AF35" t="s">
        <v>74</v>
      </c>
      <c r="AG35">
        <v>45</v>
      </c>
      <c r="AH35">
        <v>21</v>
      </c>
      <c r="AI35">
        <v>22</v>
      </c>
      <c r="AJ35">
        <v>3</v>
      </c>
      <c r="AK35">
        <v>61</v>
      </c>
      <c r="AL35" t="s">
        <v>430</v>
      </c>
      <c r="AM35" t="s">
        <v>286</v>
      </c>
      <c r="AN35" t="s">
        <v>431</v>
      </c>
      <c r="AO35" t="s">
        <v>888</v>
      </c>
      <c r="AP35" t="s">
        <v>889</v>
      </c>
      <c r="AQ35" t="s">
        <v>74</v>
      </c>
      <c r="AR35" t="s">
        <v>890</v>
      </c>
      <c r="AS35" t="s">
        <v>891</v>
      </c>
      <c r="AT35" t="s">
        <v>98</v>
      </c>
      <c r="AU35">
        <v>2018</v>
      </c>
      <c r="AV35">
        <v>186</v>
      </c>
      <c r="AW35" t="s">
        <v>74</v>
      </c>
      <c r="AX35" t="s">
        <v>74</v>
      </c>
      <c r="AY35" t="s">
        <v>74</v>
      </c>
      <c r="AZ35" t="s">
        <v>74</v>
      </c>
      <c r="BA35" t="s">
        <v>74</v>
      </c>
      <c r="BB35">
        <v>96</v>
      </c>
      <c r="BC35">
        <v>104</v>
      </c>
      <c r="BD35" t="s">
        <v>74</v>
      </c>
      <c r="BE35" t="s">
        <v>892</v>
      </c>
      <c r="BF35" t="str">
        <f>HYPERLINK("http://dx.doi.org/10.1016/j.jmarsys.2018.06.005","http://dx.doi.org/10.1016/j.jmarsys.2018.06.005")</f>
        <v>http://dx.doi.org/10.1016/j.jmarsys.2018.06.005</v>
      </c>
      <c r="BG35" t="s">
        <v>74</v>
      </c>
      <c r="BH35" t="s">
        <v>74</v>
      </c>
      <c r="BI35">
        <v>9</v>
      </c>
      <c r="BJ35" t="s">
        <v>893</v>
      </c>
      <c r="BK35" t="s">
        <v>101</v>
      </c>
      <c r="BL35" t="s">
        <v>894</v>
      </c>
      <c r="BM35" t="s">
        <v>895</v>
      </c>
      <c r="BN35" t="s">
        <v>74</v>
      </c>
      <c r="BO35" t="s">
        <v>74</v>
      </c>
      <c r="BP35" t="s">
        <v>74</v>
      </c>
      <c r="BQ35" t="s">
        <v>74</v>
      </c>
      <c r="BR35" t="s">
        <v>104</v>
      </c>
      <c r="BS35" t="s">
        <v>896</v>
      </c>
      <c r="BT35" t="str">
        <f>HYPERLINK("https%3A%2F%2Fwww.webofscience.com%2Fwos%2Fwoscc%2Ffull-record%2FWOS:000439673300008","View Full Record in Web of Science")</f>
        <v>View Full Record in Web of Science</v>
      </c>
    </row>
    <row r="36" spans="1:72" x14ac:dyDescent="0.15">
      <c r="A36" t="s">
        <v>72</v>
      </c>
      <c r="B36" t="s">
        <v>897</v>
      </c>
      <c r="C36" t="s">
        <v>74</v>
      </c>
      <c r="D36" t="s">
        <v>74</v>
      </c>
      <c r="E36" t="s">
        <v>74</v>
      </c>
      <c r="F36" t="s">
        <v>898</v>
      </c>
      <c r="G36" t="s">
        <v>74</v>
      </c>
      <c r="H36" t="s">
        <v>74</v>
      </c>
      <c r="I36" t="s">
        <v>899</v>
      </c>
      <c r="J36" t="s">
        <v>900</v>
      </c>
      <c r="K36" t="s">
        <v>74</v>
      </c>
      <c r="L36" t="s">
        <v>74</v>
      </c>
      <c r="M36" t="s">
        <v>78</v>
      </c>
      <c r="N36" t="s">
        <v>79</v>
      </c>
      <c r="O36" t="s">
        <v>74</v>
      </c>
      <c r="P36" t="s">
        <v>74</v>
      </c>
      <c r="Q36" t="s">
        <v>74</v>
      </c>
      <c r="R36" t="s">
        <v>74</v>
      </c>
      <c r="S36" t="s">
        <v>74</v>
      </c>
      <c r="T36" t="s">
        <v>901</v>
      </c>
      <c r="U36" t="s">
        <v>902</v>
      </c>
      <c r="V36" t="s">
        <v>903</v>
      </c>
      <c r="W36" t="s">
        <v>904</v>
      </c>
      <c r="X36" t="s">
        <v>905</v>
      </c>
      <c r="Y36" t="s">
        <v>906</v>
      </c>
      <c r="Z36" t="s">
        <v>907</v>
      </c>
      <c r="AA36" t="s">
        <v>908</v>
      </c>
      <c r="AB36" t="s">
        <v>909</v>
      </c>
      <c r="AC36" t="s">
        <v>910</v>
      </c>
      <c r="AD36" t="s">
        <v>910</v>
      </c>
      <c r="AE36" t="s">
        <v>911</v>
      </c>
      <c r="AF36" t="s">
        <v>74</v>
      </c>
      <c r="AG36">
        <v>63</v>
      </c>
      <c r="AH36">
        <v>6</v>
      </c>
      <c r="AI36">
        <v>6</v>
      </c>
      <c r="AJ36">
        <v>0</v>
      </c>
      <c r="AK36">
        <v>40</v>
      </c>
      <c r="AL36" t="s">
        <v>337</v>
      </c>
      <c r="AM36" t="s">
        <v>912</v>
      </c>
      <c r="AN36" t="s">
        <v>913</v>
      </c>
      <c r="AO36" t="s">
        <v>914</v>
      </c>
      <c r="AP36" t="s">
        <v>915</v>
      </c>
      <c r="AQ36" t="s">
        <v>74</v>
      </c>
      <c r="AR36" t="s">
        <v>916</v>
      </c>
      <c r="AS36" t="s">
        <v>917</v>
      </c>
      <c r="AT36" t="s">
        <v>98</v>
      </c>
      <c r="AU36">
        <v>2018</v>
      </c>
      <c r="AV36">
        <v>74</v>
      </c>
      <c r="AW36">
        <v>5</v>
      </c>
      <c r="AX36" t="s">
        <v>74</v>
      </c>
      <c r="AY36" t="s">
        <v>74</v>
      </c>
      <c r="AZ36" t="s">
        <v>74</v>
      </c>
      <c r="BA36" t="s">
        <v>74</v>
      </c>
      <c r="BB36">
        <v>439</v>
      </c>
      <c r="BC36">
        <v>452</v>
      </c>
      <c r="BD36" t="s">
        <v>74</v>
      </c>
      <c r="BE36" t="s">
        <v>918</v>
      </c>
      <c r="BF36" t="str">
        <f>HYPERLINK("http://dx.doi.org/10.1007/s10872-018-0471-3","http://dx.doi.org/10.1007/s10872-018-0471-3")</f>
        <v>http://dx.doi.org/10.1007/s10872-018-0471-3</v>
      </c>
      <c r="BG36" t="s">
        <v>74</v>
      </c>
      <c r="BH36" t="s">
        <v>74</v>
      </c>
      <c r="BI36">
        <v>14</v>
      </c>
      <c r="BJ36" t="s">
        <v>157</v>
      </c>
      <c r="BK36" t="s">
        <v>101</v>
      </c>
      <c r="BL36" t="s">
        <v>157</v>
      </c>
      <c r="BM36" t="s">
        <v>919</v>
      </c>
      <c r="BN36" t="s">
        <v>74</v>
      </c>
      <c r="BO36" t="s">
        <v>74</v>
      </c>
      <c r="BP36" t="s">
        <v>74</v>
      </c>
      <c r="BQ36" t="s">
        <v>74</v>
      </c>
      <c r="BR36" t="s">
        <v>104</v>
      </c>
      <c r="BS36" t="s">
        <v>920</v>
      </c>
      <c r="BT36" t="str">
        <f>HYPERLINK("https%3A%2F%2Fwww.webofscience.com%2Fwos%2Fwoscc%2Ffull-record%2FWOS:000444003000001","View Full Record in Web of Science")</f>
        <v>View Full Record in Web of Science</v>
      </c>
    </row>
    <row r="37" spans="1:72" x14ac:dyDescent="0.15">
      <c r="A37" t="s">
        <v>72</v>
      </c>
      <c r="B37" t="s">
        <v>921</v>
      </c>
      <c r="C37" t="s">
        <v>74</v>
      </c>
      <c r="D37" t="s">
        <v>74</v>
      </c>
      <c r="E37" t="s">
        <v>74</v>
      </c>
      <c r="F37" t="s">
        <v>922</v>
      </c>
      <c r="G37" t="s">
        <v>74</v>
      </c>
      <c r="H37" t="s">
        <v>74</v>
      </c>
      <c r="I37" t="s">
        <v>923</v>
      </c>
      <c r="J37" t="s">
        <v>924</v>
      </c>
      <c r="K37" t="s">
        <v>74</v>
      </c>
      <c r="L37" t="s">
        <v>74</v>
      </c>
      <c r="M37" t="s">
        <v>78</v>
      </c>
      <c r="N37" t="s">
        <v>79</v>
      </c>
      <c r="O37" t="s">
        <v>74</v>
      </c>
      <c r="P37" t="s">
        <v>74</v>
      </c>
      <c r="Q37" t="s">
        <v>74</v>
      </c>
      <c r="R37" t="s">
        <v>74</v>
      </c>
      <c r="S37" t="s">
        <v>74</v>
      </c>
      <c r="T37" t="s">
        <v>925</v>
      </c>
      <c r="U37" t="s">
        <v>926</v>
      </c>
      <c r="V37" t="s">
        <v>927</v>
      </c>
      <c r="W37" t="s">
        <v>928</v>
      </c>
      <c r="X37" t="s">
        <v>929</v>
      </c>
      <c r="Y37" t="s">
        <v>930</v>
      </c>
      <c r="Z37" t="s">
        <v>931</v>
      </c>
      <c r="AA37" t="s">
        <v>932</v>
      </c>
      <c r="AB37" t="s">
        <v>933</v>
      </c>
      <c r="AC37" t="s">
        <v>934</v>
      </c>
      <c r="AD37" t="s">
        <v>935</v>
      </c>
      <c r="AE37" t="s">
        <v>936</v>
      </c>
      <c r="AF37" t="s">
        <v>74</v>
      </c>
      <c r="AG37">
        <v>52</v>
      </c>
      <c r="AH37">
        <v>8</v>
      </c>
      <c r="AI37">
        <v>8</v>
      </c>
      <c r="AJ37">
        <v>1</v>
      </c>
      <c r="AK37">
        <v>6</v>
      </c>
      <c r="AL37" t="s">
        <v>758</v>
      </c>
      <c r="AM37" t="s">
        <v>759</v>
      </c>
      <c r="AN37" t="s">
        <v>760</v>
      </c>
      <c r="AO37" t="s">
        <v>937</v>
      </c>
      <c r="AP37" t="s">
        <v>938</v>
      </c>
      <c r="AQ37" t="s">
        <v>74</v>
      </c>
      <c r="AR37" t="s">
        <v>939</v>
      </c>
      <c r="AS37" t="s">
        <v>940</v>
      </c>
      <c r="AT37" t="s">
        <v>98</v>
      </c>
      <c r="AU37">
        <v>2018</v>
      </c>
      <c r="AV37">
        <v>54</v>
      </c>
      <c r="AW37">
        <v>5</v>
      </c>
      <c r="AX37" t="s">
        <v>74</v>
      </c>
      <c r="AY37" t="s">
        <v>74</v>
      </c>
      <c r="AZ37" t="s">
        <v>74</v>
      </c>
      <c r="BA37" t="s">
        <v>74</v>
      </c>
      <c r="BB37">
        <v>703</v>
      </c>
      <c r="BC37">
        <v>719</v>
      </c>
      <c r="BD37" t="s">
        <v>74</v>
      </c>
      <c r="BE37" t="s">
        <v>941</v>
      </c>
      <c r="BF37" t="str">
        <f>HYPERLINK("http://dx.doi.org/10.1111/jpy.12767","http://dx.doi.org/10.1111/jpy.12767")</f>
        <v>http://dx.doi.org/10.1111/jpy.12767</v>
      </c>
      <c r="BG37" t="s">
        <v>74</v>
      </c>
      <c r="BH37" t="s">
        <v>74</v>
      </c>
      <c r="BI37">
        <v>17</v>
      </c>
      <c r="BJ37" t="s">
        <v>942</v>
      </c>
      <c r="BK37" t="s">
        <v>101</v>
      </c>
      <c r="BL37" t="s">
        <v>942</v>
      </c>
      <c r="BM37" t="s">
        <v>943</v>
      </c>
      <c r="BN37">
        <v>30014469</v>
      </c>
      <c r="BO37" t="s">
        <v>944</v>
      </c>
      <c r="BP37" t="s">
        <v>74</v>
      </c>
      <c r="BQ37" t="s">
        <v>74</v>
      </c>
      <c r="BR37" t="s">
        <v>104</v>
      </c>
      <c r="BS37" t="s">
        <v>945</v>
      </c>
      <c r="BT37" t="str">
        <f>HYPERLINK("https%3A%2F%2Fwww.webofscience.com%2Fwos%2Fwoscc%2Ffull-record%2FWOS:000446171600011","View Full Record in Web of Science")</f>
        <v>View Full Record in Web of Science</v>
      </c>
    </row>
    <row r="38" spans="1:72" x14ac:dyDescent="0.15">
      <c r="A38" t="s">
        <v>72</v>
      </c>
      <c r="B38" t="s">
        <v>946</v>
      </c>
      <c r="C38" t="s">
        <v>74</v>
      </c>
      <c r="D38" t="s">
        <v>74</v>
      </c>
      <c r="E38" t="s">
        <v>74</v>
      </c>
      <c r="F38" t="s">
        <v>947</v>
      </c>
      <c r="G38" t="s">
        <v>74</v>
      </c>
      <c r="H38" t="s">
        <v>74</v>
      </c>
      <c r="I38" t="s">
        <v>948</v>
      </c>
      <c r="J38" t="s">
        <v>949</v>
      </c>
      <c r="K38" t="s">
        <v>74</v>
      </c>
      <c r="L38" t="s">
        <v>74</v>
      </c>
      <c r="M38" t="s">
        <v>78</v>
      </c>
      <c r="N38" t="s">
        <v>79</v>
      </c>
      <c r="O38" t="s">
        <v>74</v>
      </c>
      <c r="P38" t="s">
        <v>74</v>
      </c>
      <c r="Q38" t="s">
        <v>74</v>
      </c>
      <c r="R38" t="s">
        <v>74</v>
      </c>
      <c r="S38" t="s">
        <v>74</v>
      </c>
      <c r="T38" t="s">
        <v>950</v>
      </c>
      <c r="U38" t="s">
        <v>951</v>
      </c>
      <c r="V38" t="s">
        <v>952</v>
      </c>
      <c r="W38" t="s">
        <v>953</v>
      </c>
      <c r="X38" t="s">
        <v>954</v>
      </c>
      <c r="Y38" t="s">
        <v>955</v>
      </c>
      <c r="Z38" t="s">
        <v>956</v>
      </c>
      <c r="AA38" t="s">
        <v>957</v>
      </c>
      <c r="AB38" t="s">
        <v>958</v>
      </c>
      <c r="AC38" t="s">
        <v>959</v>
      </c>
      <c r="AD38" t="s">
        <v>960</v>
      </c>
      <c r="AE38" t="s">
        <v>961</v>
      </c>
      <c r="AF38" t="s">
        <v>74</v>
      </c>
      <c r="AG38">
        <v>56</v>
      </c>
      <c r="AH38">
        <v>18</v>
      </c>
      <c r="AI38">
        <v>21</v>
      </c>
      <c r="AJ38">
        <v>5</v>
      </c>
      <c r="AK38">
        <v>17</v>
      </c>
      <c r="AL38" t="s">
        <v>785</v>
      </c>
      <c r="AM38" t="s">
        <v>786</v>
      </c>
      <c r="AN38" t="s">
        <v>787</v>
      </c>
      <c r="AO38" t="s">
        <v>962</v>
      </c>
      <c r="AP38" t="s">
        <v>963</v>
      </c>
      <c r="AQ38" t="s">
        <v>74</v>
      </c>
      <c r="AR38" t="s">
        <v>964</v>
      </c>
      <c r="AS38" t="s">
        <v>965</v>
      </c>
      <c r="AT38" t="s">
        <v>98</v>
      </c>
      <c r="AU38">
        <v>2018</v>
      </c>
      <c r="AV38">
        <v>48</v>
      </c>
      <c r="AW38">
        <v>10</v>
      </c>
      <c r="AX38" t="s">
        <v>74</v>
      </c>
      <c r="AY38" t="s">
        <v>74</v>
      </c>
      <c r="AZ38" t="s">
        <v>74</v>
      </c>
      <c r="BA38" t="s">
        <v>74</v>
      </c>
      <c r="BB38">
        <v>2477</v>
      </c>
      <c r="BC38">
        <v>2493</v>
      </c>
      <c r="BD38" t="s">
        <v>74</v>
      </c>
      <c r="BE38" t="s">
        <v>966</v>
      </c>
      <c r="BF38" t="str">
        <f>HYPERLINK("http://dx.doi.org/10.1175/JPO-D-17-0181.1","http://dx.doi.org/10.1175/JPO-D-17-0181.1")</f>
        <v>http://dx.doi.org/10.1175/JPO-D-17-0181.1</v>
      </c>
      <c r="BG38" t="s">
        <v>74</v>
      </c>
      <c r="BH38" t="s">
        <v>74</v>
      </c>
      <c r="BI38">
        <v>17</v>
      </c>
      <c r="BJ38" t="s">
        <v>157</v>
      </c>
      <c r="BK38" t="s">
        <v>101</v>
      </c>
      <c r="BL38" t="s">
        <v>157</v>
      </c>
      <c r="BM38" t="s">
        <v>967</v>
      </c>
      <c r="BN38" t="s">
        <v>74</v>
      </c>
      <c r="BO38" t="s">
        <v>871</v>
      </c>
      <c r="BP38" t="s">
        <v>74</v>
      </c>
      <c r="BQ38" t="s">
        <v>74</v>
      </c>
      <c r="BR38" t="s">
        <v>104</v>
      </c>
      <c r="BS38" t="s">
        <v>968</v>
      </c>
      <c r="BT38" t="str">
        <f>HYPERLINK("https%3A%2F%2Fwww.webofscience.com%2Fwos%2Fwoscc%2Ffull-record%2FWOS:000447718400002","View Full Record in Web of Science")</f>
        <v>View Full Record in Web of Science</v>
      </c>
    </row>
    <row r="39" spans="1:72" x14ac:dyDescent="0.15">
      <c r="A39" t="s">
        <v>72</v>
      </c>
      <c r="B39" t="s">
        <v>969</v>
      </c>
      <c r="C39" t="s">
        <v>74</v>
      </c>
      <c r="D39" t="s">
        <v>74</v>
      </c>
      <c r="E39" t="s">
        <v>74</v>
      </c>
      <c r="F39" t="s">
        <v>970</v>
      </c>
      <c r="G39" t="s">
        <v>74</v>
      </c>
      <c r="H39" t="s">
        <v>74</v>
      </c>
      <c r="I39" t="s">
        <v>971</v>
      </c>
      <c r="J39" t="s">
        <v>972</v>
      </c>
      <c r="K39" t="s">
        <v>74</v>
      </c>
      <c r="L39" t="s">
        <v>74</v>
      </c>
      <c r="M39" t="s">
        <v>78</v>
      </c>
      <c r="N39" t="s">
        <v>79</v>
      </c>
      <c r="O39" t="s">
        <v>74</v>
      </c>
      <c r="P39" t="s">
        <v>74</v>
      </c>
      <c r="Q39" t="s">
        <v>74</v>
      </c>
      <c r="R39" t="s">
        <v>74</v>
      </c>
      <c r="S39" t="s">
        <v>74</v>
      </c>
      <c r="T39" t="s">
        <v>973</v>
      </c>
      <c r="U39" t="s">
        <v>974</v>
      </c>
      <c r="V39" t="s">
        <v>975</v>
      </c>
      <c r="W39" t="s">
        <v>976</v>
      </c>
      <c r="X39" t="s">
        <v>977</v>
      </c>
      <c r="Y39" t="s">
        <v>978</v>
      </c>
      <c r="Z39" t="s">
        <v>979</v>
      </c>
      <c r="AA39" t="s">
        <v>980</v>
      </c>
      <c r="AB39" t="s">
        <v>981</v>
      </c>
      <c r="AC39" t="s">
        <v>982</v>
      </c>
      <c r="AD39" t="s">
        <v>983</v>
      </c>
      <c r="AE39" t="s">
        <v>984</v>
      </c>
      <c r="AF39" t="s">
        <v>74</v>
      </c>
      <c r="AG39">
        <v>59</v>
      </c>
      <c r="AH39">
        <v>22</v>
      </c>
      <c r="AI39">
        <v>23</v>
      </c>
      <c r="AJ39">
        <v>1</v>
      </c>
      <c r="AK39">
        <v>24</v>
      </c>
      <c r="AL39" t="s">
        <v>149</v>
      </c>
      <c r="AM39" t="s">
        <v>93</v>
      </c>
      <c r="AN39" t="s">
        <v>150</v>
      </c>
      <c r="AO39" t="s">
        <v>985</v>
      </c>
      <c r="AP39" t="s">
        <v>74</v>
      </c>
      <c r="AQ39" t="s">
        <v>74</v>
      </c>
      <c r="AR39" t="s">
        <v>986</v>
      </c>
      <c r="AS39" t="s">
        <v>987</v>
      </c>
      <c r="AT39" t="s">
        <v>98</v>
      </c>
      <c r="AU39">
        <v>2018</v>
      </c>
      <c r="AV39">
        <v>115</v>
      </c>
      <c r="AW39" t="s">
        <v>74</v>
      </c>
      <c r="AX39" t="s">
        <v>74</v>
      </c>
      <c r="AY39" t="s">
        <v>74</v>
      </c>
      <c r="AZ39" t="s">
        <v>74</v>
      </c>
      <c r="BA39" t="s">
        <v>74</v>
      </c>
      <c r="BB39">
        <v>152</v>
      </c>
      <c r="BC39">
        <v>166</v>
      </c>
      <c r="BD39" t="s">
        <v>74</v>
      </c>
      <c r="BE39" t="s">
        <v>988</v>
      </c>
      <c r="BF39" t="str">
        <f>HYPERLINK("http://dx.doi.org/10.1016/j.jsg.2018.07.014","http://dx.doi.org/10.1016/j.jsg.2018.07.014")</f>
        <v>http://dx.doi.org/10.1016/j.jsg.2018.07.014</v>
      </c>
      <c r="BG39" t="s">
        <v>74</v>
      </c>
      <c r="BH39" t="s">
        <v>74</v>
      </c>
      <c r="BI39">
        <v>15</v>
      </c>
      <c r="BJ39" t="s">
        <v>182</v>
      </c>
      <c r="BK39" t="s">
        <v>101</v>
      </c>
      <c r="BL39" t="s">
        <v>183</v>
      </c>
      <c r="BM39" t="s">
        <v>989</v>
      </c>
      <c r="BN39" t="s">
        <v>74</v>
      </c>
      <c r="BO39" t="s">
        <v>74</v>
      </c>
      <c r="BP39" t="s">
        <v>74</v>
      </c>
      <c r="BQ39" t="s">
        <v>74</v>
      </c>
      <c r="BR39" t="s">
        <v>104</v>
      </c>
      <c r="BS39" t="s">
        <v>990</v>
      </c>
      <c r="BT39" t="str">
        <f>HYPERLINK("https%3A%2F%2Fwww.webofscience.com%2Fwos%2Fwoscc%2Ffull-record%2FWOS:000444928000011","View Full Record in Web of Science")</f>
        <v>View Full Record in Web of Science</v>
      </c>
    </row>
    <row r="40" spans="1:72" x14ac:dyDescent="0.15">
      <c r="A40" t="s">
        <v>72</v>
      </c>
      <c r="B40" t="s">
        <v>991</v>
      </c>
      <c r="C40" t="s">
        <v>74</v>
      </c>
      <c r="D40" t="s">
        <v>74</v>
      </c>
      <c r="E40" t="s">
        <v>74</v>
      </c>
      <c r="F40" t="s">
        <v>992</v>
      </c>
      <c r="G40" t="s">
        <v>74</v>
      </c>
      <c r="H40" t="s">
        <v>74</v>
      </c>
      <c r="I40" t="s">
        <v>993</v>
      </c>
      <c r="J40" t="s">
        <v>994</v>
      </c>
      <c r="K40" t="s">
        <v>74</v>
      </c>
      <c r="L40" t="s">
        <v>74</v>
      </c>
      <c r="M40" t="s">
        <v>78</v>
      </c>
      <c r="N40" t="s">
        <v>79</v>
      </c>
      <c r="O40" t="s">
        <v>74</v>
      </c>
      <c r="P40" t="s">
        <v>74</v>
      </c>
      <c r="Q40" t="s">
        <v>74</v>
      </c>
      <c r="R40" t="s">
        <v>74</v>
      </c>
      <c r="S40" t="s">
        <v>74</v>
      </c>
      <c r="T40" t="s">
        <v>995</v>
      </c>
      <c r="U40" t="s">
        <v>996</v>
      </c>
      <c r="V40" t="s">
        <v>997</v>
      </c>
      <c r="W40" t="s">
        <v>998</v>
      </c>
      <c r="X40" t="s">
        <v>999</v>
      </c>
      <c r="Y40" t="s">
        <v>1000</v>
      </c>
      <c r="Z40" t="s">
        <v>1001</v>
      </c>
      <c r="AA40" t="s">
        <v>1002</v>
      </c>
      <c r="AB40" t="s">
        <v>1003</v>
      </c>
      <c r="AC40" t="s">
        <v>1004</v>
      </c>
      <c r="AD40" t="s">
        <v>1005</v>
      </c>
      <c r="AE40" t="s">
        <v>1006</v>
      </c>
      <c r="AF40" t="s">
        <v>74</v>
      </c>
      <c r="AG40">
        <v>35</v>
      </c>
      <c r="AH40">
        <v>0</v>
      </c>
      <c r="AI40">
        <v>0</v>
      </c>
      <c r="AJ40">
        <v>0</v>
      </c>
      <c r="AK40">
        <v>4</v>
      </c>
      <c r="AL40" t="s">
        <v>1007</v>
      </c>
      <c r="AM40" t="s">
        <v>1008</v>
      </c>
      <c r="AN40" t="s">
        <v>1009</v>
      </c>
      <c r="AO40" t="s">
        <v>1010</v>
      </c>
      <c r="AP40" t="s">
        <v>1011</v>
      </c>
      <c r="AQ40" t="s">
        <v>74</v>
      </c>
      <c r="AR40" t="s">
        <v>1012</v>
      </c>
      <c r="AS40" t="s">
        <v>1013</v>
      </c>
      <c r="AT40" t="s">
        <v>98</v>
      </c>
      <c r="AU40">
        <v>2018</v>
      </c>
      <c r="AV40">
        <v>39</v>
      </c>
      <c r="AW40">
        <v>5</v>
      </c>
      <c r="AX40" t="s">
        <v>74</v>
      </c>
      <c r="AY40" t="s">
        <v>74</v>
      </c>
      <c r="AZ40" t="s">
        <v>74</v>
      </c>
      <c r="BA40" t="s">
        <v>74</v>
      </c>
      <c r="BB40">
        <v>473</v>
      </c>
      <c r="BC40">
        <v>482</v>
      </c>
      <c r="BD40" t="s">
        <v>74</v>
      </c>
      <c r="BE40" t="s">
        <v>1014</v>
      </c>
      <c r="BF40" t="str">
        <f>HYPERLINK("http://dx.doi.org/10.5467/JKESS.2018.39.5.473","http://dx.doi.org/10.5467/JKESS.2018.39.5.473")</f>
        <v>http://dx.doi.org/10.5467/JKESS.2018.39.5.473</v>
      </c>
      <c r="BG40" t="s">
        <v>74</v>
      </c>
      <c r="BH40" t="s">
        <v>74</v>
      </c>
      <c r="BI40">
        <v>10</v>
      </c>
      <c r="BJ40" t="s">
        <v>182</v>
      </c>
      <c r="BK40" t="s">
        <v>126</v>
      </c>
      <c r="BL40" t="s">
        <v>183</v>
      </c>
      <c r="BM40" t="s">
        <v>1015</v>
      </c>
      <c r="BN40" t="s">
        <v>74</v>
      </c>
      <c r="BO40" t="s">
        <v>74</v>
      </c>
      <c r="BP40" t="s">
        <v>74</v>
      </c>
      <c r="BQ40" t="s">
        <v>74</v>
      </c>
      <c r="BR40" t="s">
        <v>104</v>
      </c>
      <c r="BS40" t="s">
        <v>1016</v>
      </c>
      <c r="BT40" t="str">
        <f>HYPERLINK("https%3A%2F%2Fwww.webofscience.com%2Fwos%2Fwoscc%2Ffull-record%2FWOS:000452065600005","View Full Record in Web of Science")</f>
        <v>View Full Record in Web of Science</v>
      </c>
    </row>
    <row r="41" spans="1:72" x14ac:dyDescent="0.15">
      <c r="A41" t="s">
        <v>72</v>
      </c>
      <c r="B41" t="s">
        <v>1017</v>
      </c>
      <c r="C41" t="s">
        <v>74</v>
      </c>
      <c r="D41" t="s">
        <v>74</v>
      </c>
      <c r="E41" t="s">
        <v>74</v>
      </c>
      <c r="F41" t="s">
        <v>1018</v>
      </c>
      <c r="G41" t="s">
        <v>74</v>
      </c>
      <c r="H41" t="s">
        <v>74</v>
      </c>
      <c r="I41" t="s">
        <v>1019</v>
      </c>
      <c r="J41" t="s">
        <v>1020</v>
      </c>
      <c r="K41" t="s">
        <v>74</v>
      </c>
      <c r="L41" t="s">
        <v>74</v>
      </c>
      <c r="M41" t="s">
        <v>78</v>
      </c>
      <c r="N41" t="s">
        <v>79</v>
      </c>
      <c r="O41" t="s">
        <v>74</v>
      </c>
      <c r="P41" t="s">
        <v>74</v>
      </c>
      <c r="Q41" t="s">
        <v>74</v>
      </c>
      <c r="R41" t="s">
        <v>74</v>
      </c>
      <c r="S41" t="s">
        <v>74</v>
      </c>
      <c r="T41" t="s">
        <v>1021</v>
      </c>
      <c r="U41" t="s">
        <v>1022</v>
      </c>
      <c r="V41" t="s">
        <v>1023</v>
      </c>
      <c r="W41" t="s">
        <v>1024</v>
      </c>
      <c r="X41" t="s">
        <v>1025</v>
      </c>
      <c r="Y41" t="s">
        <v>1026</v>
      </c>
      <c r="Z41" t="s">
        <v>1027</v>
      </c>
      <c r="AA41" t="s">
        <v>1028</v>
      </c>
      <c r="AB41" t="s">
        <v>1029</v>
      </c>
      <c r="AC41" t="s">
        <v>74</v>
      </c>
      <c r="AD41" t="s">
        <v>74</v>
      </c>
      <c r="AE41" t="s">
        <v>74</v>
      </c>
      <c r="AF41" t="s">
        <v>74</v>
      </c>
      <c r="AG41">
        <v>60</v>
      </c>
      <c r="AH41">
        <v>10</v>
      </c>
      <c r="AI41">
        <v>11</v>
      </c>
      <c r="AJ41">
        <v>1</v>
      </c>
      <c r="AK41">
        <v>42</v>
      </c>
      <c r="AL41" t="s">
        <v>337</v>
      </c>
      <c r="AM41" t="s">
        <v>258</v>
      </c>
      <c r="AN41" t="s">
        <v>387</v>
      </c>
      <c r="AO41" t="s">
        <v>1030</v>
      </c>
      <c r="AP41" t="s">
        <v>1031</v>
      </c>
      <c r="AQ41" t="s">
        <v>74</v>
      </c>
      <c r="AR41" t="s">
        <v>1032</v>
      </c>
      <c r="AS41" t="s">
        <v>1033</v>
      </c>
      <c r="AT41" t="s">
        <v>98</v>
      </c>
      <c r="AU41">
        <v>2018</v>
      </c>
      <c r="AV41">
        <v>20</v>
      </c>
      <c r="AW41">
        <v>5</v>
      </c>
      <c r="AX41" t="s">
        <v>74</v>
      </c>
      <c r="AY41" t="s">
        <v>74</v>
      </c>
      <c r="AZ41" t="s">
        <v>74</v>
      </c>
      <c r="BA41" t="s">
        <v>74</v>
      </c>
      <c r="BB41">
        <v>654</v>
      </c>
      <c r="BC41">
        <v>665</v>
      </c>
      <c r="BD41" t="s">
        <v>74</v>
      </c>
      <c r="BE41" t="s">
        <v>1034</v>
      </c>
      <c r="BF41" t="str">
        <f>HYPERLINK("http://dx.doi.org/10.1007/s10126-018-9836-2","http://dx.doi.org/10.1007/s10126-018-9836-2")</f>
        <v>http://dx.doi.org/10.1007/s10126-018-9836-2</v>
      </c>
      <c r="BG41" t="s">
        <v>74</v>
      </c>
      <c r="BH41" t="s">
        <v>74</v>
      </c>
      <c r="BI41">
        <v>12</v>
      </c>
      <c r="BJ41" t="s">
        <v>1035</v>
      </c>
      <c r="BK41" t="s">
        <v>101</v>
      </c>
      <c r="BL41" t="s">
        <v>1035</v>
      </c>
      <c r="BM41" t="s">
        <v>1036</v>
      </c>
      <c r="BN41">
        <v>29995174</v>
      </c>
      <c r="BO41" t="s">
        <v>74</v>
      </c>
      <c r="BP41" t="s">
        <v>74</v>
      </c>
      <c r="BQ41" t="s">
        <v>74</v>
      </c>
      <c r="BR41" t="s">
        <v>104</v>
      </c>
      <c r="BS41" t="s">
        <v>1037</v>
      </c>
      <c r="BT41" t="str">
        <f>HYPERLINK("https%3A%2F%2Fwww.webofscience.com%2Fwos%2Fwoscc%2Ffull-record%2FWOS:000444297400010","View Full Record in Web of Science")</f>
        <v>View Full Record in Web of Science</v>
      </c>
    </row>
    <row r="42" spans="1:72" x14ac:dyDescent="0.15">
      <c r="A42" t="s">
        <v>72</v>
      </c>
      <c r="B42" t="s">
        <v>1038</v>
      </c>
      <c r="C42" t="s">
        <v>74</v>
      </c>
      <c r="D42" t="s">
        <v>74</v>
      </c>
      <c r="E42" t="s">
        <v>74</v>
      </c>
      <c r="F42" t="s">
        <v>1039</v>
      </c>
      <c r="G42" t="s">
        <v>74</v>
      </c>
      <c r="H42" t="s">
        <v>74</v>
      </c>
      <c r="I42" t="s">
        <v>1040</v>
      </c>
      <c r="J42" t="s">
        <v>1041</v>
      </c>
      <c r="K42" t="s">
        <v>74</v>
      </c>
      <c r="L42" t="s">
        <v>74</v>
      </c>
      <c r="M42" t="s">
        <v>78</v>
      </c>
      <c r="N42" t="s">
        <v>79</v>
      </c>
      <c r="O42" t="s">
        <v>74</v>
      </c>
      <c r="P42" t="s">
        <v>74</v>
      </c>
      <c r="Q42" t="s">
        <v>74</v>
      </c>
      <c r="R42" t="s">
        <v>74</v>
      </c>
      <c r="S42" t="s">
        <v>74</v>
      </c>
      <c r="T42" t="s">
        <v>1042</v>
      </c>
      <c r="U42" t="s">
        <v>1043</v>
      </c>
      <c r="V42" t="s">
        <v>1044</v>
      </c>
      <c r="W42" t="s">
        <v>1045</v>
      </c>
      <c r="X42" t="s">
        <v>1046</v>
      </c>
      <c r="Y42" t="s">
        <v>1047</v>
      </c>
      <c r="Z42" t="s">
        <v>1048</v>
      </c>
      <c r="AA42" t="s">
        <v>1049</v>
      </c>
      <c r="AB42" t="s">
        <v>1050</v>
      </c>
      <c r="AC42" t="s">
        <v>1051</v>
      </c>
      <c r="AD42" t="s">
        <v>1052</v>
      </c>
      <c r="AE42" t="s">
        <v>74</v>
      </c>
      <c r="AF42" t="s">
        <v>74</v>
      </c>
      <c r="AG42">
        <v>31</v>
      </c>
      <c r="AH42">
        <v>9</v>
      </c>
      <c r="AI42">
        <v>9</v>
      </c>
      <c r="AJ42">
        <v>5</v>
      </c>
      <c r="AK42">
        <v>32</v>
      </c>
      <c r="AL42" t="s">
        <v>1053</v>
      </c>
      <c r="AM42" t="s">
        <v>1054</v>
      </c>
      <c r="AN42" t="s">
        <v>1055</v>
      </c>
      <c r="AO42" t="s">
        <v>1056</v>
      </c>
      <c r="AP42" t="s">
        <v>74</v>
      </c>
      <c r="AQ42" t="s">
        <v>74</v>
      </c>
      <c r="AR42" t="s">
        <v>1057</v>
      </c>
      <c r="AS42" t="s">
        <v>1058</v>
      </c>
      <c r="AT42" t="s">
        <v>98</v>
      </c>
      <c r="AU42">
        <v>2018</v>
      </c>
      <c r="AV42">
        <v>16</v>
      </c>
      <c r="AW42">
        <v>10</v>
      </c>
      <c r="AX42" t="s">
        <v>74</v>
      </c>
      <c r="AY42" t="s">
        <v>74</v>
      </c>
      <c r="AZ42" t="s">
        <v>74</v>
      </c>
      <c r="BA42" t="s">
        <v>74</v>
      </c>
      <c r="BB42" t="s">
        <v>74</v>
      </c>
      <c r="BC42" t="s">
        <v>74</v>
      </c>
      <c r="BD42">
        <v>359</v>
      </c>
      <c r="BE42" t="s">
        <v>1059</v>
      </c>
      <c r="BF42" t="str">
        <f>HYPERLINK("http://dx.doi.org/10.3390/md16100359","http://dx.doi.org/10.3390/md16100359")</f>
        <v>http://dx.doi.org/10.3390/md16100359</v>
      </c>
      <c r="BG42" t="s">
        <v>74</v>
      </c>
      <c r="BH42" t="s">
        <v>74</v>
      </c>
      <c r="BI42">
        <v>11</v>
      </c>
      <c r="BJ42" t="s">
        <v>1060</v>
      </c>
      <c r="BK42" t="s">
        <v>101</v>
      </c>
      <c r="BL42" t="s">
        <v>1061</v>
      </c>
      <c r="BM42" t="s">
        <v>1062</v>
      </c>
      <c r="BN42">
        <v>30275355</v>
      </c>
      <c r="BO42" t="s">
        <v>1063</v>
      </c>
      <c r="BP42" t="s">
        <v>74</v>
      </c>
      <c r="BQ42" t="s">
        <v>74</v>
      </c>
      <c r="BR42" t="s">
        <v>104</v>
      </c>
      <c r="BS42" t="s">
        <v>1064</v>
      </c>
      <c r="BT42" t="str">
        <f>HYPERLINK("https%3A%2F%2Fwww.webofscience.com%2Fwos%2Fwoscc%2Ffull-record%2FWOS:000448819600017","View Full Record in Web of Science")</f>
        <v>View Full Record in Web of Science</v>
      </c>
    </row>
    <row r="43" spans="1:72" x14ac:dyDescent="0.15">
      <c r="A43" t="s">
        <v>72</v>
      </c>
      <c r="B43" t="s">
        <v>1065</v>
      </c>
      <c r="C43" t="s">
        <v>74</v>
      </c>
      <c r="D43" t="s">
        <v>74</v>
      </c>
      <c r="E43" t="s">
        <v>74</v>
      </c>
      <c r="F43" t="s">
        <v>1066</v>
      </c>
      <c r="G43" t="s">
        <v>74</v>
      </c>
      <c r="H43" t="s">
        <v>74</v>
      </c>
      <c r="I43" t="s">
        <v>1067</v>
      </c>
      <c r="J43" t="s">
        <v>1068</v>
      </c>
      <c r="K43" t="s">
        <v>74</v>
      </c>
      <c r="L43" t="s">
        <v>74</v>
      </c>
      <c r="M43" t="s">
        <v>78</v>
      </c>
      <c r="N43" t="s">
        <v>79</v>
      </c>
      <c r="O43" t="s">
        <v>74</v>
      </c>
      <c r="P43" t="s">
        <v>74</v>
      </c>
      <c r="Q43" t="s">
        <v>74</v>
      </c>
      <c r="R43" t="s">
        <v>74</v>
      </c>
      <c r="S43" t="s">
        <v>74</v>
      </c>
      <c r="T43" t="s">
        <v>1069</v>
      </c>
      <c r="U43" t="s">
        <v>1070</v>
      </c>
      <c r="V43" t="s">
        <v>1071</v>
      </c>
      <c r="W43" t="s">
        <v>1072</v>
      </c>
      <c r="X43" t="s">
        <v>1073</v>
      </c>
      <c r="Y43" t="s">
        <v>1074</v>
      </c>
      <c r="Z43" t="s">
        <v>1075</v>
      </c>
      <c r="AA43" t="s">
        <v>1076</v>
      </c>
      <c r="AB43" t="s">
        <v>1077</v>
      </c>
      <c r="AC43" t="s">
        <v>1078</v>
      </c>
      <c r="AD43" t="s">
        <v>1079</v>
      </c>
      <c r="AE43" t="s">
        <v>1080</v>
      </c>
      <c r="AF43" t="s">
        <v>74</v>
      </c>
      <c r="AG43">
        <v>113</v>
      </c>
      <c r="AH43">
        <v>46</v>
      </c>
      <c r="AI43">
        <v>47</v>
      </c>
      <c r="AJ43">
        <v>2</v>
      </c>
      <c r="AK43">
        <v>12</v>
      </c>
      <c r="AL43" t="s">
        <v>92</v>
      </c>
      <c r="AM43" t="s">
        <v>93</v>
      </c>
      <c r="AN43" t="s">
        <v>94</v>
      </c>
      <c r="AO43" t="s">
        <v>1081</v>
      </c>
      <c r="AP43" t="s">
        <v>1082</v>
      </c>
      <c r="AQ43" t="s">
        <v>74</v>
      </c>
      <c r="AR43" t="s">
        <v>1083</v>
      </c>
      <c r="AS43" t="s">
        <v>1084</v>
      </c>
      <c r="AT43" t="s">
        <v>98</v>
      </c>
      <c r="AU43">
        <v>2018</v>
      </c>
      <c r="AV43">
        <v>35</v>
      </c>
      <c r="AW43">
        <v>10</v>
      </c>
      <c r="AX43" t="s">
        <v>74</v>
      </c>
      <c r="AY43" t="s">
        <v>74</v>
      </c>
      <c r="AZ43" t="s">
        <v>74</v>
      </c>
      <c r="BA43" t="s">
        <v>74</v>
      </c>
      <c r="BB43">
        <v>2355</v>
      </c>
      <c r="BC43">
        <v>2374</v>
      </c>
      <c r="BD43" t="s">
        <v>74</v>
      </c>
      <c r="BE43" t="s">
        <v>1085</v>
      </c>
      <c r="BF43" t="str">
        <f>HYPERLINK("http://dx.doi.org/10.1093/molbev/msy144","http://dx.doi.org/10.1093/molbev/msy144")</f>
        <v>http://dx.doi.org/10.1093/molbev/msy144</v>
      </c>
      <c r="BG43" t="s">
        <v>74</v>
      </c>
      <c r="BH43" t="s">
        <v>74</v>
      </c>
      <c r="BI43">
        <v>20</v>
      </c>
      <c r="BJ43" t="s">
        <v>1086</v>
      </c>
      <c r="BK43" t="s">
        <v>101</v>
      </c>
      <c r="BL43" t="s">
        <v>1086</v>
      </c>
      <c r="BM43" t="s">
        <v>1087</v>
      </c>
      <c r="BN43">
        <v>30032303</v>
      </c>
      <c r="BO43" t="s">
        <v>1088</v>
      </c>
      <c r="BP43" t="s">
        <v>74</v>
      </c>
      <c r="BQ43" t="s">
        <v>74</v>
      </c>
      <c r="BR43" t="s">
        <v>104</v>
      </c>
      <c r="BS43" t="s">
        <v>1089</v>
      </c>
      <c r="BT43" t="str">
        <f>HYPERLINK("https%3A%2F%2Fwww.webofscience.com%2Fwos%2Fwoscc%2Ffull-record%2FWOS:000452566800002","View Full Record in Web of Science")</f>
        <v>View Full Record in Web of Science</v>
      </c>
    </row>
    <row r="44" spans="1:72" x14ac:dyDescent="0.15">
      <c r="A44" t="s">
        <v>72</v>
      </c>
      <c r="B44" t="s">
        <v>1090</v>
      </c>
      <c r="C44" t="s">
        <v>74</v>
      </c>
      <c r="D44" t="s">
        <v>74</v>
      </c>
      <c r="E44" t="s">
        <v>74</v>
      </c>
      <c r="F44" t="s">
        <v>1091</v>
      </c>
      <c r="G44" t="s">
        <v>74</v>
      </c>
      <c r="H44" t="s">
        <v>74</v>
      </c>
      <c r="I44" t="s">
        <v>1092</v>
      </c>
      <c r="J44" t="s">
        <v>1093</v>
      </c>
      <c r="K44" t="s">
        <v>74</v>
      </c>
      <c r="L44" t="s">
        <v>74</v>
      </c>
      <c r="M44" t="s">
        <v>78</v>
      </c>
      <c r="N44" t="s">
        <v>79</v>
      </c>
      <c r="O44" t="s">
        <v>74</v>
      </c>
      <c r="P44" t="s">
        <v>74</v>
      </c>
      <c r="Q44" t="s">
        <v>74</v>
      </c>
      <c r="R44" t="s">
        <v>74</v>
      </c>
      <c r="S44" t="s">
        <v>74</v>
      </c>
      <c r="T44" t="s">
        <v>1094</v>
      </c>
      <c r="U44" t="s">
        <v>1095</v>
      </c>
      <c r="V44" t="s">
        <v>1096</v>
      </c>
      <c r="W44" t="s">
        <v>1097</v>
      </c>
      <c r="X44" t="s">
        <v>1098</v>
      </c>
      <c r="Y44" t="s">
        <v>1099</v>
      </c>
      <c r="Z44" t="s">
        <v>1100</v>
      </c>
      <c r="AA44" t="s">
        <v>1101</v>
      </c>
      <c r="AB44" t="s">
        <v>1102</v>
      </c>
      <c r="AC44" t="s">
        <v>1103</v>
      </c>
      <c r="AD44" t="s">
        <v>1104</v>
      </c>
      <c r="AE44" t="s">
        <v>1105</v>
      </c>
      <c r="AF44" t="s">
        <v>74</v>
      </c>
      <c r="AG44">
        <v>89</v>
      </c>
      <c r="AH44">
        <v>7</v>
      </c>
      <c r="AI44">
        <v>7</v>
      </c>
      <c r="AJ44">
        <v>1</v>
      </c>
      <c r="AK44">
        <v>34</v>
      </c>
      <c r="AL44" t="s">
        <v>337</v>
      </c>
      <c r="AM44" t="s">
        <v>258</v>
      </c>
      <c r="AN44" t="s">
        <v>338</v>
      </c>
      <c r="AO44" t="s">
        <v>1106</v>
      </c>
      <c r="AP44" t="s">
        <v>1107</v>
      </c>
      <c r="AQ44" t="s">
        <v>74</v>
      </c>
      <c r="AR44" t="s">
        <v>1108</v>
      </c>
      <c r="AS44" t="s">
        <v>1109</v>
      </c>
      <c r="AT44" t="s">
        <v>98</v>
      </c>
      <c r="AU44">
        <v>2018</v>
      </c>
      <c r="AV44">
        <v>94</v>
      </c>
      <c r="AW44">
        <v>1</v>
      </c>
      <c r="AX44" t="s">
        <v>74</v>
      </c>
      <c r="AY44" t="s">
        <v>74</v>
      </c>
      <c r="AZ44" t="s">
        <v>74</v>
      </c>
      <c r="BA44" t="s">
        <v>74</v>
      </c>
      <c r="BB44">
        <v>93</v>
      </c>
      <c r="BC44">
        <v>119</v>
      </c>
      <c r="BD44" t="s">
        <v>74</v>
      </c>
      <c r="BE44" t="s">
        <v>1110</v>
      </c>
      <c r="BF44" t="str">
        <f>HYPERLINK("http://dx.doi.org/10.1007/s11069-018-3376-y","http://dx.doi.org/10.1007/s11069-018-3376-y")</f>
        <v>http://dx.doi.org/10.1007/s11069-018-3376-y</v>
      </c>
      <c r="BG44" t="s">
        <v>74</v>
      </c>
      <c r="BH44" t="s">
        <v>74</v>
      </c>
      <c r="BI44">
        <v>27</v>
      </c>
      <c r="BJ44" t="s">
        <v>1111</v>
      </c>
      <c r="BK44" t="s">
        <v>101</v>
      </c>
      <c r="BL44" t="s">
        <v>1112</v>
      </c>
      <c r="BM44" t="s">
        <v>1113</v>
      </c>
      <c r="BN44" t="s">
        <v>74</v>
      </c>
      <c r="BO44" t="s">
        <v>74</v>
      </c>
      <c r="BP44" t="s">
        <v>74</v>
      </c>
      <c r="BQ44" t="s">
        <v>74</v>
      </c>
      <c r="BR44" t="s">
        <v>104</v>
      </c>
      <c r="BS44" t="s">
        <v>1114</v>
      </c>
      <c r="BT44" t="str">
        <f>HYPERLINK("https%3A%2F%2Fwww.webofscience.com%2Fwos%2Fwoscc%2Ffull-record%2FWOS:000445112300006","View Full Record in Web of Science")</f>
        <v>View Full Record in Web of Science</v>
      </c>
    </row>
    <row r="45" spans="1:72" x14ac:dyDescent="0.15">
      <c r="A45" t="s">
        <v>72</v>
      </c>
      <c r="B45" t="s">
        <v>1115</v>
      </c>
      <c r="C45" t="s">
        <v>74</v>
      </c>
      <c r="D45" t="s">
        <v>74</v>
      </c>
      <c r="E45" t="s">
        <v>74</v>
      </c>
      <c r="F45" t="s">
        <v>1116</v>
      </c>
      <c r="G45" t="s">
        <v>74</v>
      </c>
      <c r="H45" t="s">
        <v>74</v>
      </c>
      <c r="I45" t="s">
        <v>1117</v>
      </c>
      <c r="J45" t="s">
        <v>1118</v>
      </c>
      <c r="K45" t="s">
        <v>74</v>
      </c>
      <c r="L45" t="s">
        <v>74</v>
      </c>
      <c r="M45" t="s">
        <v>78</v>
      </c>
      <c r="N45" t="s">
        <v>79</v>
      </c>
      <c r="O45" t="s">
        <v>74</v>
      </c>
      <c r="P45" t="s">
        <v>74</v>
      </c>
      <c r="Q45" t="s">
        <v>74</v>
      </c>
      <c r="R45" t="s">
        <v>74</v>
      </c>
      <c r="S45" t="s">
        <v>74</v>
      </c>
      <c r="T45" t="s">
        <v>74</v>
      </c>
      <c r="U45" t="s">
        <v>1119</v>
      </c>
      <c r="V45" t="s">
        <v>1120</v>
      </c>
      <c r="W45" t="s">
        <v>1121</v>
      </c>
      <c r="X45" t="s">
        <v>1122</v>
      </c>
      <c r="Y45" t="s">
        <v>1123</v>
      </c>
      <c r="Z45" t="s">
        <v>1124</v>
      </c>
      <c r="AA45" t="s">
        <v>1125</v>
      </c>
      <c r="AB45" t="s">
        <v>1126</v>
      </c>
      <c r="AC45" t="s">
        <v>1127</v>
      </c>
      <c r="AD45" t="s">
        <v>1128</v>
      </c>
      <c r="AE45" t="s">
        <v>1129</v>
      </c>
      <c r="AF45" t="s">
        <v>74</v>
      </c>
      <c r="AG45">
        <v>46</v>
      </c>
      <c r="AH45">
        <v>10</v>
      </c>
      <c r="AI45">
        <v>12</v>
      </c>
      <c r="AJ45">
        <v>0</v>
      </c>
      <c r="AK45">
        <v>42</v>
      </c>
      <c r="AL45" t="s">
        <v>1130</v>
      </c>
      <c r="AM45" t="s">
        <v>1131</v>
      </c>
      <c r="AN45" t="s">
        <v>1132</v>
      </c>
      <c r="AO45" t="s">
        <v>1133</v>
      </c>
      <c r="AP45" t="s">
        <v>1134</v>
      </c>
      <c r="AQ45" t="s">
        <v>74</v>
      </c>
      <c r="AR45" t="s">
        <v>1135</v>
      </c>
      <c r="AS45" t="s">
        <v>1136</v>
      </c>
      <c r="AT45" t="s">
        <v>98</v>
      </c>
      <c r="AU45">
        <v>2018</v>
      </c>
      <c r="AV45">
        <v>8</v>
      </c>
      <c r="AW45">
        <v>10</v>
      </c>
      <c r="AX45" t="s">
        <v>74</v>
      </c>
      <c r="AY45" t="s">
        <v>74</v>
      </c>
      <c r="AZ45" t="s">
        <v>74</v>
      </c>
      <c r="BA45" t="s">
        <v>74</v>
      </c>
      <c r="BB45">
        <v>873</v>
      </c>
      <c r="BC45" t="s">
        <v>1137</v>
      </c>
      <c r="BD45" t="s">
        <v>74</v>
      </c>
      <c r="BE45" t="s">
        <v>1138</v>
      </c>
      <c r="BF45" t="str">
        <f>HYPERLINK("http://dx.doi.org/10.1038/s41558-018-0278-7","http://dx.doi.org/10.1038/s41558-018-0278-7")</f>
        <v>http://dx.doi.org/10.1038/s41558-018-0278-7</v>
      </c>
      <c r="BG45" t="s">
        <v>74</v>
      </c>
      <c r="BH45" t="s">
        <v>74</v>
      </c>
      <c r="BI45">
        <v>8</v>
      </c>
      <c r="BJ45" t="s">
        <v>1139</v>
      </c>
      <c r="BK45" t="s">
        <v>1140</v>
      </c>
      <c r="BL45" t="s">
        <v>318</v>
      </c>
      <c r="BM45" t="s">
        <v>1141</v>
      </c>
      <c r="BN45" t="s">
        <v>74</v>
      </c>
      <c r="BO45" t="s">
        <v>1142</v>
      </c>
      <c r="BP45" t="s">
        <v>74</v>
      </c>
      <c r="BQ45" t="s">
        <v>74</v>
      </c>
      <c r="BR45" t="s">
        <v>104</v>
      </c>
      <c r="BS45" t="s">
        <v>1143</v>
      </c>
      <c r="BT45" t="str">
        <f>HYPERLINK("https%3A%2F%2Fwww.webofscience.com%2Fwos%2Fwoscc%2Ffull-record%2FWOS:000445927700017","View Full Record in Web of Science")</f>
        <v>View Full Record in Web of Science</v>
      </c>
    </row>
    <row r="46" spans="1:72" x14ac:dyDescent="0.15">
      <c r="A46" t="s">
        <v>72</v>
      </c>
      <c r="B46" t="s">
        <v>1144</v>
      </c>
      <c r="C46" t="s">
        <v>74</v>
      </c>
      <c r="D46" t="s">
        <v>74</v>
      </c>
      <c r="E46" t="s">
        <v>74</v>
      </c>
      <c r="F46" t="s">
        <v>1145</v>
      </c>
      <c r="G46" t="s">
        <v>74</v>
      </c>
      <c r="H46" t="s">
        <v>74</v>
      </c>
      <c r="I46" t="s">
        <v>1146</v>
      </c>
      <c r="J46" t="s">
        <v>1147</v>
      </c>
      <c r="K46" t="s">
        <v>74</v>
      </c>
      <c r="L46" t="s">
        <v>74</v>
      </c>
      <c r="M46" t="s">
        <v>78</v>
      </c>
      <c r="N46" t="s">
        <v>79</v>
      </c>
      <c r="O46" t="s">
        <v>74</v>
      </c>
      <c r="P46" t="s">
        <v>74</v>
      </c>
      <c r="Q46" t="s">
        <v>74</v>
      </c>
      <c r="R46" t="s">
        <v>74</v>
      </c>
      <c r="S46" t="s">
        <v>74</v>
      </c>
      <c r="T46" t="s">
        <v>74</v>
      </c>
      <c r="U46" t="s">
        <v>1148</v>
      </c>
      <c r="V46" t="s">
        <v>1149</v>
      </c>
      <c r="W46" t="s">
        <v>1150</v>
      </c>
      <c r="X46" t="s">
        <v>1151</v>
      </c>
      <c r="Y46" t="s">
        <v>1152</v>
      </c>
      <c r="Z46" t="s">
        <v>1153</v>
      </c>
      <c r="AA46" t="s">
        <v>1154</v>
      </c>
      <c r="AB46" t="s">
        <v>1155</v>
      </c>
      <c r="AC46" t="s">
        <v>1156</v>
      </c>
      <c r="AD46" t="s">
        <v>1157</v>
      </c>
      <c r="AE46" t="s">
        <v>1158</v>
      </c>
      <c r="AF46" t="s">
        <v>74</v>
      </c>
      <c r="AG46">
        <v>51</v>
      </c>
      <c r="AH46">
        <v>188</v>
      </c>
      <c r="AI46">
        <v>202</v>
      </c>
      <c r="AJ46">
        <v>4</v>
      </c>
      <c r="AK46">
        <v>76</v>
      </c>
      <c r="AL46" t="s">
        <v>1159</v>
      </c>
      <c r="AM46" t="s">
        <v>258</v>
      </c>
      <c r="AN46" t="s">
        <v>1160</v>
      </c>
      <c r="AO46" t="s">
        <v>1161</v>
      </c>
      <c r="AP46" t="s">
        <v>1162</v>
      </c>
      <c r="AQ46" t="s">
        <v>74</v>
      </c>
      <c r="AR46" t="s">
        <v>1163</v>
      </c>
      <c r="AS46" t="s">
        <v>1164</v>
      </c>
      <c r="AT46" t="s">
        <v>98</v>
      </c>
      <c r="AU46">
        <v>2018</v>
      </c>
      <c r="AV46">
        <v>11</v>
      </c>
      <c r="AW46">
        <v>10</v>
      </c>
      <c r="AX46" t="s">
        <v>74</v>
      </c>
      <c r="AY46" t="s">
        <v>74</v>
      </c>
      <c r="AZ46" t="s">
        <v>74</v>
      </c>
      <c r="BA46" t="s">
        <v>74</v>
      </c>
      <c r="BB46">
        <v>733</v>
      </c>
      <c r="BC46" t="s">
        <v>1137</v>
      </c>
      <c r="BD46" t="s">
        <v>74</v>
      </c>
      <c r="BE46" t="s">
        <v>1165</v>
      </c>
      <c r="BF46" t="str">
        <f>HYPERLINK("http://dx.doi.org/10.1038/s41561-018-0207-4","http://dx.doi.org/10.1038/s41561-018-0207-4")</f>
        <v>http://dx.doi.org/10.1038/s41561-018-0207-4</v>
      </c>
      <c r="BG46" t="s">
        <v>74</v>
      </c>
      <c r="BH46" t="s">
        <v>74</v>
      </c>
      <c r="BI46">
        <v>9</v>
      </c>
      <c r="BJ46" t="s">
        <v>182</v>
      </c>
      <c r="BK46" t="s">
        <v>101</v>
      </c>
      <c r="BL46" t="s">
        <v>183</v>
      </c>
      <c r="BM46" t="s">
        <v>1166</v>
      </c>
      <c r="BN46" t="s">
        <v>74</v>
      </c>
      <c r="BO46" t="s">
        <v>211</v>
      </c>
      <c r="BP46" t="s">
        <v>1167</v>
      </c>
      <c r="BQ46" t="s">
        <v>1168</v>
      </c>
      <c r="BR46" t="s">
        <v>104</v>
      </c>
      <c r="BS46" t="s">
        <v>1169</v>
      </c>
      <c r="BT46" t="str">
        <f>HYPERLINK("https%3A%2F%2Fwww.webofscience.com%2Fwos%2Fwoscc%2Ffull-record%2FWOS:000446089100010","View Full Record in Web of Science")</f>
        <v>View Full Record in Web of Science</v>
      </c>
    </row>
    <row r="47" spans="1:72" x14ac:dyDescent="0.15">
      <c r="A47" t="s">
        <v>72</v>
      </c>
      <c r="B47" t="s">
        <v>1170</v>
      </c>
      <c r="C47" t="s">
        <v>74</v>
      </c>
      <c r="D47" t="s">
        <v>74</v>
      </c>
      <c r="E47" t="s">
        <v>74</v>
      </c>
      <c r="F47" t="s">
        <v>1171</v>
      </c>
      <c r="G47" t="s">
        <v>74</v>
      </c>
      <c r="H47" t="s">
        <v>74</v>
      </c>
      <c r="I47" t="s">
        <v>1172</v>
      </c>
      <c r="J47" t="s">
        <v>1173</v>
      </c>
      <c r="K47" t="s">
        <v>74</v>
      </c>
      <c r="L47" t="s">
        <v>74</v>
      </c>
      <c r="M47" t="s">
        <v>78</v>
      </c>
      <c r="N47" t="s">
        <v>79</v>
      </c>
      <c r="O47" t="s">
        <v>74</v>
      </c>
      <c r="P47" t="s">
        <v>74</v>
      </c>
      <c r="Q47" t="s">
        <v>74</v>
      </c>
      <c r="R47" t="s">
        <v>74</v>
      </c>
      <c r="S47" t="s">
        <v>74</v>
      </c>
      <c r="T47" t="s">
        <v>74</v>
      </c>
      <c r="U47" t="s">
        <v>1174</v>
      </c>
      <c r="V47" t="s">
        <v>1175</v>
      </c>
      <c r="W47" t="s">
        <v>1176</v>
      </c>
      <c r="X47" t="s">
        <v>1177</v>
      </c>
      <c r="Y47" t="s">
        <v>1178</v>
      </c>
      <c r="Z47" t="s">
        <v>1179</v>
      </c>
      <c r="AA47" t="s">
        <v>74</v>
      </c>
      <c r="AB47" t="s">
        <v>74</v>
      </c>
      <c r="AC47" t="s">
        <v>74</v>
      </c>
      <c r="AD47" t="s">
        <v>74</v>
      </c>
      <c r="AE47" t="s">
        <v>74</v>
      </c>
      <c r="AF47" t="s">
        <v>74</v>
      </c>
      <c r="AG47">
        <v>48</v>
      </c>
      <c r="AH47">
        <v>10</v>
      </c>
      <c r="AI47">
        <v>11</v>
      </c>
      <c r="AJ47">
        <v>0</v>
      </c>
      <c r="AK47">
        <v>24</v>
      </c>
      <c r="AL47" t="s">
        <v>430</v>
      </c>
      <c r="AM47" t="s">
        <v>286</v>
      </c>
      <c r="AN47" t="s">
        <v>431</v>
      </c>
      <c r="AO47" t="s">
        <v>1180</v>
      </c>
      <c r="AP47" t="s">
        <v>1181</v>
      </c>
      <c r="AQ47" t="s">
        <v>74</v>
      </c>
      <c r="AR47" t="s">
        <v>1182</v>
      </c>
      <c r="AS47" t="s">
        <v>1183</v>
      </c>
      <c r="AT47" t="s">
        <v>291</v>
      </c>
      <c r="AU47">
        <v>2018</v>
      </c>
      <c r="AV47">
        <v>506</v>
      </c>
      <c r="AW47" t="s">
        <v>74</v>
      </c>
      <c r="AX47" t="s">
        <v>74</v>
      </c>
      <c r="AY47" t="s">
        <v>74</v>
      </c>
      <c r="AZ47" t="s">
        <v>74</v>
      </c>
      <c r="BA47" t="s">
        <v>74</v>
      </c>
      <c r="BB47">
        <v>101</v>
      </c>
      <c r="BC47">
        <v>111</v>
      </c>
      <c r="BD47" t="s">
        <v>74</v>
      </c>
      <c r="BE47" t="s">
        <v>1184</v>
      </c>
      <c r="BF47" t="str">
        <f>HYPERLINK("http://dx.doi.org/10.1016/j.palaeo.2018.06.021","http://dx.doi.org/10.1016/j.palaeo.2018.06.021")</f>
        <v>http://dx.doi.org/10.1016/j.palaeo.2018.06.021</v>
      </c>
      <c r="BG47" t="s">
        <v>74</v>
      </c>
      <c r="BH47" t="s">
        <v>74</v>
      </c>
      <c r="BI47">
        <v>11</v>
      </c>
      <c r="BJ47" t="s">
        <v>1185</v>
      </c>
      <c r="BK47" t="s">
        <v>101</v>
      </c>
      <c r="BL47" t="s">
        <v>1186</v>
      </c>
      <c r="BM47" t="s">
        <v>1187</v>
      </c>
      <c r="BN47" t="s">
        <v>74</v>
      </c>
      <c r="BO47" t="s">
        <v>74</v>
      </c>
      <c r="BP47" t="s">
        <v>74</v>
      </c>
      <c r="BQ47" t="s">
        <v>74</v>
      </c>
      <c r="BR47" t="s">
        <v>104</v>
      </c>
      <c r="BS47" t="s">
        <v>1188</v>
      </c>
      <c r="BT47" t="str">
        <f>HYPERLINK("https%3A%2F%2Fwww.webofscience.com%2Fwos%2Fwoscc%2Ffull-record%2FWOS:000440960100008","View Full Record in Web of Science")</f>
        <v>View Full Record in Web of Science</v>
      </c>
    </row>
    <row r="48" spans="1:72" x14ac:dyDescent="0.15">
      <c r="A48" t="s">
        <v>72</v>
      </c>
      <c r="B48" t="s">
        <v>1189</v>
      </c>
      <c r="C48" t="s">
        <v>74</v>
      </c>
      <c r="D48" t="s">
        <v>74</v>
      </c>
      <c r="E48" t="s">
        <v>74</v>
      </c>
      <c r="F48" t="s">
        <v>1190</v>
      </c>
      <c r="G48" t="s">
        <v>74</v>
      </c>
      <c r="H48" t="s">
        <v>74</v>
      </c>
      <c r="I48" t="s">
        <v>1191</v>
      </c>
      <c r="J48" t="s">
        <v>1192</v>
      </c>
      <c r="K48" t="s">
        <v>74</v>
      </c>
      <c r="L48" t="s">
        <v>74</v>
      </c>
      <c r="M48" t="s">
        <v>78</v>
      </c>
      <c r="N48" t="s">
        <v>79</v>
      </c>
      <c r="O48" t="s">
        <v>74</v>
      </c>
      <c r="P48" t="s">
        <v>74</v>
      </c>
      <c r="Q48" t="s">
        <v>74</v>
      </c>
      <c r="R48" t="s">
        <v>74</v>
      </c>
      <c r="S48" t="s">
        <v>74</v>
      </c>
      <c r="T48" t="s">
        <v>1193</v>
      </c>
      <c r="U48" t="s">
        <v>1194</v>
      </c>
      <c r="V48" t="s">
        <v>1195</v>
      </c>
      <c r="W48" t="s">
        <v>1196</v>
      </c>
      <c r="X48" t="s">
        <v>329</v>
      </c>
      <c r="Y48" t="s">
        <v>1197</v>
      </c>
      <c r="Z48" t="s">
        <v>1198</v>
      </c>
      <c r="AA48" t="s">
        <v>1199</v>
      </c>
      <c r="AB48" t="s">
        <v>1200</v>
      </c>
      <c r="AC48" t="s">
        <v>1201</v>
      </c>
      <c r="AD48" t="s">
        <v>1202</v>
      </c>
      <c r="AE48" t="s">
        <v>1203</v>
      </c>
      <c r="AF48" t="s">
        <v>74</v>
      </c>
      <c r="AG48">
        <v>35</v>
      </c>
      <c r="AH48">
        <v>11</v>
      </c>
      <c r="AI48">
        <v>11</v>
      </c>
      <c r="AJ48">
        <v>0</v>
      </c>
      <c r="AK48">
        <v>5</v>
      </c>
      <c r="AL48" t="s">
        <v>337</v>
      </c>
      <c r="AM48" t="s">
        <v>258</v>
      </c>
      <c r="AN48" t="s">
        <v>338</v>
      </c>
      <c r="AO48" t="s">
        <v>1204</v>
      </c>
      <c r="AP48" t="s">
        <v>1205</v>
      </c>
      <c r="AQ48" t="s">
        <v>74</v>
      </c>
      <c r="AR48" t="s">
        <v>1206</v>
      </c>
      <c r="AS48" t="s">
        <v>1207</v>
      </c>
      <c r="AT48" t="s">
        <v>98</v>
      </c>
      <c r="AU48">
        <v>2018</v>
      </c>
      <c r="AV48">
        <v>41</v>
      </c>
      <c r="AW48">
        <v>10</v>
      </c>
      <c r="AX48" t="s">
        <v>74</v>
      </c>
      <c r="AY48" t="s">
        <v>74</v>
      </c>
      <c r="AZ48" t="s">
        <v>74</v>
      </c>
      <c r="BA48" t="s">
        <v>74</v>
      </c>
      <c r="BB48">
        <v>2065</v>
      </c>
      <c r="BC48">
        <v>2073</v>
      </c>
      <c r="BD48" t="s">
        <v>74</v>
      </c>
      <c r="BE48" t="s">
        <v>1208</v>
      </c>
      <c r="BF48" t="str">
        <f>HYPERLINK("http://dx.doi.org/10.1007/s00300-018-2346-x","http://dx.doi.org/10.1007/s00300-018-2346-x")</f>
        <v>http://dx.doi.org/10.1007/s00300-018-2346-x</v>
      </c>
      <c r="BG48" t="s">
        <v>74</v>
      </c>
      <c r="BH48" t="s">
        <v>74</v>
      </c>
      <c r="BI48">
        <v>9</v>
      </c>
      <c r="BJ48" t="s">
        <v>1209</v>
      </c>
      <c r="BK48" t="s">
        <v>101</v>
      </c>
      <c r="BL48" t="s">
        <v>1210</v>
      </c>
      <c r="BM48" t="s">
        <v>1211</v>
      </c>
      <c r="BN48" t="s">
        <v>74</v>
      </c>
      <c r="BO48" t="s">
        <v>74</v>
      </c>
      <c r="BP48" t="s">
        <v>74</v>
      </c>
      <c r="BQ48" t="s">
        <v>74</v>
      </c>
      <c r="BR48" t="s">
        <v>104</v>
      </c>
      <c r="BS48" t="s">
        <v>1212</v>
      </c>
      <c r="BT48" t="str">
        <f>HYPERLINK("https%3A%2F%2Fwww.webofscience.com%2Fwos%2Fwoscc%2Ffull-record%2FWOS:000445212100013","View Full Record in Web of Science")</f>
        <v>View Full Record in Web of Science</v>
      </c>
    </row>
    <row r="49" spans="1:72" x14ac:dyDescent="0.15">
      <c r="A49" t="s">
        <v>72</v>
      </c>
      <c r="B49" t="s">
        <v>1213</v>
      </c>
      <c r="C49" t="s">
        <v>74</v>
      </c>
      <c r="D49" t="s">
        <v>74</v>
      </c>
      <c r="E49" t="s">
        <v>74</v>
      </c>
      <c r="F49" t="s">
        <v>1214</v>
      </c>
      <c r="G49" t="s">
        <v>74</v>
      </c>
      <c r="H49" t="s">
        <v>74</v>
      </c>
      <c r="I49" t="s">
        <v>1215</v>
      </c>
      <c r="J49" t="s">
        <v>1192</v>
      </c>
      <c r="K49" t="s">
        <v>74</v>
      </c>
      <c r="L49" t="s">
        <v>74</v>
      </c>
      <c r="M49" t="s">
        <v>78</v>
      </c>
      <c r="N49" t="s">
        <v>273</v>
      </c>
      <c r="O49" t="s">
        <v>74</v>
      </c>
      <c r="P49" t="s">
        <v>74</v>
      </c>
      <c r="Q49" t="s">
        <v>74</v>
      </c>
      <c r="R49" t="s">
        <v>74</v>
      </c>
      <c r="S49" t="s">
        <v>74</v>
      </c>
      <c r="T49" t="s">
        <v>1216</v>
      </c>
      <c r="U49" t="s">
        <v>1217</v>
      </c>
      <c r="V49" t="s">
        <v>1218</v>
      </c>
      <c r="W49" t="s">
        <v>1219</v>
      </c>
      <c r="X49" t="s">
        <v>1220</v>
      </c>
      <c r="Y49" t="s">
        <v>1221</v>
      </c>
      <c r="Z49" t="s">
        <v>1222</v>
      </c>
      <c r="AA49" t="s">
        <v>1223</v>
      </c>
      <c r="AB49" t="s">
        <v>1224</v>
      </c>
      <c r="AC49" t="s">
        <v>1225</v>
      </c>
      <c r="AD49" t="s">
        <v>1226</v>
      </c>
      <c r="AE49" t="s">
        <v>1227</v>
      </c>
      <c r="AF49" t="s">
        <v>74</v>
      </c>
      <c r="AG49">
        <v>89</v>
      </c>
      <c r="AH49">
        <v>12</v>
      </c>
      <c r="AI49">
        <v>12</v>
      </c>
      <c r="AJ49">
        <v>1</v>
      </c>
      <c r="AK49">
        <v>28</v>
      </c>
      <c r="AL49" t="s">
        <v>337</v>
      </c>
      <c r="AM49" t="s">
        <v>258</v>
      </c>
      <c r="AN49" t="s">
        <v>387</v>
      </c>
      <c r="AO49" t="s">
        <v>1204</v>
      </c>
      <c r="AP49" t="s">
        <v>1205</v>
      </c>
      <c r="AQ49" t="s">
        <v>74</v>
      </c>
      <c r="AR49" t="s">
        <v>1206</v>
      </c>
      <c r="AS49" t="s">
        <v>1207</v>
      </c>
      <c r="AT49" t="s">
        <v>98</v>
      </c>
      <c r="AU49">
        <v>2018</v>
      </c>
      <c r="AV49">
        <v>41</v>
      </c>
      <c r="AW49">
        <v>10</v>
      </c>
      <c r="AX49" t="s">
        <v>74</v>
      </c>
      <c r="AY49" t="s">
        <v>74</v>
      </c>
      <c r="AZ49" t="s">
        <v>74</v>
      </c>
      <c r="BA49" t="s">
        <v>74</v>
      </c>
      <c r="BB49">
        <v>2135</v>
      </c>
      <c r="BC49">
        <v>2155</v>
      </c>
      <c r="BD49" t="s">
        <v>74</v>
      </c>
      <c r="BE49" t="s">
        <v>1228</v>
      </c>
      <c r="BF49" t="str">
        <f>HYPERLINK("http://dx.doi.org/10.1007/s00300-018-2338-x","http://dx.doi.org/10.1007/s00300-018-2338-x")</f>
        <v>http://dx.doi.org/10.1007/s00300-018-2338-x</v>
      </c>
      <c r="BG49" t="s">
        <v>74</v>
      </c>
      <c r="BH49" t="s">
        <v>74</v>
      </c>
      <c r="BI49">
        <v>21</v>
      </c>
      <c r="BJ49" t="s">
        <v>1209</v>
      </c>
      <c r="BK49" t="s">
        <v>101</v>
      </c>
      <c r="BL49" t="s">
        <v>1210</v>
      </c>
      <c r="BM49" t="s">
        <v>1211</v>
      </c>
      <c r="BN49" t="s">
        <v>74</v>
      </c>
      <c r="BO49" t="s">
        <v>74</v>
      </c>
      <c r="BP49" t="s">
        <v>74</v>
      </c>
      <c r="BQ49" t="s">
        <v>74</v>
      </c>
      <c r="BR49" t="s">
        <v>104</v>
      </c>
      <c r="BS49" t="s">
        <v>1229</v>
      </c>
      <c r="BT49" t="str">
        <f>HYPERLINK("https%3A%2F%2Fwww.webofscience.com%2Fwos%2Fwoscc%2Ffull-record%2FWOS:000445212100018","View Full Record in Web of Science")</f>
        <v>View Full Record in Web of Science</v>
      </c>
    </row>
    <row r="50" spans="1:72" x14ac:dyDescent="0.15">
      <c r="A50" t="s">
        <v>72</v>
      </c>
      <c r="B50" t="s">
        <v>1230</v>
      </c>
      <c r="C50" t="s">
        <v>74</v>
      </c>
      <c r="D50" t="s">
        <v>74</v>
      </c>
      <c r="E50" t="s">
        <v>74</v>
      </c>
      <c r="F50" t="s">
        <v>1231</v>
      </c>
      <c r="G50" t="s">
        <v>74</v>
      </c>
      <c r="H50" t="s">
        <v>74</v>
      </c>
      <c r="I50" t="s">
        <v>1232</v>
      </c>
      <c r="J50" t="s">
        <v>1233</v>
      </c>
      <c r="K50" t="s">
        <v>74</v>
      </c>
      <c r="L50" t="s">
        <v>74</v>
      </c>
      <c r="M50" t="s">
        <v>78</v>
      </c>
      <c r="N50" t="s">
        <v>79</v>
      </c>
      <c r="O50" t="s">
        <v>74</v>
      </c>
      <c r="P50" t="s">
        <v>74</v>
      </c>
      <c r="Q50" t="s">
        <v>74</v>
      </c>
      <c r="R50" t="s">
        <v>74</v>
      </c>
      <c r="S50" t="s">
        <v>74</v>
      </c>
      <c r="T50" t="s">
        <v>1234</v>
      </c>
      <c r="U50" t="s">
        <v>1235</v>
      </c>
      <c r="V50" t="s">
        <v>1236</v>
      </c>
      <c r="W50" t="s">
        <v>1237</v>
      </c>
      <c r="X50" t="s">
        <v>1238</v>
      </c>
      <c r="Y50" t="s">
        <v>1239</v>
      </c>
      <c r="Z50" t="s">
        <v>1240</v>
      </c>
      <c r="AA50" t="s">
        <v>1241</v>
      </c>
      <c r="AB50" t="s">
        <v>1242</v>
      </c>
      <c r="AC50" t="s">
        <v>1243</v>
      </c>
      <c r="AD50" t="s">
        <v>1244</v>
      </c>
      <c r="AE50" t="s">
        <v>1245</v>
      </c>
      <c r="AF50" t="s">
        <v>74</v>
      </c>
      <c r="AG50">
        <v>53</v>
      </c>
      <c r="AH50">
        <v>14</v>
      </c>
      <c r="AI50">
        <v>16</v>
      </c>
      <c r="AJ50">
        <v>3</v>
      </c>
      <c r="AK50">
        <v>44</v>
      </c>
      <c r="AL50" t="s">
        <v>404</v>
      </c>
      <c r="AM50" t="s">
        <v>258</v>
      </c>
      <c r="AN50" t="s">
        <v>405</v>
      </c>
      <c r="AO50" t="s">
        <v>1246</v>
      </c>
      <c r="AP50" t="s">
        <v>1247</v>
      </c>
      <c r="AQ50" t="s">
        <v>74</v>
      </c>
      <c r="AR50" t="s">
        <v>1248</v>
      </c>
      <c r="AS50" t="s">
        <v>1249</v>
      </c>
      <c r="AT50" t="s">
        <v>98</v>
      </c>
      <c r="AU50">
        <v>2018</v>
      </c>
      <c r="AV50">
        <v>216</v>
      </c>
      <c r="AW50" t="s">
        <v>74</v>
      </c>
      <c r="AX50" t="s">
        <v>74</v>
      </c>
      <c r="AY50" t="s">
        <v>74</v>
      </c>
      <c r="AZ50" t="s">
        <v>74</v>
      </c>
      <c r="BA50" t="s">
        <v>74</v>
      </c>
      <c r="BB50">
        <v>615</v>
      </c>
      <c r="BC50">
        <v>625</v>
      </c>
      <c r="BD50" t="s">
        <v>74</v>
      </c>
      <c r="BE50" t="s">
        <v>1250</v>
      </c>
      <c r="BF50" t="str">
        <f>HYPERLINK("http://dx.doi.org/10.1016/j.rse.2018.07.028","http://dx.doi.org/10.1016/j.rse.2018.07.028")</f>
        <v>http://dx.doi.org/10.1016/j.rse.2018.07.028</v>
      </c>
      <c r="BG50" t="s">
        <v>74</v>
      </c>
      <c r="BH50" t="s">
        <v>74</v>
      </c>
      <c r="BI50">
        <v>11</v>
      </c>
      <c r="BJ50" t="s">
        <v>1251</v>
      </c>
      <c r="BK50" t="s">
        <v>101</v>
      </c>
      <c r="BL50" t="s">
        <v>1252</v>
      </c>
      <c r="BM50" t="s">
        <v>1253</v>
      </c>
      <c r="BN50" t="s">
        <v>74</v>
      </c>
      <c r="BO50" t="s">
        <v>74</v>
      </c>
      <c r="BP50" t="s">
        <v>74</v>
      </c>
      <c r="BQ50" t="s">
        <v>74</v>
      </c>
      <c r="BR50" t="s">
        <v>104</v>
      </c>
      <c r="BS50" t="s">
        <v>1254</v>
      </c>
      <c r="BT50" t="str">
        <f>HYPERLINK("https%3A%2F%2Fwww.webofscience.com%2Fwos%2Fwoscc%2Ffull-record%2FWOS:000445990100043","View Full Record in Web of Science")</f>
        <v>View Full Record in Web of Science</v>
      </c>
    </row>
    <row r="51" spans="1:72" x14ac:dyDescent="0.15">
      <c r="A51" t="s">
        <v>72</v>
      </c>
      <c r="B51" t="s">
        <v>1255</v>
      </c>
      <c r="C51" t="s">
        <v>74</v>
      </c>
      <c r="D51" t="s">
        <v>74</v>
      </c>
      <c r="E51" t="s">
        <v>74</v>
      </c>
      <c r="F51" t="s">
        <v>1256</v>
      </c>
      <c r="G51" t="s">
        <v>74</v>
      </c>
      <c r="H51" t="s">
        <v>74</v>
      </c>
      <c r="I51" t="s">
        <v>1257</v>
      </c>
      <c r="J51" t="s">
        <v>1258</v>
      </c>
      <c r="K51" t="s">
        <v>74</v>
      </c>
      <c r="L51" t="s">
        <v>74</v>
      </c>
      <c r="M51" t="s">
        <v>78</v>
      </c>
      <c r="N51" t="s">
        <v>79</v>
      </c>
      <c r="O51" t="s">
        <v>74</v>
      </c>
      <c r="P51" t="s">
        <v>74</v>
      </c>
      <c r="Q51" t="s">
        <v>74</v>
      </c>
      <c r="R51" t="s">
        <v>74</v>
      </c>
      <c r="S51" t="s">
        <v>74</v>
      </c>
      <c r="T51" t="s">
        <v>74</v>
      </c>
      <c r="U51" t="s">
        <v>1259</v>
      </c>
      <c r="V51" t="s">
        <v>1260</v>
      </c>
      <c r="W51" t="s">
        <v>1261</v>
      </c>
      <c r="X51" t="s">
        <v>1262</v>
      </c>
      <c r="Y51" t="s">
        <v>1263</v>
      </c>
      <c r="Z51" t="s">
        <v>1264</v>
      </c>
      <c r="AA51" t="s">
        <v>1265</v>
      </c>
      <c r="AB51" t="s">
        <v>1266</v>
      </c>
      <c r="AC51" t="s">
        <v>1267</v>
      </c>
      <c r="AD51" t="s">
        <v>1268</v>
      </c>
      <c r="AE51" t="s">
        <v>1269</v>
      </c>
      <c r="AF51" t="s">
        <v>74</v>
      </c>
      <c r="AG51">
        <v>58</v>
      </c>
      <c r="AH51">
        <v>19</v>
      </c>
      <c r="AI51">
        <v>19</v>
      </c>
      <c r="AJ51">
        <v>1</v>
      </c>
      <c r="AK51">
        <v>11</v>
      </c>
      <c r="AL51" t="s">
        <v>1270</v>
      </c>
      <c r="AM51" t="s">
        <v>504</v>
      </c>
      <c r="AN51" t="s">
        <v>1271</v>
      </c>
      <c r="AO51" t="s">
        <v>1272</v>
      </c>
      <c r="AP51" t="s">
        <v>74</v>
      </c>
      <c r="AQ51" t="s">
        <v>74</v>
      </c>
      <c r="AR51" t="s">
        <v>1273</v>
      </c>
      <c r="AS51" t="s">
        <v>1274</v>
      </c>
      <c r="AT51" t="s">
        <v>98</v>
      </c>
      <c r="AU51">
        <v>2018</v>
      </c>
      <c r="AV51">
        <v>4</v>
      </c>
      <c r="AW51">
        <v>10</v>
      </c>
      <c r="AX51" t="s">
        <v>74</v>
      </c>
      <c r="AY51" t="s">
        <v>74</v>
      </c>
      <c r="AZ51" t="s">
        <v>74</v>
      </c>
      <c r="BA51" t="s">
        <v>74</v>
      </c>
      <c r="BB51" t="s">
        <v>74</v>
      </c>
      <c r="BC51" t="s">
        <v>74</v>
      </c>
      <c r="BD51" t="s">
        <v>1275</v>
      </c>
      <c r="BE51" t="s">
        <v>1276</v>
      </c>
      <c r="BF51" t="str">
        <f>HYPERLINK("http://dx.doi.org/10.1126/sciadv.aao4719","http://dx.doi.org/10.1126/sciadv.aao4719")</f>
        <v>http://dx.doi.org/10.1126/sciadv.aao4719</v>
      </c>
      <c r="BG51" t="s">
        <v>74</v>
      </c>
      <c r="BH51" t="s">
        <v>74</v>
      </c>
      <c r="BI51">
        <v>12</v>
      </c>
      <c r="BJ51" t="s">
        <v>436</v>
      </c>
      <c r="BK51" t="s">
        <v>101</v>
      </c>
      <c r="BL51" t="s">
        <v>437</v>
      </c>
      <c r="BM51" t="s">
        <v>1277</v>
      </c>
      <c r="BN51">
        <v>30306127</v>
      </c>
      <c r="BO51" t="s">
        <v>1278</v>
      </c>
      <c r="BP51" t="s">
        <v>74</v>
      </c>
      <c r="BQ51" t="s">
        <v>74</v>
      </c>
      <c r="BR51" t="s">
        <v>104</v>
      </c>
      <c r="BS51" t="s">
        <v>1279</v>
      </c>
      <c r="BT51" t="str">
        <f>HYPERLINK("https%3A%2F%2Fwww.webofscience.com%2Fwos%2Fwoscc%2Ffull-record%2FWOS:000449221200002","View Full Record in Web of Science")</f>
        <v>View Full Record in Web of Science</v>
      </c>
    </row>
    <row r="52" spans="1:72" x14ac:dyDescent="0.15">
      <c r="A52" t="s">
        <v>72</v>
      </c>
      <c r="B52" t="s">
        <v>1280</v>
      </c>
      <c r="C52" t="s">
        <v>74</v>
      </c>
      <c r="D52" t="s">
        <v>74</v>
      </c>
      <c r="E52" t="s">
        <v>74</v>
      </c>
      <c r="F52" t="s">
        <v>1281</v>
      </c>
      <c r="G52" t="s">
        <v>74</v>
      </c>
      <c r="H52" t="s">
        <v>74</v>
      </c>
      <c r="I52" t="s">
        <v>1282</v>
      </c>
      <c r="J52" t="s">
        <v>1283</v>
      </c>
      <c r="K52" t="s">
        <v>74</v>
      </c>
      <c r="L52" t="s">
        <v>74</v>
      </c>
      <c r="M52" t="s">
        <v>78</v>
      </c>
      <c r="N52" t="s">
        <v>79</v>
      </c>
      <c r="O52" t="s">
        <v>74</v>
      </c>
      <c r="P52" t="s">
        <v>74</v>
      </c>
      <c r="Q52" t="s">
        <v>74</v>
      </c>
      <c r="R52" t="s">
        <v>74</v>
      </c>
      <c r="S52" t="s">
        <v>74</v>
      </c>
      <c r="T52" t="s">
        <v>1284</v>
      </c>
      <c r="U52" t="s">
        <v>1285</v>
      </c>
      <c r="V52" t="s">
        <v>1286</v>
      </c>
      <c r="W52" t="s">
        <v>1287</v>
      </c>
      <c r="X52" t="s">
        <v>1288</v>
      </c>
      <c r="Y52" t="s">
        <v>1289</v>
      </c>
      <c r="Z52" t="s">
        <v>1290</v>
      </c>
      <c r="AA52" t="s">
        <v>1291</v>
      </c>
      <c r="AB52" t="s">
        <v>1292</v>
      </c>
      <c r="AC52" t="s">
        <v>1293</v>
      </c>
      <c r="AD52" t="s">
        <v>1294</v>
      </c>
      <c r="AE52" t="s">
        <v>1295</v>
      </c>
      <c r="AF52" t="s">
        <v>74</v>
      </c>
      <c r="AG52">
        <v>63</v>
      </c>
      <c r="AH52">
        <v>57</v>
      </c>
      <c r="AI52">
        <v>58</v>
      </c>
      <c r="AJ52">
        <v>0</v>
      </c>
      <c r="AK52">
        <v>12</v>
      </c>
      <c r="AL52" t="s">
        <v>337</v>
      </c>
      <c r="AM52" t="s">
        <v>912</v>
      </c>
      <c r="AN52" t="s">
        <v>913</v>
      </c>
      <c r="AO52" t="s">
        <v>1296</v>
      </c>
      <c r="AP52" t="s">
        <v>1297</v>
      </c>
      <c r="AQ52" t="s">
        <v>74</v>
      </c>
      <c r="AR52" t="s">
        <v>1298</v>
      </c>
      <c r="AS52" t="s">
        <v>1299</v>
      </c>
      <c r="AT52" t="s">
        <v>98</v>
      </c>
      <c r="AU52">
        <v>2018</v>
      </c>
      <c r="AV52">
        <v>293</v>
      </c>
      <c r="AW52">
        <v>10</v>
      </c>
      <c r="AX52" t="s">
        <v>74</v>
      </c>
      <c r="AY52" t="s">
        <v>74</v>
      </c>
      <c r="AZ52" t="s">
        <v>74</v>
      </c>
      <c r="BA52" t="s">
        <v>74</v>
      </c>
      <c r="BB52" t="s">
        <v>74</v>
      </c>
      <c r="BC52" t="s">
        <v>74</v>
      </c>
      <c r="BD52">
        <v>136</v>
      </c>
      <c r="BE52" t="s">
        <v>1300</v>
      </c>
      <c r="BF52" t="str">
        <f>HYPERLINK("http://dx.doi.org/10.1007/s11207-018-1354-x","http://dx.doi.org/10.1007/s11207-018-1354-x")</f>
        <v>http://dx.doi.org/10.1007/s11207-018-1354-x</v>
      </c>
      <c r="BG52" t="s">
        <v>74</v>
      </c>
      <c r="BH52" t="s">
        <v>74</v>
      </c>
      <c r="BI52">
        <v>15</v>
      </c>
      <c r="BJ52" t="s">
        <v>1301</v>
      </c>
      <c r="BK52" t="s">
        <v>101</v>
      </c>
      <c r="BL52" t="s">
        <v>1301</v>
      </c>
      <c r="BM52" t="s">
        <v>1302</v>
      </c>
      <c r="BN52" t="s">
        <v>74</v>
      </c>
      <c r="BO52" t="s">
        <v>1142</v>
      </c>
      <c r="BP52" t="s">
        <v>74</v>
      </c>
      <c r="BQ52" t="s">
        <v>74</v>
      </c>
      <c r="BR52" t="s">
        <v>104</v>
      </c>
      <c r="BS52" t="s">
        <v>1303</v>
      </c>
      <c r="BT52" t="str">
        <f>HYPERLINK("https%3A%2F%2Fwww.webofscience.com%2Fwos%2Fwoscc%2Ffull-record%2FWOS:000446543700001","View Full Record in Web of Science")</f>
        <v>View Full Record in Web of Science</v>
      </c>
    </row>
    <row r="53" spans="1:72" x14ac:dyDescent="0.15">
      <c r="A53" t="s">
        <v>72</v>
      </c>
      <c r="B53" t="s">
        <v>1304</v>
      </c>
      <c r="C53" t="s">
        <v>74</v>
      </c>
      <c r="D53" t="s">
        <v>74</v>
      </c>
      <c r="E53" t="s">
        <v>74</v>
      </c>
      <c r="F53" t="s">
        <v>1305</v>
      </c>
      <c r="G53" t="s">
        <v>74</v>
      </c>
      <c r="H53" t="s">
        <v>74</v>
      </c>
      <c r="I53" t="s">
        <v>1306</v>
      </c>
      <c r="J53" t="s">
        <v>1307</v>
      </c>
      <c r="K53" t="s">
        <v>74</v>
      </c>
      <c r="L53" t="s">
        <v>74</v>
      </c>
      <c r="M53" t="s">
        <v>78</v>
      </c>
      <c r="N53" t="s">
        <v>79</v>
      </c>
      <c r="O53" t="s">
        <v>74</v>
      </c>
      <c r="P53" t="s">
        <v>74</v>
      </c>
      <c r="Q53" t="s">
        <v>74</v>
      </c>
      <c r="R53" t="s">
        <v>74</v>
      </c>
      <c r="S53" t="s">
        <v>74</v>
      </c>
      <c r="T53" t="s">
        <v>1308</v>
      </c>
      <c r="U53" t="s">
        <v>1309</v>
      </c>
      <c r="V53" t="s">
        <v>1310</v>
      </c>
      <c r="W53" t="s">
        <v>1311</v>
      </c>
      <c r="X53" t="s">
        <v>1312</v>
      </c>
      <c r="Y53" t="s">
        <v>1313</v>
      </c>
      <c r="Z53" t="s">
        <v>1314</v>
      </c>
      <c r="AA53" t="s">
        <v>74</v>
      </c>
      <c r="AB53" t="s">
        <v>1315</v>
      </c>
      <c r="AC53" t="s">
        <v>1316</v>
      </c>
      <c r="AD53" t="s">
        <v>1317</v>
      </c>
      <c r="AE53" t="s">
        <v>1318</v>
      </c>
      <c r="AF53" t="s">
        <v>74</v>
      </c>
      <c r="AG53">
        <v>30</v>
      </c>
      <c r="AH53">
        <v>4</v>
      </c>
      <c r="AI53">
        <v>5</v>
      </c>
      <c r="AJ53">
        <v>0</v>
      </c>
      <c r="AK53">
        <v>1</v>
      </c>
      <c r="AL53" t="s">
        <v>1319</v>
      </c>
      <c r="AM53" t="s">
        <v>704</v>
      </c>
      <c r="AN53" t="s">
        <v>1320</v>
      </c>
      <c r="AO53" t="s">
        <v>1321</v>
      </c>
      <c r="AP53" t="s">
        <v>74</v>
      </c>
      <c r="AQ53" t="s">
        <v>74</v>
      </c>
      <c r="AR53" t="s">
        <v>1322</v>
      </c>
      <c r="AS53" t="s">
        <v>1323</v>
      </c>
      <c r="AT53" t="s">
        <v>98</v>
      </c>
      <c r="AU53">
        <v>2018</v>
      </c>
      <c r="AV53">
        <v>5</v>
      </c>
      <c r="AW53">
        <v>10</v>
      </c>
      <c r="AX53" t="s">
        <v>74</v>
      </c>
      <c r="AY53" t="s">
        <v>74</v>
      </c>
      <c r="AZ53" t="s">
        <v>74</v>
      </c>
      <c r="BA53" t="s">
        <v>74</v>
      </c>
      <c r="BB53" t="s">
        <v>74</v>
      </c>
      <c r="BC53" t="s">
        <v>74</v>
      </c>
      <c r="BD53">
        <v>181446</v>
      </c>
      <c r="BE53" t="s">
        <v>1324</v>
      </c>
      <c r="BF53" t="str">
        <f>HYPERLINK("http://dx.doi.org/10.1098/rsos.181446","http://dx.doi.org/10.1098/rsos.181446")</f>
        <v>http://dx.doi.org/10.1098/rsos.181446</v>
      </c>
      <c r="BG53" t="s">
        <v>74</v>
      </c>
      <c r="BH53" t="s">
        <v>74</v>
      </c>
      <c r="BI53">
        <v>7</v>
      </c>
      <c r="BJ53" t="s">
        <v>436</v>
      </c>
      <c r="BK53" t="s">
        <v>101</v>
      </c>
      <c r="BL53" t="s">
        <v>437</v>
      </c>
      <c r="BM53" t="s">
        <v>1325</v>
      </c>
      <c r="BN53">
        <v>30473865</v>
      </c>
      <c r="BO53" t="s">
        <v>439</v>
      </c>
      <c r="BP53" t="s">
        <v>74</v>
      </c>
      <c r="BQ53" t="s">
        <v>74</v>
      </c>
      <c r="BR53" t="s">
        <v>104</v>
      </c>
      <c r="BS53" t="s">
        <v>1326</v>
      </c>
      <c r="BT53" t="str">
        <f>HYPERLINK("https%3A%2F%2Fwww.webofscience.com%2Fwos%2Fwoscc%2Ffull-record%2FWOS:000451073300071","View Full Record in Web of Science")</f>
        <v>View Full Record in Web of Science</v>
      </c>
    </row>
    <row r="54" spans="1:72" x14ac:dyDescent="0.15">
      <c r="A54" t="s">
        <v>72</v>
      </c>
      <c r="B54" t="s">
        <v>1327</v>
      </c>
      <c r="C54" t="s">
        <v>74</v>
      </c>
      <c r="D54" t="s">
        <v>74</v>
      </c>
      <c r="E54" t="s">
        <v>74</v>
      </c>
      <c r="F54" t="s">
        <v>1328</v>
      </c>
      <c r="G54" t="s">
        <v>74</v>
      </c>
      <c r="H54" t="s">
        <v>74</v>
      </c>
      <c r="I54" t="s">
        <v>1329</v>
      </c>
      <c r="J54" t="s">
        <v>1307</v>
      </c>
      <c r="K54" t="s">
        <v>74</v>
      </c>
      <c r="L54" t="s">
        <v>74</v>
      </c>
      <c r="M54" t="s">
        <v>78</v>
      </c>
      <c r="N54" t="s">
        <v>79</v>
      </c>
      <c r="O54" t="s">
        <v>74</v>
      </c>
      <c r="P54" t="s">
        <v>74</v>
      </c>
      <c r="Q54" t="s">
        <v>74</v>
      </c>
      <c r="R54" t="s">
        <v>74</v>
      </c>
      <c r="S54" t="s">
        <v>74</v>
      </c>
      <c r="T54" t="s">
        <v>1330</v>
      </c>
      <c r="U54" t="s">
        <v>1331</v>
      </c>
      <c r="V54" t="s">
        <v>1332</v>
      </c>
      <c r="W54" t="s">
        <v>1333</v>
      </c>
      <c r="X54" t="s">
        <v>1334</v>
      </c>
      <c r="Y54" t="s">
        <v>1335</v>
      </c>
      <c r="Z54" t="s">
        <v>1336</v>
      </c>
      <c r="AA54" t="s">
        <v>1337</v>
      </c>
      <c r="AB54" t="s">
        <v>1338</v>
      </c>
      <c r="AC54" t="s">
        <v>1339</v>
      </c>
      <c r="AD54" t="s">
        <v>1340</v>
      </c>
      <c r="AE54" t="s">
        <v>1341</v>
      </c>
      <c r="AF54" t="s">
        <v>74</v>
      </c>
      <c r="AG54">
        <v>40</v>
      </c>
      <c r="AH54">
        <v>10</v>
      </c>
      <c r="AI54">
        <v>11</v>
      </c>
      <c r="AJ54">
        <v>0</v>
      </c>
      <c r="AK54">
        <v>3</v>
      </c>
      <c r="AL54" t="s">
        <v>1319</v>
      </c>
      <c r="AM54" t="s">
        <v>704</v>
      </c>
      <c r="AN54" t="s">
        <v>1320</v>
      </c>
      <c r="AO54" t="s">
        <v>1321</v>
      </c>
      <c r="AP54" t="s">
        <v>74</v>
      </c>
      <c r="AQ54" t="s">
        <v>74</v>
      </c>
      <c r="AR54" t="s">
        <v>1322</v>
      </c>
      <c r="AS54" t="s">
        <v>1323</v>
      </c>
      <c r="AT54" t="s">
        <v>98</v>
      </c>
      <c r="AU54">
        <v>2018</v>
      </c>
      <c r="AV54">
        <v>5</v>
      </c>
      <c r="AW54">
        <v>10</v>
      </c>
      <c r="AX54" t="s">
        <v>74</v>
      </c>
      <c r="AY54" t="s">
        <v>74</v>
      </c>
      <c r="AZ54" t="s">
        <v>74</v>
      </c>
      <c r="BA54" t="s">
        <v>74</v>
      </c>
      <c r="BB54" t="s">
        <v>74</v>
      </c>
      <c r="BC54" t="s">
        <v>74</v>
      </c>
      <c r="BD54">
        <v>181227</v>
      </c>
      <c r="BE54" t="s">
        <v>1342</v>
      </c>
      <c r="BF54" t="str">
        <f>HYPERLINK("http://dx.doi.org/10.1098/rsos.181227","http://dx.doi.org/10.1098/rsos.181227")</f>
        <v>http://dx.doi.org/10.1098/rsos.181227</v>
      </c>
      <c r="BG54" t="s">
        <v>74</v>
      </c>
      <c r="BH54" t="s">
        <v>74</v>
      </c>
      <c r="BI54">
        <v>9</v>
      </c>
      <c r="BJ54" t="s">
        <v>436</v>
      </c>
      <c r="BK54" t="s">
        <v>101</v>
      </c>
      <c r="BL54" t="s">
        <v>437</v>
      </c>
      <c r="BM54" t="s">
        <v>1325</v>
      </c>
      <c r="BN54">
        <v>30473858</v>
      </c>
      <c r="BO54" t="s">
        <v>1343</v>
      </c>
      <c r="BP54" t="s">
        <v>74</v>
      </c>
      <c r="BQ54" t="s">
        <v>74</v>
      </c>
      <c r="BR54" t="s">
        <v>104</v>
      </c>
      <c r="BS54" t="s">
        <v>1344</v>
      </c>
      <c r="BT54" t="str">
        <f>HYPERLINK("https%3A%2F%2Fwww.webofscience.com%2Fwos%2Fwoscc%2Ffull-record%2FWOS:000451073300064","View Full Record in Web of Science")</f>
        <v>View Full Record in Web of Science</v>
      </c>
    </row>
    <row r="55" spans="1:72" x14ac:dyDescent="0.15">
      <c r="A55" t="s">
        <v>72</v>
      </c>
      <c r="B55" t="s">
        <v>1345</v>
      </c>
      <c r="C55" t="s">
        <v>74</v>
      </c>
      <c r="D55" t="s">
        <v>74</v>
      </c>
      <c r="E55" t="s">
        <v>74</v>
      </c>
      <c r="F55" t="s">
        <v>1346</v>
      </c>
      <c r="G55" t="s">
        <v>74</v>
      </c>
      <c r="H55" t="s">
        <v>74</v>
      </c>
      <c r="I55" t="s">
        <v>1347</v>
      </c>
      <c r="J55" t="s">
        <v>1348</v>
      </c>
      <c r="K55" t="s">
        <v>74</v>
      </c>
      <c r="L55" t="s">
        <v>74</v>
      </c>
      <c r="M55" t="s">
        <v>78</v>
      </c>
      <c r="N55" t="s">
        <v>79</v>
      </c>
      <c r="O55" t="s">
        <v>74</v>
      </c>
      <c r="P55" t="s">
        <v>74</v>
      </c>
      <c r="Q55" t="s">
        <v>74</v>
      </c>
      <c r="R55" t="s">
        <v>74</v>
      </c>
      <c r="S55" t="s">
        <v>74</v>
      </c>
      <c r="T55" t="s">
        <v>1349</v>
      </c>
      <c r="U55" t="s">
        <v>1350</v>
      </c>
      <c r="V55" t="s">
        <v>1351</v>
      </c>
      <c r="W55" t="s">
        <v>1352</v>
      </c>
      <c r="X55" t="s">
        <v>1353</v>
      </c>
      <c r="Y55" t="s">
        <v>1354</v>
      </c>
      <c r="Z55" t="s">
        <v>1355</v>
      </c>
      <c r="AA55" t="s">
        <v>1356</v>
      </c>
      <c r="AB55" t="s">
        <v>1357</v>
      </c>
      <c r="AC55" t="s">
        <v>1358</v>
      </c>
      <c r="AD55" t="s">
        <v>1359</v>
      </c>
      <c r="AE55" t="s">
        <v>1360</v>
      </c>
      <c r="AF55" t="s">
        <v>74</v>
      </c>
      <c r="AG55">
        <v>35</v>
      </c>
      <c r="AH55">
        <v>10</v>
      </c>
      <c r="AI55">
        <v>11</v>
      </c>
      <c r="AJ55">
        <v>0</v>
      </c>
      <c r="AK55">
        <v>7</v>
      </c>
      <c r="AL55" t="s">
        <v>503</v>
      </c>
      <c r="AM55" t="s">
        <v>504</v>
      </c>
      <c r="AN55" t="s">
        <v>505</v>
      </c>
      <c r="AO55" t="s">
        <v>1361</v>
      </c>
      <c r="AP55" t="s">
        <v>1362</v>
      </c>
      <c r="AQ55" t="s">
        <v>74</v>
      </c>
      <c r="AR55" t="s">
        <v>1363</v>
      </c>
      <c r="AS55" t="s">
        <v>1364</v>
      </c>
      <c r="AT55" t="s">
        <v>98</v>
      </c>
      <c r="AU55">
        <v>2018</v>
      </c>
      <c r="AV55">
        <v>123</v>
      </c>
      <c r="AW55">
        <v>10</v>
      </c>
      <c r="AX55" t="s">
        <v>74</v>
      </c>
      <c r="AY55" t="s">
        <v>74</v>
      </c>
      <c r="AZ55" t="s">
        <v>74</v>
      </c>
      <c r="BA55" t="s">
        <v>74</v>
      </c>
      <c r="BB55">
        <v>2377</v>
      </c>
      <c r="BC55">
        <v>2391</v>
      </c>
      <c r="BD55" t="s">
        <v>74</v>
      </c>
      <c r="BE55" t="s">
        <v>1365</v>
      </c>
      <c r="BF55" t="str">
        <f>HYPERLINK("http://dx.doi.org/10.1029/2018JF004764","http://dx.doi.org/10.1029/2018JF004764")</f>
        <v>http://dx.doi.org/10.1029/2018JF004764</v>
      </c>
      <c r="BG55" t="s">
        <v>74</v>
      </c>
      <c r="BH55" t="s">
        <v>74</v>
      </c>
      <c r="BI55">
        <v>15</v>
      </c>
      <c r="BJ55" t="s">
        <v>182</v>
      </c>
      <c r="BK55" t="s">
        <v>101</v>
      </c>
      <c r="BL55" t="s">
        <v>183</v>
      </c>
      <c r="BM55" t="s">
        <v>1366</v>
      </c>
      <c r="BN55" t="s">
        <v>74</v>
      </c>
      <c r="BO55" t="s">
        <v>712</v>
      </c>
      <c r="BP55" t="s">
        <v>74</v>
      </c>
      <c r="BQ55" t="s">
        <v>74</v>
      </c>
      <c r="BR55" t="s">
        <v>104</v>
      </c>
      <c r="BS55" t="s">
        <v>1367</v>
      </c>
      <c r="BT55" t="str">
        <f>HYPERLINK("https%3A%2F%2Fwww.webofscience.com%2Fwos%2Fwoscc%2Ffull-record%2FWOS:000450722200003","View Full Record in Web of Science")</f>
        <v>View Full Record in Web of Science</v>
      </c>
    </row>
    <row r="56" spans="1:72" x14ac:dyDescent="0.15">
      <c r="A56" t="s">
        <v>72</v>
      </c>
      <c r="B56" t="s">
        <v>1368</v>
      </c>
      <c r="C56" t="s">
        <v>74</v>
      </c>
      <c r="D56" t="s">
        <v>74</v>
      </c>
      <c r="E56" t="s">
        <v>74</v>
      </c>
      <c r="F56" t="s">
        <v>1369</v>
      </c>
      <c r="G56" t="s">
        <v>74</v>
      </c>
      <c r="H56" t="s">
        <v>74</v>
      </c>
      <c r="I56" t="s">
        <v>1370</v>
      </c>
      <c r="J56" t="s">
        <v>1371</v>
      </c>
      <c r="K56" t="s">
        <v>74</v>
      </c>
      <c r="L56" t="s">
        <v>74</v>
      </c>
      <c r="M56" t="s">
        <v>78</v>
      </c>
      <c r="N56" t="s">
        <v>79</v>
      </c>
      <c r="O56" t="s">
        <v>74</v>
      </c>
      <c r="P56" t="s">
        <v>74</v>
      </c>
      <c r="Q56" t="s">
        <v>74</v>
      </c>
      <c r="R56" t="s">
        <v>74</v>
      </c>
      <c r="S56" t="s">
        <v>74</v>
      </c>
      <c r="T56" t="s">
        <v>74</v>
      </c>
      <c r="U56" t="s">
        <v>1372</v>
      </c>
      <c r="V56" t="s">
        <v>1373</v>
      </c>
      <c r="W56" t="s">
        <v>1374</v>
      </c>
      <c r="X56" t="s">
        <v>1375</v>
      </c>
      <c r="Y56" t="s">
        <v>1376</v>
      </c>
      <c r="Z56" t="s">
        <v>1377</v>
      </c>
      <c r="AA56" t="s">
        <v>1378</v>
      </c>
      <c r="AB56" t="s">
        <v>1379</v>
      </c>
      <c r="AC56" t="s">
        <v>1380</v>
      </c>
      <c r="AD56" t="s">
        <v>1381</v>
      </c>
      <c r="AE56" t="s">
        <v>1382</v>
      </c>
      <c r="AF56" t="s">
        <v>74</v>
      </c>
      <c r="AG56">
        <v>136</v>
      </c>
      <c r="AH56">
        <v>22</v>
      </c>
      <c r="AI56">
        <v>22</v>
      </c>
      <c r="AJ56">
        <v>0</v>
      </c>
      <c r="AK56">
        <v>8</v>
      </c>
      <c r="AL56" t="s">
        <v>503</v>
      </c>
      <c r="AM56" t="s">
        <v>504</v>
      </c>
      <c r="AN56" t="s">
        <v>505</v>
      </c>
      <c r="AO56" t="s">
        <v>1383</v>
      </c>
      <c r="AP56" t="s">
        <v>1384</v>
      </c>
      <c r="AQ56" t="s">
        <v>74</v>
      </c>
      <c r="AR56" t="s">
        <v>1385</v>
      </c>
      <c r="AS56" t="s">
        <v>1386</v>
      </c>
      <c r="AT56" t="s">
        <v>98</v>
      </c>
      <c r="AU56">
        <v>2018</v>
      </c>
      <c r="AV56">
        <v>123</v>
      </c>
      <c r="AW56">
        <v>10</v>
      </c>
      <c r="AX56" t="s">
        <v>74</v>
      </c>
      <c r="AY56" t="s">
        <v>74</v>
      </c>
      <c r="AZ56" t="s">
        <v>74</v>
      </c>
      <c r="BA56" t="s">
        <v>74</v>
      </c>
      <c r="BB56">
        <v>8131</v>
      </c>
      <c r="BC56">
        <v>8148</v>
      </c>
      <c r="BD56" t="s">
        <v>74</v>
      </c>
      <c r="BE56" t="s">
        <v>1387</v>
      </c>
      <c r="BF56" t="str">
        <f>HYPERLINK("http://dx.doi.org/10.1029/2018JA025766","http://dx.doi.org/10.1029/2018JA025766")</f>
        <v>http://dx.doi.org/10.1029/2018JA025766</v>
      </c>
      <c r="BG56" t="s">
        <v>74</v>
      </c>
      <c r="BH56" t="s">
        <v>74</v>
      </c>
      <c r="BI56">
        <v>18</v>
      </c>
      <c r="BJ56" t="s">
        <v>1301</v>
      </c>
      <c r="BK56" t="s">
        <v>101</v>
      </c>
      <c r="BL56" t="s">
        <v>1301</v>
      </c>
      <c r="BM56" t="s">
        <v>1388</v>
      </c>
      <c r="BN56">
        <v>30775195</v>
      </c>
      <c r="BO56" t="s">
        <v>1389</v>
      </c>
      <c r="BP56" t="s">
        <v>74</v>
      </c>
      <c r="BQ56" t="s">
        <v>74</v>
      </c>
      <c r="BR56" t="s">
        <v>104</v>
      </c>
      <c r="BS56" t="s">
        <v>1390</v>
      </c>
      <c r="BT56" t="str">
        <f>HYPERLINK("https%3A%2F%2Fwww.webofscience.com%2Fwos%2Fwoscc%2Ffull-record%2FWOS:000451038700005","View Full Record in Web of Science")</f>
        <v>View Full Record in Web of Science</v>
      </c>
    </row>
    <row r="57" spans="1:72" x14ac:dyDescent="0.15">
      <c r="A57" t="s">
        <v>72</v>
      </c>
      <c r="B57" t="s">
        <v>1391</v>
      </c>
      <c r="C57" t="s">
        <v>74</v>
      </c>
      <c r="D57" t="s">
        <v>74</v>
      </c>
      <c r="E57" t="s">
        <v>74</v>
      </c>
      <c r="F57" t="s">
        <v>1392</v>
      </c>
      <c r="G57" t="s">
        <v>74</v>
      </c>
      <c r="H57" t="s">
        <v>74</v>
      </c>
      <c r="I57" t="s">
        <v>1393</v>
      </c>
      <c r="J57" t="s">
        <v>1371</v>
      </c>
      <c r="K57" t="s">
        <v>74</v>
      </c>
      <c r="L57" t="s">
        <v>74</v>
      </c>
      <c r="M57" t="s">
        <v>78</v>
      </c>
      <c r="N57" t="s">
        <v>79</v>
      </c>
      <c r="O57" t="s">
        <v>74</v>
      </c>
      <c r="P57" t="s">
        <v>74</v>
      </c>
      <c r="Q57" t="s">
        <v>74</v>
      </c>
      <c r="R57" t="s">
        <v>74</v>
      </c>
      <c r="S57" t="s">
        <v>74</v>
      </c>
      <c r="T57" t="s">
        <v>74</v>
      </c>
      <c r="U57" t="s">
        <v>1394</v>
      </c>
      <c r="V57" t="s">
        <v>1395</v>
      </c>
      <c r="W57" t="s">
        <v>1396</v>
      </c>
      <c r="X57" t="s">
        <v>1397</v>
      </c>
      <c r="Y57" t="s">
        <v>1398</v>
      </c>
      <c r="Z57" t="s">
        <v>1399</v>
      </c>
      <c r="AA57" t="s">
        <v>74</v>
      </c>
      <c r="AB57" t="s">
        <v>1400</v>
      </c>
      <c r="AC57" t="s">
        <v>1401</v>
      </c>
      <c r="AD57" t="s">
        <v>1402</v>
      </c>
      <c r="AE57" t="s">
        <v>1403</v>
      </c>
      <c r="AF57" t="s">
        <v>74</v>
      </c>
      <c r="AG57">
        <v>64</v>
      </c>
      <c r="AH57">
        <v>21</v>
      </c>
      <c r="AI57">
        <v>23</v>
      </c>
      <c r="AJ57">
        <v>0</v>
      </c>
      <c r="AK57">
        <v>6</v>
      </c>
      <c r="AL57" t="s">
        <v>503</v>
      </c>
      <c r="AM57" t="s">
        <v>504</v>
      </c>
      <c r="AN57" t="s">
        <v>505</v>
      </c>
      <c r="AO57" t="s">
        <v>1383</v>
      </c>
      <c r="AP57" t="s">
        <v>1384</v>
      </c>
      <c r="AQ57" t="s">
        <v>74</v>
      </c>
      <c r="AR57" t="s">
        <v>1385</v>
      </c>
      <c r="AS57" t="s">
        <v>1386</v>
      </c>
      <c r="AT57" t="s">
        <v>98</v>
      </c>
      <c r="AU57">
        <v>2018</v>
      </c>
      <c r="AV57">
        <v>123</v>
      </c>
      <c r="AW57">
        <v>10</v>
      </c>
      <c r="AX57" t="s">
        <v>74</v>
      </c>
      <c r="AY57" t="s">
        <v>74</v>
      </c>
      <c r="AZ57" t="s">
        <v>74</v>
      </c>
      <c r="BA57" t="s">
        <v>74</v>
      </c>
      <c r="BB57">
        <v>8518</v>
      </c>
      <c r="BC57">
        <v>8532</v>
      </c>
      <c r="BD57" t="s">
        <v>74</v>
      </c>
      <c r="BE57" t="s">
        <v>1404</v>
      </c>
      <c r="BF57" t="str">
        <f>HYPERLINK("http://dx.doi.org/10.1029/2018JA025315","http://dx.doi.org/10.1029/2018JA025315")</f>
        <v>http://dx.doi.org/10.1029/2018JA025315</v>
      </c>
      <c r="BG57" t="s">
        <v>74</v>
      </c>
      <c r="BH57" t="s">
        <v>74</v>
      </c>
      <c r="BI57">
        <v>15</v>
      </c>
      <c r="BJ57" t="s">
        <v>1301</v>
      </c>
      <c r="BK57" t="s">
        <v>101</v>
      </c>
      <c r="BL57" t="s">
        <v>1301</v>
      </c>
      <c r="BM57" t="s">
        <v>1388</v>
      </c>
      <c r="BN57" t="s">
        <v>74</v>
      </c>
      <c r="BO57" t="s">
        <v>712</v>
      </c>
      <c r="BP57" t="s">
        <v>74</v>
      </c>
      <c r="BQ57" t="s">
        <v>74</v>
      </c>
      <c r="BR57" t="s">
        <v>104</v>
      </c>
      <c r="BS57" t="s">
        <v>1405</v>
      </c>
      <c r="BT57" t="str">
        <f>HYPERLINK("https%3A%2F%2Fwww.webofscience.com%2Fwos%2Fwoscc%2Ffull-record%2FWOS:000451038700028","View Full Record in Web of Science")</f>
        <v>View Full Record in Web of Science</v>
      </c>
    </row>
    <row r="58" spans="1:72" x14ac:dyDescent="0.15">
      <c r="A58" t="s">
        <v>72</v>
      </c>
      <c r="B58" t="s">
        <v>1406</v>
      </c>
      <c r="C58" t="s">
        <v>74</v>
      </c>
      <c r="D58" t="s">
        <v>74</v>
      </c>
      <c r="E58" t="s">
        <v>74</v>
      </c>
      <c r="F58" t="s">
        <v>1407</v>
      </c>
      <c r="G58" t="s">
        <v>74</v>
      </c>
      <c r="H58" t="s">
        <v>74</v>
      </c>
      <c r="I58" t="s">
        <v>1408</v>
      </c>
      <c r="J58" t="s">
        <v>1409</v>
      </c>
      <c r="K58" t="s">
        <v>74</v>
      </c>
      <c r="L58" t="s">
        <v>74</v>
      </c>
      <c r="M58" t="s">
        <v>78</v>
      </c>
      <c r="N58" t="s">
        <v>79</v>
      </c>
      <c r="O58" t="s">
        <v>74</v>
      </c>
      <c r="P58" t="s">
        <v>74</v>
      </c>
      <c r="Q58" t="s">
        <v>74</v>
      </c>
      <c r="R58" t="s">
        <v>74</v>
      </c>
      <c r="S58" t="s">
        <v>74</v>
      </c>
      <c r="T58" t="s">
        <v>74</v>
      </c>
      <c r="U58" t="s">
        <v>74</v>
      </c>
      <c r="V58" t="s">
        <v>1410</v>
      </c>
      <c r="W58" t="s">
        <v>1411</v>
      </c>
      <c r="X58" t="s">
        <v>1412</v>
      </c>
      <c r="Y58" t="s">
        <v>1413</v>
      </c>
      <c r="Z58" t="s">
        <v>1414</v>
      </c>
      <c r="AA58" t="s">
        <v>74</v>
      </c>
      <c r="AB58" t="s">
        <v>74</v>
      </c>
      <c r="AC58" t="s">
        <v>1415</v>
      </c>
      <c r="AD58" t="s">
        <v>1412</v>
      </c>
      <c r="AE58" t="s">
        <v>1416</v>
      </c>
      <c r="AF58" t="s">
        <v>74</v>
      </c>
      <c r="AG58">
        <v>45</v>
      </c>
      <c r="AH58">
        <v>3</v>
      </c>
      <c r="AI58">
        <v>3</v>
      </c>
      <c r="AJ58">
        <v>0</v>
      </c>
      <c r="AK58">
        <v>2</v>
      </c>
      <c r="AL58" t="s">
        <v>1417</v>
      </c>
      <c r="AM58" t="s">
        <v>1418</v>
      </c>
      <c r="AN58" t="s">
        <v>1419</v>
      </c>
      <c r="AO58" t="s">
        <v>1420</v>
      </c>
      <c r="AP58" t="s">
        <v>1421</v>
      </c>
      <c r="AQ58" t="s">
        <v>74</v>
      </c>
      <c r="AR58" t="s">
        <v>1422</v>
      </c>
      <c r="AS58" t="s">
        <v>1423</v>
      </c>
      <c r="AT58" t="s">
        <v>98</v>
      </c>
      <c r="AU58">
        <v>2018</v>
      </c>
      <c r="AV58">
        <v>46</v>
      </c>
      <c r="AW58">
        <v>2</v>
      </c>
      <c r="AX58" t="s">
        <v>74</v>
      </c>
      <c r="AY58" t="s">
        <v>74</v>
      </c>
      <c r="AZ58" t="s">
        <v>74</v>
      </c>
      <c r="BA58" t="s">
        <v>74</v>
      </c>
      <c r="BB58">
        <v>129</v>
      </c>
      <c r="BC58">
        <v>138</v>
      </c>
      <c r="BD58" t="s">
        <v>74</v>
      </c>
      <c r="BE58" t="s">
        <v>74</v>
      </c>
      <c r="BF58" t="s">
        <v>74</v>
      </c>
      <c r="BG58" t="s">
        <v>74</v>
      </c>
      <c r="BH58" t="s">
        <v>74</v>
      </c>
      <c r="BI58">
        <v>10</v>
      </c>
      <c r="BJ58" t="s">
        <v>1424</v>
      </c>
      <c r="BK58" t="s">
        <v>101</v>
      </c>
      <c r="BL58" t="s">
        <v>1425</v>
      </c>
      <c r="BM58" t="s">
        <v>1426</v>
      </c>
      <c r="BN58" t="s">
        <v>74</v>
      </c>
      <c r="BO58" t="s">
        <v>74</v>
      </c>
      <c r="BP58" t="s">
        <v>74</v>
      </c>
      <c r="BQ58" t="s">
        <v>74</v>
      </c>
      <c r="BR58" t="s">
        <v>104</v>
      </c>
      <c r="BS58" t="s">
        <v>1427</v>
      </c>
      <c r="BT58" t="str">
        <f>HYPERLINK("https%3A%2F%2Fwww.webofscience.com%2Fwos%2Fwoscc%2Ffull-record%2FWOS:000446847400006","View Full Record in Web of Science")</f>
        <v>View Full Record in Web of Science</v>
      </c>
    </row>
    <row r="59" spans="1:72" x14ac:dyDescent="0.15">
      <c r="A59" t="s">
        <v>72</v>
      </c>
      <c r="B59" t="s">
        <v>1428</v>
      </c>
      <c r="C59" t="s">
        <v>74</v>
      </c>
      <c r="D59" t="s">
        <v>74</v>
      </c>
      <c r="E59" t="s">
        <v>74</v>
      </c>
      <c r="F59" t="s">
        <v>1429</v>
      </c>
      <c r="G59" t="s">
        <v>74</v>
      </c>
      <c r="H59" t="s">
        <v>74</v>
      </c>
      <c r="I59" t="s">
        <v>1430</v>
      </c>
      <c r="J59" t="s">
        <v>1409</v>
      </c>
      <c r="K59" t="s">
        <v>74</v>
      </c>
      <c r="L59" t="s">
        <v>74</v>
      </c>
      <c r="M59" t="s">
        <v>78</v>
      </c>
      <c r="N59" t="s">
        <v>79</v>
      </c>
      <c r="O59" t="s">
        <v>74</v>
      </c>
      <c r="P59" t="s">
        <v>74</v>
      </c>
      <c r="Q59" t="s">
        <v>74</v>
      </c>
      <c r="R59" t="s">
        <v>74</v>
      </c>
      <c r="S59" t="s">
        <v>74</v>
      </c>
      <c r="T59" t="s">
        <v>74</v>
      </c>
      <c r="U59" t="s">
        <v>74</v>
      </c>
      <c r="V59" t="s">
        <v>1431</v>
      </c>
      <c r="W59" t="s">
        <v>1432</v>
      </c>
      <c r="X59" t="s">
        <v>1433</v>
      </c>
      <c r="Y59" t="s">
        <v>1434</v>
      </c>
      <c r="Z59" t="s">
        <v>1435</v>
      </c>
      <c r="AA59" t="s">
        <v>74</v>
      </c>
      <c r="AB59" t="s">
        <v>74</v>
      </c>
      <c r="AC59" t="s">
        <v>1436</v>
      </c>
      <c r="AD59" t="s">
        <v>1437</v>
      </c>
      <c r="AE59" t="s">
        <v>1438</v>
      </c>
      <c r="AF59" t="s">
        <v>74</v>
      </c>
      <c r="AG59">
        <v>32</v>
      </c>
      <c r="AH59">
        <v>1</v>
      </c>
      <c r="AI59">
        <v>1</v>
      </c>
      <c r="AJ59">
        <v>0</v>
      </c>
      <c r="AK59">
        <v>3</v>
      </c>
      <c r="AL59" t="s">
        <v>1417</v>
      </c>
      <c r="AM59" t="s">
        <v>1418</v>
      </c>
      <c r="AN59" t="s">
        <v>1419</v>
      </c>
      <c r="AO59" t="s">
        <v>1420</v>
      </c>
      <c r="AP59" t="s">
        <v>1421</v>
      </c>
      <c r="AQ59" t="s">
        <v>74</v>
      </c>
      <c r="AR59" t="s">
        <v>1422</v>
      </c>
      <c r="AS59" t="s">
        <v>1423</v>
      </c>
      <c r="AT59" t="s">
        <v>98</v>
      </c>
      <c r="AU59">
        <v>2018</v>
      </c>
      <c r="AV59">
        <v>46</v>
      </c>
      <c r="AW59">
        <v>2</v>
      </c>
      <c r="AX59" t="s">
        <v>74</v>
      </c>
      <c r="AY59" t="s">
        <v>74</v>
      </c>
      <c r="AZ59" t="s">
        <v>74</v>
      </c>
      <c r="BA59" t="s">
        <v>74</v>
      </c>
      <c r="BB59">
        <v>169</v>
      </c>
      <c r="BC59">
        <v>175</v>
      </c>
      <c r="BD59" t="s">
        <v>74</v>
      </c>
      <c r="BE59" t="s">
        <v>74</v>
      </c>
      <c r="BF59" t="s">
        <v>74</v>
      </c>
      <c r="BG59" t="s">
        <v>74</v>
      </c>
      <c r="BH59" t="s">
        <v>74</v>
      </c>
      <c r="BI59">
        <v>7</v>
      </c>
      <c r="BJ59" t="s">
        <v>1424</v>
      </c>
      <c r="BK59" t="s">
        <v>101</v>
      </c>
      <c r="BL59" t="s">
        <v>1425</v>
      </c>
      <c r="BM59" t="s">
        <v>1426</v>
      </c>
      <c r="BN59" t="s">
        <v>74</v>
      </c>
      <c r="BO59" t="s">
        <v>74</v>
      </c>
      <c r="BP59" t="s">
        <v>74</v>
      </c>
      <c r="BQ59" t="s">
        <v>74</v>
      </c>
      <c r="BR59" t="s">
        <v>104</v>
      </c>
      <c r="BS59" t="s">
        <v>1439</v>
      </c>
      <c r="BT59" t="str">
        <f>HYPERLINK("https%3A%2F%2Fwww.webofscience.com%2Fwos%2Fwoscc%2Ffull-record%2FWOS:000446847400011","View Full Record in Web of Science")</f>
        <v>View Full Record in Web of Science</v>
      </c>
    </row>
    <row r="60" spans="1:72" x14ac:dyDescent="0.15">
      <c r="A60" t="s">
        <v>72</v>
      </c>
      <c r="B60" t="s">
        <v>1440</v>
      </c>
      <c r="C60" t="s">
        <v>74</v>
      </c>
      <c r="D60" t="s">
        <v>74</v>
      </c>
      <c r="E60" t="s">
        <v>74</v>
      </c>
      <c r="F60" t="s">
        <v>1441</v>
      </c>
      <c r="G60" t="s">
        <v>74</v>
      </c>
      <c r="H60" t="s">
        <v>74</v>
      </c>
      <c r="I60" t="s">
        <v>1442</v>
      </c>
      <c r="J60" t="s">
        <v>1443</v>
      </c>
      <c r="K60" t="s">
        <v>74</v>
      </c>
      <c r="L60" t="s">
        <v>74</v>
      </c>
      <c r="M60" t="s">
        <v>78</v>
      </c>
      <c r="N60" t="s">
        <v>79</v>
      </c>
      <c r="O60" t="s">
        <v>74</v>
      </c>
      <c r="P60" t="s">
        <v>74</v>
      </c>
      <c r="Q60" t="s">
        <v>74</v>
      </c>
      <c r="R60" t="s">
        <v>74</v>
      </c>
      <c r="S60" t="s">
        <v>74</v>
      </c>
      <c r="T60" t="s">
        <v>74</v>
      </c>
      <c r="U60" t="s">
        <v>1444</v>
      </c>
      <c r="V60" t="s">
        <v>1445</v>
      </c>
      <c r="W60" t="s">
        <v>1446</v>
      </c>
      <c r="X60" t="s">
        <v>1447</v>
      </c>
      <c r="Y60" t="s">
        <v>1448</v>
      </c>
      <c r="Z60" t="s">
        <v>1449</v>
      </c>
      <c r="AA60" t="s">
        <v>1450</v>
      </c>
      <c r="AB60" t="s">
        <v>1451</v>
      </c>
      <c r="AC60" t="s">
        <v>1452</v>
      </c>
      <c r="AD60" t="s">
        <v>1453</v>
      </c>
      <c r="AE60" t="s">
        <v>1454</v>
      </c>
      <c r="AF60" t="s">
        <v>74</v>
      </c>
      <c r="AG60">
        <v>58</v>
      </c>
      <c r="AH60">
        <v>18</v>
      </c>
      <c r="AI60">
        <v>19</v>
      </c>
      <c r="AJ60">
        <v>1</v>
      </c>
      <c r="AK60">
        <v>15</v>
      </c>
      <c r="AL60" t="s">
        <v>503</v>
      </c>
      <c r="AM60" t="s">
        <v>504</v>
      </c>
      <c r="AN60" t="s">
        <v>505</v>
      </c>
      <c r="AO60" t="s">
        <v>1455</v>
      </c>
      <c r="AP60" t="s">
        <v>74</v>
      </c>
      <c r="AQ60" t="s">
        <v>74</v>
      </c>
      <c r="AR60" t="s">
        <v>1456</v>
      </c>
      <c r="AS60" t="s">
        <v>1457</v>
      </c>
      <c r="AT60" t="s">
        <v>98</v>
      </c>
      <c r="AU60">
        <v>2018</v>
      </c>
      <c r="AV60">
        <v>16</v>
      </c>
      <c r="AW60">
        <v>10</v>
      </c>
      <c r="AX60" t="s">
        <v>74</v>
      </c>
      <c r="AY60" t="s">
        <v>74</v>
      </c>
      <c r="AZ60" t="s">
        <v>74</v>
      </c>
      <c r="BA60" t="s">
        <v>74</v>
      </c>
      <c r="BB60">
        <v>1455</v>
      </c>
      <c r="BC60">
        <v>1469</v>
      </c>
      <c r="BD60" t="s">
        <v>74</v>
      </c>
      <c r="BE60" t="s">
        <v>1458</v>
      </c>
      <c r="BF60" t="str">
        <f>HYPERLINK("http://dx.doi.org/10.1029/2018SW001916","http://dx.doi.org/10.1029/2018SW001916")</f>
        <v>http://dx.doi.org/10.1029/2018SW001916</v>
      </c>
      <c r="BG60" t="s">
        <v>74</v>
      </c>
      <c r="BH60" t="s">
        <v>74</v>
      </c>
      <c r="BI60">
        <v>15</v>
      </c>
      <c r="BJ60" t="s">
        <v>1459</v>
      </c>
      <c r="BK60" t="s">
        <v>101</v>
      </c>
      <c r="BL60" t="s">
        <v>1459</v>
      </c>
      <c r="BM60" t="s">
        <v>1460</v>
      </c>
      <c r="BN60" t="s">
        <v>74</v>
      </c>
      <c r="BO60" t="s">
        <v>346</v>
      </c>
      <c r="BP60" t="s">
        <v>74</v>
      </c>
      <c r="BQ60" t="s">
        <v>74</v>
      </c>
      <c r="BR60" t="s">
        <v>104</v>
      </c>
      <c r="BS60" t="s">
        <v>1461</v>
      </c>
      <c r="BT60" t="str">
        <f>HYPERLINK("https%3A%2F%2Fwww.webofscience.com%2Fwos%2Fwoscc%2Ffull-record%2FWOS:000450414100002","View Full Record in Web of Science")</f>
        <v>View Full Record in Web of Science</v>
      </c>
    </row>
    <row r="61" spans="1:72" x14ac:dyDescent="0.15">
      <c r="A61" t="s">
        <v>72</v>
      </c>
      <c r="B61" t="s">
        <v>1462</v>
      </c>
      <c r="C61" t="s">
        <v>74</v>
      </c>
      <c r="D61" t="s">
        <v>74</v>
      </c>
      <c r="E61" t="s">
        <v>74</v>
      </c>
      <c r="F61" t="s">
        <v>1463</v>
      </c>
      <c r="G61" t="s">
        <v>74</v>
      </c>
      <c r="H61" t="s">
        <v>74</v>
      </c>
      <c r="I61" t="s">
        <v>1464</v>
      </c>
      <c r="J61" t="s">
        <v>1443</v>
      </c>
      <c r="K61" t="s">
        <v>74</v>
      </c>
      <c r="L61" t="s">
        <v>74</v>
      </c>
      <c r="M61" t="s">
        <v>78</v>
      </c>
      <c r="N61" t="s">
        <v>79</v>
      </c>
      <c r="O61" t="s">
        <v>74</v>
      </c>
      <c r="P61" t="s">
        <v>74</v>
      </c>
      <c r="Q61" t="s">
        <v>74</v>
      </c>
      <c r="R61" t="s">
        <v>74</v>
      </c>
      <c r="S61" t="s">
        <v>74</v>
      </c>
      <c r="T61" t="s">
        <v>74</v>
      </c>
      <c r="U61" t="s">
        <v>1465</v>
      </c>
      <c r="V61" t="s">
        <v>1466</v>
      </c>
      <c r="W61" t="s">
        <v>1467</v>
      </c>
      <c r="X61" t="s">
        <v>1468</v>
      </c>
      <c r="Y61" t="s">
        <v>1469</v>
      </c>
      <c r="Z61" t="s">
        <v>1470</v>
      </c>
      <c r="AA61" t="s">
        <v>1471</v>
      </c>
      <c r="AB61" t="s">
        <v>1472</v>
      </c>
      <c r="AC61" t="s">
        <v>1473</v>
      </c>
      <c r="AD61" t="s">
        <v>1474</v>
      </c>
      <c r="AE61" t="s">
        <v>1475</v>
      </c>
      <c r="AF61" t="s">
        <v>74</v>
      </c>
      <c r="AG61">
        <v>130</v>
      </c>
      <c r="AH61">
        <v>46</v>
      </c>
      <c r="AI61">
        <v>46</v>
      </c>
      <c r="AJ61">
        <v>0</v>
      </c>
      <c r="AK61">
        <v>6</v>
      </c>
      <c r="AL61" t="s">
        <v>503</v>
      </c>
      <c r="AM61" t="s">
        <v>504</v>
      </c>
      <c r="AN61" t="s">
        <v>505</v>
      </c>
      <c r="AO61" t="s">
        <v>74</v>
      </c>
      <c r="AP61" t="s">
        <v>1455</v>
      </c>
      <c r="AQ61" t="s">
        <v>74</v>
      </c>
      <c r="AR61" t="s">
        <v>1456</v>
      </c>
      <c r="AS61" t="s">
        <v>1457</v>
      </c>
      <c r="AT61" t="s">
        <v>98</v>
      </c>
      <c r="AU61">
        <v>2018</v>
      </c>
      <c r="AV61">
        <v>16</v>
      </c>
      <c r="AW61">
        <v>10</v>
      </c>
      <c r="AX61" t="s">
        <v>74</v>
      </c>
      <c r="AY61" t="s">
        <v>74</v>
      </c>
      <c r="AZ61" t="s">
        <v>74</v>
      </c>
      <c r="BA61" t="s">
        <v>74</v>
      </c>
      <c r="BB61">
        <v>1498</v>
      </c>
      <c r="BC61">
        <v>1522</v>
      </c>
      <c r="BD61" t="s">
        <v>74</v>
      </c>
      <c r="BE61" t="s">
        <v>1476</v>
      </c>
      <c r="BF61" t="str">
        <f>HYPERLINK("http://dx.doi.org/10.1029/2018SW001981","http://dx.doi.org/10.1029/2018SW001981")</f>
        <v>http://dx.doi.org/10.1029/2018SW001981</v>
      </c>
      <c r="BG61" t="s">
        <v>74</v>
      </c>
      <c r="BH61" t="s">
        <v>74</v>
      </c>
      <c r="BI61">
        <v>25</v>
      </c>
      <c r="BJ61" t="s">
        <v>1459</v>
      </c>
      <c r="BK61" t="s">
        <v>101</v>
      </c>
      <c r="BL61" t="s">
        <v>1459</v>
      </c>
      <c r="BM61" t="s">
        <v>1460</v>
      </c>
      <c r="BN61" t="s">
        <v>74</v>
      </c>
      <c r="BO61" t="s">
        <v>1477</v>
      </c>
      <c r="BP61" t="s">
        <v>74</v>
      </c>
      <c r="BQ61" t="s">
        <v>74</v>
      </c>
      <c r="BR61" t="s">
        <v>104</v>
      </c>
      <c r="BS61" t="s">
        <v>1478</v>
      </c>
      <c r="BT61" t="str">
        <f>HYPERLINK("https%3A%2F%2Fwww.webofscience.com%2Fwos%2Fwoscc%2Ffull-record%2FWOS:000450414100005","View Full Record in Web of Science")</f>
        <v>View Full Record in Web of Science</v>
      </c>
    </row>
    <row r="62" spans="1:72" x14ac:dyDescent="0.15">
      <c r="A62" t="s">
        <v>72</v>
      </c>
      <c r="B62" t="s">
        <v>1479</v>
      </c>
      <c r="C62" t="s">
        <v>74</v>
      </c>
      <c r="D62" t="s">
        <v>74</v>
      </c>
      <c r="E62" t="s">
        <v>74</v>
      </c>
      <c r="F62" t="s">
        <v>1480</v>
      </c>
      <c r="G62" t="s">
        <v>74</v>
      </c>
      <c r="H62" t="s">
        <v>74</v>
      </c>
      <c r="I62" t="s">
        <v>1481</v>
      </c>
      <c r="J62" t="s">
        <v>1482</v>
      </c>
      <c r="K62" t="s">
        <v>74</v>
      </c>
      <c r="L62" t="s">
        <v>74</v>
      </c>
      <c r="M62" t="s">
        <v>78</v>
      </c>
      <c r="N62" t="s">
        <v>79</v>
      </c>
      <c r="O62" t="s">
        <v>74</v>
      </c>
      <c r="P62" t="s">
        <v>74</v>
      </c>
      <c r="Q62" t="s">
        <v>74</v>
      </c>
      <c r="R62" t="s">
        <v>74</v>
      </c>
      <c r="S62" t="s">
        <v>74</v>
      </c>
      <c r="T62" t="s">
        <v>1483</v>
      </c>
      <c r="U62" t="s">
        <v>1484</v>
      </c>
      <c r="V62" t="s">
        <v>1485</v>
      </c>
      <c r="W62" t="s">
        <v>1486</v>
      </c>
      <c r="X62" t="s">
        <v>1487</v>
      </c>
      <c r="Y62" t="s">
        <v>1488</v>
      </c>
      <c r="Z62" t="s">
        <v>1489</v>
      </c>
      <c r="AA62" t="s">
        <v>1490</v>
      </c>
      <c r="AB62" t="s">
        <v>1491</v>
      </c>
      <c r="AC62" t="s">
        <v>1492</v>
      </c>
      <c r="AD62" t="s">
        <v>1493</v>
      </c>
      <c r="AE62" t="s">
        <v>1494</v>
      </c>
      <c r="AF62" t="s">
        <v>74</v>
      </c>
      <c r="AG62">
        <v>39</v>
      </c>
      <c r="AH62">
        <v>10</v>
      </c>
      <c r="AI62">
        <v>13</v>
      </c>
      <c r="AJ62">
        <v>2</v>
      </c>
      <c r="AK62">
        <v>6</v>
      </c>
      <c r="AL62" t="s">
        <v>758</v>
      </c>
      <c r="AM62" t="s">
        <v>759</v>
      </c>
      <c r="AN62" t="s">
        <v>760</v>
      </c>
      <c r="AO62" t="s">
        <v>1495</v>
      </c>
      <c r="AP62" t="s">
        <v>74</v>
      </c>
      <c r="AQ62" t="s">
        <v>74</v>
      </c>
      <c r="AR62" t="s">
        <v>1496</v>
      </c>
      <c r="AS62" t="s">
        <v>1497</v>
      </c>
      <c r="AT62" t="s">
        <v>98</v>
      </c>
      <c r="AU62">
        <v>2018</v>
      </c>
      <c r="AV62">
        <v>8</v>
      </c>
      <c r="AW62">
        <v>19</v>
      </c>
      <c r="AX62" t="s">
        <v>74</v>
      </c>
      <c r="AY62" t="s">
        <v>74</v>
      </c>
      <c r="AZ62" t="s">
        <v>74</v>
      </c>
      <c r="BA62" t="s">
        <v>74</v>
      </c>
      <c r="BB62">
        <v>9614</v>
      </c>
      <c r="BC62">
        <v>9623</v>
      </c>
      <c r="BD62" t="s">
        <v>74</v>
      </c>
      <c r="BE62" t="s">
        <v>1498</v>
      </c>
      <c r="BF62" t="str">
        <f>HYPERLINK("http://dx.doi.org/10.1002/ece3.4297","http://dx.doi.org/10.1002/ece3.4297")</f>
        <v>http://dx.doi.org/10.1002/ece3.4297</v>
      </c>
      <c r="BG62" t="s">
        <v>74</v>
      </c>
      <c r="BH62" t="s">
        <v>74</v>
      </c>
      <c r="BI62">
        <v>10</v>
      </c>
      <c r="BJ62" t="s">
        <v>1499</v>
      </c>
      <c r="BK62" t="s">
        <v>101</v>
      </c>
      <c r="BL62" t="s">
        <v>1500</v>
      </c>
      <c r="BM62" t="s">
        <v>1501</v>
      </c>
      <c r="BN62">
        <v>30386561</v>
      </c>
      <c r="BO62" t="s">
        <v>1502</v>
      </c>
      <c r="BP62" t="s">
        <v>74</v>
      </c>
      <c r="BQ62" t="s">
        <v>74</v>
      </c>
      <c r="BR62" t="s">
        <v>104</v>
      </c>
      <c r="BS62" t="s">
        <v>1503</v>
      </c>
      <c r="BT62" t="str">
        <f>HYPERLINK("https%3A%2F%2Fwww.webofscience.com%2Fwos%2Fwoscc%2Ffull-record%2FWOS:000448803000005","View Full Record in Web of Science")</f>
        <v>View Full Record in Web of Science</v>
      </c>
    </row>
    <row r="63" spans="1:72" x14ac:dyDescent="0.15">
      <c r="A63" t="s">
        <v>72</v>
      </c>
      <c r="B63" t="s">
        <v>1504</v>
      </c>
      <c r="C63" t="s">
        <v>74</v>
      </c>
      <c r="D63" t="s">
        <v>74</v>
      </c>
      <c r="E63" t="s">
        <v>74</v>
      </c>
      <c r="F63" t="s">
        <v>1505</v>
      </c>
      <c r="G63" t="s">
        <v>74</v>
      </c>
      <c r="H63" t="s">
        <v>74</v>
      </c>
      <c r="I63" t="s">
        <v>1506</v>
      </c>
      <c r="J63" t="s">
        <v>1507</v>
      </c>
      <c r="K63" t="s">
        <v>74</v>
      </c>
      <c r="L63" t="s">
        <v>74</v>
      </c>
      <c r="M63" t="s">
        <v>78</v>
      </c>
      <c r="N63" t="s">
        <v>79</v>
      </c>
      <c r="O63" t="s">
        <v>74</v>
      </c>
      <c r="P63" t="s">
        <v>74</v>
      </c>
      <c r="Q63" t="s">
        <v>74</v>
      </c>
      <c r="R63" t="s">
        <v>74</v>
      </c>
      <c r="S63" t="s">
        <v>74</v>
      </c>
      <c r="T63" t="s">
        <v>1508</v>
      </c>
      <c r="U63" t="s">
        <v>1509</v>
      </c>
      <c r="V63" t="s">
        <v>1510</v>
      </c>
      <c r="W63" t="s">
        <v>1511</v>
      </c>
      <c r="X63" t="s">
        <v>1512</v>
      </c>
      <c r="Y63" t="s">
        <v>1513</v>
      </c>
      <c r="Z63" t="s">
        <v>1514</v>
      </c>
      <c r="AA63" t="s">
        <v>1515</v>
      </c>
      <c r="AB63" t="s">
        <v>1516</v>
      </c>
      <c r="AC63" t="s">
        <v>1517</v>
      </c>
      <c r="AD63" t="s">
        <v>1518</v>
      </c>
      <c r="AE63" t="s">
        <v>1519</v>
      </c>
      <c r="AF63" t="s">
        <v>74</v>
      </c>
      <c r="AG63">
        <v>51</v>
      </c>
      <c r="AH63">
        <v>7</v>
      </c>
      <c r="AI63">
        <v>7</v>
      </c>
      <c r="AJ63">
        <v>1</v>
      </c>
      <c r="AK63">
        <v>4</v>
      </c>
      <c r="AL63" t="s">
        <v>1053</v>
      </c>
      <c r="AM63" t="s">
        <v>1054</v>
      </c>
      <c r="AN63" t="s">
        <v>1055</v>
      </c>
      <c r="AO63" t="s">
        <v>74</v>
      </c>
      <c r="AP63" t="s">
        <v>1520</v>
      </c>
      <c r="AQ63" t="s">
        <v>74</v>
      </c>
      <c r="AR63" t="s">
        <v>1507</v>
      </c>
      <c r="AS63" t="s">
        <v>1521</v>
      </c>
      <c r="AT63" t="s">
        <v>98</v>
      </c>
      <c r="AU63">
        <v>2018</v>
      </c>
      <c r="AV63">
        <v>8</v>
      </c>
      <c r="AW63">
        <v>10</v>
      </c>
      <c r="AX63" t="s">
        <v>74</v>
      </c>
      <c r="AY63" t="s">
        <v>74</v>
      </c>
      <c r="AZ63" t="s">
        <v>74</v>
      </c>
      <c r="BA63" t="s">
        <v>74</v>
      </c>
      <c r="BB63" t="s">
        <v>74</v>
      </c>
      <c r="BC63" t="s">
        <v>74</v>
      </c>
      <c r="BD63">
        <v>375</v>
      </c>
      <c r="BE63" t="s">
        <v>1522</v>
      </c>
      <c r="BF63" t="str">
        <f>HYPERLINK("http://dx.doi.org/10.3390/geosciences8100375","http://dx.doi.org/10.3390/geosciences8100375")</f>
        <v>http://dx.doi.org/10.3390/geosciences8100375</v>
      </c>
      <c r="BG63" t="s">
        <v>74</v>
      </c>
      <c r="BH63" t="s">
        <v>74</v>
      </c>
      <c r="BI63">
        <v>14</v>
      </c>
      <c r="BJ63" t="s">
        <v>182</v>
      </c>
      <c r="BK63" t="s">
        <v>126</v>
      </c>
      <c r="BL63" t="s">
        <v>183</v>
      </c>
      <c r="BM63" t="s">
        <v>1523</v>
      </c>
      <c r="BN63" t="s">
        <v>74</v>
      </c>
      <c r="BO63" t="s">
        <v>1524</v>
      </c>
      <c r="BP63" t="s">
        <v>74</v>
      </c>
      <c r="BQ63" t="s">
        <v>74</v>
      </c>
      <c r="BR63" t="s">
        <v>104</v>
      </c>
      <c r="BS63" t="s">
        <v>1525</v>
      </c>
      <c r="BT63" t="str">
        <f>HYPERLINK("https%3A%2F%2Fwww.webofscience.com%2Fwos%2Fwoscc%2Ffull-record%2FWOS:000448548800021","View Full Record in Web of Science")</f>
        <v>View Full Record in Web of Science</v>
      </c>
    </row>
    <row r="64" spans="1:72" x14ac:dyDescent="0.15">
      <c r="A64" t="s">
        <v>72</v>
      </c>
      <c r="B64" t="s">
        <v>1526</v>
      </c>
      <c r="C64" t="s">
        <v>74</v>
      </c>
      <c r="D64" t="s">
        <v>74</v>
      </c>
      <c r="E64" t="s">
        <v>74</v>
      </c>
      <c r="F64" t="s">
        <v>1527</v>
      </c>
      <c r="G64" t="s">
        <v>74</v>
      </c>
      <c r="H64" t="s">
        <v>74</v>
      </c>
      <c r="I64" t="s">
        <v>1528</v>
      </c>
      <c r="J64" t="s">
        <v>1529</v>
      </c>
      <c r="K64" t="s">
        <v>74</v>
      </c>
      <c r="L64" t="s">
        <v>74</v>
      </c>
      <c r="M64" t="s">
        <v>78</v>
      </c>
      <c r="N64" t="s">
        <v>79</v>
      </c>
      <c r="O64" t="s">
        <v>74</v>
      </c>
      <c r="P64" t="s">
        <v>74</v>
      </c>
      <c r="Q64" t="s">
        <v>74</v>
      </c>
      <c r="R64" t="s">
        <v>74</v>
      </c>
      <c r="S64" t="s">
        <v>74</v>
      </c>
      <c r="T64" t="s">
        <v>1530</v>
      </c>
      <c r="U64" t="s">
        <v>1531</v>
      </c>
      <c r="V64" t="s">
        <v>1532</v>
      </c>
      <c r="W64" t="s">
        <v>74</v>
      </c>
      <c r="X64" t="s">
        <v>74</v>
      </c>
      <c r="Y64" t="s">
        <v>74</v>
      </c>
      <c r="Z64" t="s">
        <v>1533</v>
      </c>
      <c r="AA64" t="s">
        <v>1534</v>
      </c>
      <c r="AB64" t="s">
        <v>1535</v>
      </c>
      <c r="AC64" t="s">
        <v>74</v>
      </c>
      <c r="AD64" t="s">
        <v>74</v>
      </c>
      <c r="AE64" t="s">
        <v>74</v>
      </c>
      <c r="AF64" t="s">
        <v>74</v>
      </c>
      <c r="AG64">
        <v>49</v>
      </c>
      <c r="AH64">
        <v>8</v>
      </c>
      <c r="AI64">
        <v>8</v>
      </c>
      <c r="AJ64">
        <v>2</v>
      </c>
      <c r="AK64">
        <v>9</v>
      </c>
      <c r="AL64" t="s">
        <v>92</v>
      </c>
      <c r="AM64" t="s">
        <v>93</v>
      </c>
      <c r="AN64" t="s">
        <v>94</v>
      </c>
      <c r="AO64" t="s">
        <v>1536</v>
      </c>
      <c r="AP64" t="s">
        <v>1537</v>
      </c>
      <c r="AQ64" t="s">
        <v>74</v>
      </c>
      <c r="AR64" t="s">
        <v>1538</v>
      </c>
      <c r="AS64" t="s">
        <v>1539</v>
      </c>
      <c r="AT64" t="s">
        <v>98</v>
      </c>
      <c r="AU64">
        <v>2018</v>
      </c>
      <c r="AV64">
        <v>215</v>
      </c>
      <c r="AW64">
        <v>1</v>
      </c>
      <c r="AX64" t="s">
        <v>74</v>
      </c>
      <c r="AY64" t="s">
        <v>74</v>
      </c>
      <c r="AZ64" t="s">
        <v>74</v>
      </c>
      <c r="BA64" t="s">
        <v>74</v>
      </c>
      <c r="BB64">
        <v>155</v>
      </c>
      <c r="BC64">
        <v>164</v>
      </c>
      <c r="BD64" t="s">
        <v>74</v>
      </c>
      <c r="BE64" t="s">
        <v>1540</v>
      </c>
      <c r="BF64" t="str">
        <f>HYPERLINK("http://dx.doi.org/10.1093/gji/ggy274","http://dx.doi.org/10.1093/gji/ggy274")</f>
        <v>http://dx.doi.org/10.1093/gji/ggy274</v>
      </c>
      <c r="BG64" t="s">
        <v>74</v>
      </c>
      <c r="BH64" t="s">
        <v>74</v>
      </c>
      <c r="BI64">
        <v>10</v>
      </c>
      <c r="BJ64" t="s">
        <v>484</v>
      </c>
      <c r="BK64" t="s">
        <v>101</v>
      </c>
      <c r="BL64" t="s">
        <v>484</v>
      </c>
      <c r="BM64" t="s">
        <v>1541</v>
      </c>
      <c r="BN64" t="s">
        <v>74</v>
      </c>
      <c r="BO64" t="s">
        <v>74</v>
      </c>
      <c r="BP64" t="s">
        <v>74</v>
      </c>
      <c r="BQ64" t="s">
        <v>74</v>
      </c>
      <c r="BR64" t="s">
        <v>104</v>
      </c>
      <c r="BS64" t="s">
        <v>1542</v>
      </c>
      <c r="BT64" t="str">
        <f>HYPERLINK("https%3A%2F%2Fwww.webofscience.com%2Fwos%2Fwoscc%2Ffull-record%2FWOS:000448242600010","View Full Record in Web of Science")</f>
        <v>View Full Record in Web of Science</v>
      </c>
    </row>
    <row r="65" spans="1:72" x14ac:dyDescent="0.15">
      <c r="A65" t="s">
        <v>72</v>
      </c>
      <c r="B65" t="s">
        <v>1543</v>
      </c>
      <c r="C65" t="s">
        <v>74</v>
      </c>
      <c r="D65" t="s">
        <v>74</v>
      </c>
      <c r="E65" t="s">
        <v>74</v>
      </c>
      <c r="F65" t="s">
        <v>1544</v>
      </c>
      <c r="G65" t="s">
        <v>74</v>
      </c>
      <c r="H65" t="s">
        <v>74</v>
      </c>
      <c r="I65" t="s">
        <v>1545</v>
      </c>
      <c r="J65" t="s">
        <v>1546</v>
      </c>
      <c r="K65" t="s">
        <v>74</v>
      </c>
      <c r="L65" t="s">
        <v>74</v>
      </c>
      <c r="M65" t="s">
        <v>78</v>
      </c>
      <c r="N65" t="s">
        <v>79</v>
      </c>
      <c r="O65" t="s">
        <v>74</v>
      </c>
      <c r="P65" t="s">
        <v>74</v>
      </c>
      <c r="Q65" t="s">
        <v>74</v>
      </c>
      <c r="R65" t="s">
        <v>74</v>
      </c>
      <c r="S65" t="s">
        <v>74</v>
      </c>
      <c r="T65" t="s">
        <v>1547</v>
      </c>
      <c r="U65" t="s">
        <v>1548</v>
      </c>
      <c r="V65" t="s">
        <v>1549</v>
      </c>
      <c r="W65" t="s">
        <v>1550</v>
      </c>
      <c r="X65" t="s">
        <v>1551</v>
      </c>
      <c r="Y65" t="s">
        <v>1552</v>
      </c>
      <c r="Z65" t="s">
        <v>1553</v>
      </c>
      <c r="AA65" t="s">
        <v>1554</v>
      </c>
      <c r="AB65" t="s">
        <v>1555</v>
      </c>
      <c r="AC65" t="s">
        <v>1556</v>
      </c>
      <c r="AD65" t="s">
        <v>1557</v>
      </c>
      <c r="AE65" t="s">
        <v>1558</v>
      </c>
      <c r="AF65" t="s">
        <v>74</v>
      </c>
      <c r="AG65">
        <v>50</v>
      </c>
      <c r="AH65">
        <v>27</v>
      </c>
      <c r="AI65">
        <v>33</v>
      </c>
      <c r="AJ65">
        <v>0</v>
      </c>
      <c r="AK65">
        <v>2</v>
      </c>
      <c r="AL65" t="s">
        <v>257</v>
      </c>
      <c r="AM65" t="s">
        <v>730</v>
      </c>
      <c r="AN65" t="s">
        <v>1559</v>
      </c>
      <c r="AO65" t="s">
        <v>1560</v>
      </c>
      <c r="AP65" t="s">
        <v>1561</v>
      </c>
      <c r="AQ65" t="s">
        <v>74</v>
      </c>
      <c r="AR65" t="s">
        <v>1562</v>
      </c>
      <c r="AS65" t="s">
        <v>1563</v>
      </c>
      <c r="AT65" t="s">
        <v>98</v>
      </c>
      <c r="AU65">
        <v>2018</v>
      </c>
      <c r="AV65">
        <v>64</v>
      </c>
      <c r="AW65">
        <v>247</v>
      </c>
      <c r="AX65" t="s">
        <v>74</v>
      </c>
      <c r="AY65" t="s">
        <v>74</v>
      </c>
      <c r="AZ65" t="s">
        <v>74</v>
      </c>
      <c r="BA65" t="s">
        <v>74</v>
      </c>
      <c r="BB65">
        <v>730</v>
      </c>
      <c r="BC65">
        <v>744</v>
      </c>
      <c r="BD65" t="s">
        <v>74</v>
      </c>
      <c r="BE65" t="s">
        <v>1564</v>
      </c>
      <c r="BF65" t="str">
        <f>HYPERLINK("http://dx.doi.org/10.1017/jog.2018.66","http://dx.doi.org/10.1017/jog.2018.66")</f>
        <v>http://dx.doi.org/10.1017/jog.2018.66</v>
      </c>
      <c r="BG65" t="s">
        <v>74</v>
      </c>
      <c r="BH65" t="s">
        <v>74</v>
      </c>
      <c r="BI65">
        <v>15</v>
      </c>
      <c r="BJ65" t="s">
        <v>208</v>
      </c>
      <c r="BK65" t="s">
        <v>101</v>
      </c>
      <c r="BL65" t="s">
        <v>209</v>
      </c>
      <c r="BM65" t="s">
        <v>1565</v>
      </c>
      <c r="BN65" t="s">
        <v>74</v>
      </c>
      <c r="BO65" t="s">
        <v>1566</v>
      </c>
      <c r="BP65" t="s">
        <v>74</v>
      </c>
      <c r="BQ65" t="s">
        <v>74</v>
      </c>
      <c r="BR65" t="s">
        <v>104</v>
      </c>
      <c r="BS65" t="s">
        <v>1567</v>
      </c>
      <c r="BT65" t="str">
        <f>HYPERLINK("https%3A%2F%2Fwww.webofscience.com%2Fwos%2Fwoscc%2Ffull-record%2FWOS:000448302400004","View Full Record in Web of Science")</f>
        <v>View Full Record in Web of Science</v>
      </c>
    </row>
    <row r="66" spans="1:72" x14ac:dyDescent="0.15">
      <c r="A66" t="s">
        <v>72</v>
      </c>
      <c r="B66" t="s">
        <v>1568</v>
      </c>
      <c r="C66" t="s">
        <v>74</v>
      </c>
      <c r="D66" t="s">
        <v>74</v>
      </c>
      <c r="E66" t="s">
        <v>74</v>
      </c>
      <c r="F66" t="s">
        <v>1569</v>
      </c>
      <c r="G66" t="s">
        <v>74</v>
      </c>
      <c r="H66" t="s">
        <v>74</v>
      </c>
      <c r="I66" t="s">
        <v>1570</v>
      </c>
      <c r="J66" t="s">
        <v>1546</v>
      </c>
      <c r="K66" t="s">
        <v>74</v>
      </c>
      <c r="L66" t="s">
        <v>74</v>
      </c>
      <c r="M66" t="s">
        <v>78</v>
      </c>
      <c r="N66" t="s">
        <v>79</v>
      </c>
      <c r="O66" t="s">
        <v>74</v>
      </c>
      <c r="P66" t="s">
        <v>74</v>
      </c>
      <c r="Q66" t="s">
        <v>74</v>
      </c>
      <c r="R66" t="s">
        <v>74</v>
      </c>
      <c r="S66" t="s">
        <v>74</v>
      </c>
      <c r="T66" t="s">
        <v>1571</v>
      </c>
      <c r="U66" t="s">
        <v>1572</v>
      </c>
      <c r="V66" t="s">
        <v>1573</v>
      </c>
      <c r="W66" t="s">
        <v>1574</v>
      </c>
      <c r="X66" t="s">
        <v>1575</v>
      </c>
      <c r="Y66" t="s">
        <v>1576</v>
      </c>
      <c r="Z66" t="s">
        <v>1577</v>
      </c>
      <c r="AA66" t="s">
        <v>1578</v>
      </c>
      <c r="AB66" t="s">
        <v>1579</v>
      </c>
      <c r="AC66" t="s">
        <v>1580</v>
      </c>
      <c r="AD66" t="s">
        <v>1581</v>
      </c>
      <c r="AE66" t="s">
        <v>1582</v>
      </c>
      <c r="AF66" t="s">
        <v>74</v>
      </c>
      <c r="AG66">
        <v>48</v>
      </c>
      <c r="AH66">
        <v>5</v>
      </c>
      <c r="AI66">
        <v>6</v>
      </c>
      <c r="AJ66">
        <v>1</v>
      </c>
      <c r="AK66">
        <v>9</v>
      </c>
      <c r="AL66" t="s">
        <v>257</v>
      </c>
      <c r="AM66" t="s">
        <v>730</v>
      </c>
      <c r="AN66" t="s">
        <v>1559</v>
      </c>
      <c r="AO66" t="s">
        <v>1560</v>
      </c>
      <c r="AP66" t="s">
        <v>1561</v>
      </c>
      <c r="AQ66" t="s">
        <v>74</v>
      </c>
      <c r="AR66" t="s">
        <v>1562</v>
      </c>
      <c r="AS66" t="s">
        <v>1563</v>
      </c>
      <c r="AT66" t="s">
        <v>98</v>
      </c>
      <c r="AU66">
        <v>2018</v>
      </c>
      <c r="AV66">
        <v>64</v>
      </c>
      <c r="AW66">
        <v>247</v>
      </c>
      <c r="AX66" t="s">
        <v>74</v>
      </c>
      <c r="AY66" t="s">
        <v>74</v>
      </c>
      <c r="AZ66" t="s">
        <v>74</v>
      </c>
      <c r="BA66" t="s">
        <v>74</v>
      </c>
      <c r="BB66">
        <v>771</v>
      </c>
      <c r="BC66">
        <v>780</v>
      </c>
      <c r="BD66" t="s">
        <v>74</v>
      </c>
      <c r="BE66" t="s">
        <v>1583</v>
      </c>
      <c r="BF66" t="str">
        <f>HYPERLINK("http://dx.doi.org/10.1017/jog.2018.67","http://dx.doi.org/10.1017/jog.2018.67")</f>
        <v>http://dx.doi.org/10.1017/jog.2018.67</v>
      </c>
      <c r="BG66" t="s">
        <v>74</v>
      </c>
      <c r="BH66" t="s">
        <v>74</v>
      </c>
      <c r="BI66">
        <v>10</v>
      </c>
      <c r="BJ66" t="s">
        <v>208</v>
      </c>
      <c r="BK66" t="s">
        <v>101</v>
      </c>
      <c r="BL66" t="s">
        <v>209</v>
      </c>
      <c r="BM66" t="s">
        <v>1565</v>
      </c>
      <c r="BN66" t="s">
        <v>74</v>
      </c>
      <c r="BO66" t="s">
        <v>1584</v>
      </c>
      <c r="BP66" t="s">
        <v>74</v>
      </c>
      <c r="BQ66" t="s">
        <v>74</v>
      </c>
      <c r="BR66" t="s">
        <v>104</v>
      </c>
      <c r="BS66" t="s">
        <v>1585</v>
      </c>
      <c r="BT66" t="str">
        <f>HYPERLINK("https%3A%2F%2Fwww.webofscience.com%2Fwos%2Fwoscc%2Ffull-record%2FWOS:000448302400007","View Full Record in Web of Science")</f>
        <v>View Full Record in Web of Science</v>
      </c>
    </row>
    <row r="67" spans="1:72" x14ac:dyDescent="0.15">
      <c r="A67" t="s">
        <v>72</v>
      </c>
      <c r="B67" t="s">
        <v>1586</v>
      </c>
      <c r="C67" t="s">
        <v>74</v>
      </c>
      <c r="D67" t="s">
        <v>74</v>
      </c>
      <c r="E67" t="s">
        <v>74</v>
      </c>
      <c r="F67" t="s">
        <v>1587</v>
      </c>
      <c r="G67" t="s">
        <v>74</v>
      </c>
      <c r="H67" t="s">
        <v>74</v>
      </c>
      <c r="I67" t="s">
        <v>1588</v>
      </c>
      <c r="J67" t="s">
        <v>1589</v>
      </c>
      <c r="K67" t="s">
        <v>74</v>
      </c>
      <c r="L67" t="s">
        <v>74</v>
      </c>
      <c r="M67" t="s">
        <v>78</v>
      </c>
      <c r="N67" t="s">
        <v>79</v>
      </c>
      <c r="O67" t="s">
        <v>74</v>
      </c>
      <c r="P67" t="s">
        <v>74</v>
      </c>
      <c r="Q67" t="s">
        <v>74</v>
      </c>
      <c r="R67" t="s">
        <v>74</v>
      </c>
      <c r="S67" t="s">
        <v>74</v>
      </c>
      <c r="T67" t="s">
        <v>1590</v>
      </c>
      <c r="U67" t="s">
        <v>1591</v>
      </c>
      <c r="V67" t="s">
        <v>1592</v>
      </c>
      <c r="W67" t="s">
        <v>1593</v>
      </c>
      <c r="X67" t="s">
        <v>1594</v>
      </c>
      <c r="Y67" t="s">
        <v>1595</v>
      </c>
      <c r="Z67" t="s">
        <v>1596</v>
      </c>
      <c r="AA67" t="s">
        <v>1597</v>
      </c>
      <c r="AB67" t="s">
        <v>1598</v>
      </c>
      <c r="AC67" t="s">
        <v>1599</v>
      </c>
      <c r="AD67" t="s">
        <v>1600</v>
      </c>
      <c r="AE67" t="s">
        <v>1599</v>
      </c>
      <c r="AF67" t="s">
        <v>74</v>
      </c>
      <c r="AG67">
        <v>73</v>
      </c>
      <c r="AH67">
        <v>15</v>
      </c>
      <c r="AI67">
        <v>16</v>
      </c>
      <c r="AJ67">
        <v>0</v>
      </c>
      <c r="AK67">
        <v>12</v>
      </c>
      <c r="AL67" t="s">
        <v>758</v>
      </c>
      <c r="AM67" t="s">
        <v>759</v>
      </c>
      <c r="AN67" t="s">
        <v>760</v>
      </c>
      <c r="AO67" t="s">
        <v>1601</v>
      </c>
      <c r="AP67" t="s">
        <v>1602</v>
      </c>
      <c r="AQ67" t="s">
        <v>74</v>
      </c>
      <c r="AR67" t="s">
        <v>1603</v>
      </c>
      <c r="AS67" t="s">
        <v>1604</v>
      </c>
      <c r="AT67" t="s">
        <v>98</v>
      </c>
      <c r="AU67">
        <v>2018</v>
      </c>
      <c r="AV67">
        <v>49</v>
      </c>
      <c r="AW67">
        <v>10</v>
      </c>
      <c r="AX67" t="s">
        <v>74</v>
      </c>
      <c r="AY67" t="s">
        <v>74</v>
      </c>
      <c r="AZ67" t="s">
        <v>74</v>
      </c>
      <c r="BA67" t="s">
        <v>74</v>
      </c>
      <c r="BB67">
        <v>1617</v>
      </c>
      <c r="BC67">
        <v>1627</v>
      </c>
      <c r="BD67" t="s">
        <v>74</v>
      </c>
      <c r="BE67" t="s">
        <v>1605</v>
      </c>
      <c r="BF67" t="str">
        <f>HYPERLINK("http://dx.doi.org/10.1002/jrs.5449","http://dx.doi.org/10.1002/jrs.5449")</f>
        <v>http://dx.doi.org/10.1002/jrs.5449</v>
      </c>
      <c r="BG67" t="s">
        <v>74</v>
      </c>
      <c r="BH67" t="s">
        <v>74</v>
      </c>
      <c r="BI67">
        <v>11</v>
      </c>
      <c r="BJ67" t="s">
        <v>1606</v>
      </c>
      <c r="BK67" t="s">
        <v>101</v>
      </c>
      <c r="BL67" t="s">
        <v>1606</v>
      </c>
      <c r="BM67" t="s">
        <v>1607</v>
      </c>
      <c r="BN67" t="s">
        <v>74</v>
      </c>
      <c r="BO67" t="s">
        <v>1608</v>
      </c>
      <c r="BP67" t="s">
        <v>74</v>
      </c>
      <c r="BQ67" t="s">
        <v>74</v>
      </c>
      <c r="BR67" t="s">
        <v>104</v>
      </c>
      <c r="BS67" t="s">
        <v>1609</v>
      </c>
      <c r="BT67" t="str">
        <f>HYPERLINK("https%3A%2F%2Fwww.webofscience.com%2Fwos%2Fwoscc%2Ffull-record%2FWOS:000447772200005","View Full Record in Web of Science")</f>
        <v>View Full Record in Web of Science</v>
      </c>
    </row>
    <row r="68" spans="1:72" x14ac:dyDescent="0.15">
      <c r="A68" t="s">
        <v>72</v>
      </c>
      <c r="B68" t="s">
        <v>1610</v>
      </c>
      <c r="C68" t="s">
        <v>74</v>
      </c>
      <c r="D68" t="s">
        <v>74</v>
      </c>
      <c r="E68" t="s">
        <v>74</v>
      </c>
      <c r="F68" t="s">
        <v>1611</v>
      </c>
      <c r="G68" t="s">
        <v>74</v>
      </c>
      <c r="H68" t="s">
        <v>74</v>
      </c>
      <c r="I68" t="s">
        <v>1612</v>
      </c>
      <c r="J68" t="s">
        <v>1613</v>
      </c>
      <c r="K68" t="s">
        <v>74</v>
      </c>
      <c r="L68" t="s">
        <v>74</v>
      </c>
      <c r="M68" t="s">
        <v>78</v>
      </c>
      <c r="N68" t="s">
        <v>79</v>
      </c>
      <c r="O68" t="s">
        <v>74</v>
      </c>
      <c r="P68" t="s">
        <v>74</v>
      </c>
      <c r="Q68" t="s">
        <v>74</v>
      </c>
      <c r="R68" t="s">
        <v>74</v>
      </c>
      <c r="S68" t="s">
        <v>74</v>
      </c>
      <c r="T68" t="s">
        <v>74</v>
      </c>
      <c r="U68" t="s">
        <v>1614</v>
      </c>
      <c r="V68" t="s">
        <v>1615</v>
      </c>
      <c r="W68" t="s">
        <v>1616</v>
      </c>
      <c r="X68" t="s">
        <v>1617</v>
      </c>
      <c r="Y68" t="s">
        <v>1618</v>
      </c>
      <c r="Z68" t="s">
        <v>1619</v>
      </c>
      <c r="AA68" t="s">
        <v>1620</v>
      </c>
      <c r="AB68" t="s">
        <v>1621</v>
      </c>
      <c r="AC68" t="s">
        <v>1622</v>
      </c>
      <c r="AD68" t="s">
        <v>1623</v>
      </c>
      <c r="AE68" t="s">
        <v>1624</v>
      </c>
      <c r="AF68" t="s">
        <v>74</v>
      </c>
      <c r="AG68">
        <v>110</v>
      </c>
      <c r="AH68">
        <v>5</v>
      </c>
      <c r="AI68">
        <v>5</v>
      </c>
      <c r="AJ68">
        <v>1</v>
      </c>
      <c r="AK68">
        <v>15</v>
      </c>
      <c r="AL68" t="s">
        <v>676</v>
      </c>
      <c r="AM68" t="s">
        <v>677</v>
      </c>
      <c r="AN68" t="s">
        <v>678</v>
      </c>
      <c r="AO68" t="s">
        <v>1625</v>
      </c>
      <c r="AP68" t="s">
        <v>1626</v>
      </c>
      <c r="AQ68" t="s">
        <v>74</v>
      </c>
      <c r="AR68" t="s">
        <v>1627</v>
      </c>
      <c r="AS68" t="s">
        <v>1628</v>
      </c>
      <c r="AT68" t="s">
        <v>98</v>
      </c>
      <c r="AU68">
        <v>2018</v>
      </c>
      <c r="AV68">
        <v>165</v>
      </c>
      <c r="AW68">
        <v>10</v>
      </c>
      <c r="AX68" t="s">
        <v>74</v>
      </c>
      <c r="AY68" t="s">
        <v>74</v>
      </c>
      <c r="AZ68" t="s">
        <v>74</v>
      </c>
      <c r="BA68" t="s">
        <v>74</v>
      </c>
      <c r="BB68" t="s">
        <v>74</v>
      </c>
      <c r="BC68" t="s">
        <v>74</v>
      </c>
      <c r="BD68">
        <v>172</v>
      </c>
      <c r="BE68" t="s">
        <v>1629</v>
      </c>
      <c r="BF68" t="str">
        <f>HYPERLINK("http://dx.doi.org/10.1007/s00227-018-3430-z","http://dx.doi.org/10.1007/s00227-018-3430-z")</f>
        <v>http://dx.doi.org/10.1007/s00227-018-3430-z</v>
      </c>
      <c r="BG68" t="s">
        <v>74</v>
      </c>
      <c r="BH68" t="s">
        <v>74</v>
      </c>
      <c r="BI68">
        <v>17</v>
      </c>
      <c r="BJ68" t="s">
        <v>1630</v>
      </c>
      <c r="BK68" t="s">
        <v>101</v>
      </c>
      <c r="BL68" t="s">
        <v>1630</v>
      </c>
      <c r="BM68" t="s">
        <v>1631</v>
      </c>
      <c r="BN68" t="s">
        <v>74</v>
      </c>
      <c r="BO68" t="s">
        <v>74</v>
      </c>
      <c r="BP68" t="s">
        <v>74</v>
      </c>
      <c r="BQ68" t="s">
        <v>74</v>
      </c>
      <c r="BR68" t="s">
        <v>104</v>
      </c>
      <c r="BS68" t="s">
        <v>1632</v>
      </c>
      <c r="BT68" t="str">
        <f>HYPERLINK("https%3A%2F%2Fwww.webofscience.com%2Fwos%2Fwoscc%2Ffull-record%2FWOS:000448431500001","View Full Record in Web of Science")</f>
        <v>View Full Record in Web of Science</v>
      </c>
    </row>
    <row r="69" spans="1:72" x14ac:dyDescent="0.15">
      <c r="A69" t="s">
        <v>72</v>
      </c>
      <c r="B69" t="s">
        <v>1633</v>
      </c>
      <c r="C69" t="s">
        <v>74</v>
      </c>
      <c r="D69" t="s">
        <v>74</v>
      </c>
      <c r="E69" t="s">
        <v>74</v>
      </c>
      <c r="F69" t="s">
        <v>1634</v>
      </c>
      <c r="G69" t="s">
        <v>74</v>
      </c>
      <c r="H69" t="s">
        <v>74</v>
      </c>
      <c r="I69" t="s">
        <v>1635</v>
      </c>
      <c r="J69" t="s">
        <v>1636</v>
      </c>
      <c r="K69" t="s">
        <v>74</v>
      </c>
      <c r="L69" t="s">
        <v>74</v>
      </c>
      <c r="M69" t="s">
        <v>78</v>
      </c>
      <c r="N69" t="s">
        <v>1637</v>
      </c>
      <c r="O69" t="s">
        <v>74</v>
      </c>
      <c r="P69" t="s">
        <v>74</v>
      </c>
      <c r="Q69" t="s">
        <v>74</v>
      </c>
      <c r="R69" t="s">
        <v>74</v>
      </c>
      <c r="S69" t="s">
        <v>74</v>
      </c>
      <c r="T69" t="s">
        <v>74</v>
      </c>
      <c r="U69" t="s">
        <v>74</v>
      </c>
      <c r="V69" t="s">
        <v>74</v>
      </c>
      <c r="W69" t="s">
        <v>1638</v>
      </c>
      <c r="X69" t="s">
        <v>1639</v>
      </c>
      <c r="Y69" t="s">
        <v>1640</v>
      </c>
      <c r="Z69" t="s">
        <v>74</v>
      </c>
      <c r="AA69" t="s">
        <v>74</v>
      </c>
      <c r="AB69" t="s">
        <v>74</v>
      </c>
      <c r="AC69" t="s">
        <v>74</v>
      </c>
      <c r="AD69" t="s">
        <v>74</v>
      </c>
      <c r="AE69" t="s">
        <v>74</v>
      </c>
      <c r="AF69" t="s">
        <v>74</v>
      </c>
      <c r="AG69">
        <v>1</v>
      </c>
      <c r="AH69">
        <v>0</v>
      </c>
      <c r="AI69">
        <v>0</v>
      </c>
      <c r="AJ69">
        <v>0</v>
      </c>
      <c r="AK69">
        <v>0</v>
      </c>
      <c r="AL69" t="s">
        <v>92</v>
      </c>
      <c r="AM69" t="s">
        <v>93</v>
      </c>
      <c r="AN69" t="s">
        <v>94</v>
      </c>
      <c r="AO69" t="s">
        <v>1641</v>
      </c>
      <c r="AP69" t="s">
        <v>1642</v>
      </c>
      <c r="AQ69" t="s">
        <v>74</v>
      </c>
      <c r="AR69" t="s">
        <v>1643</v>
      </c>
      <c r="AS69" t="s">
        <v>1644</v>
      </c>
      <c r="AT69" t="s">
        <v>98</v>
      </c>
      <c r="AU69">
        <v>2018</v>
      </c>
      <c r="AV69">
        <v>123</v>
      </c>
      <c r="AW69">
        <v>4</v>
      </c>
      <c r="AX69" t="s">
        <v>74</v>
      </c>
      <c r="AY69" t="s">
        <v>74</v>
      </c>
      <c r="AZ69" t="s">
        <v>74</v>
      </c>
      <c r="BA69" t="s">
        <v>74</v>
      </c>
      <c r="BB69">
        <v>1299</v>
      </c>
      <c r="BC69">
        <v>1300</v>
      </c>
      <c r="BD69" t="s">
        <v>74</v>
      </c>
      <c r="BE69" t="s">
        <v>1645</v>
      </c>
      <c r="BF69" t="str">
        <f>HYPERLINK("http://dx.doi.org/10.1093/ahr/rhy046","http://dx.doi.org/10.1093/ahr/rhy046")</f>
        <v>http://dx.doi.org/10.1093/ahr/rhy046</v>
      </c>
      <c r="BG69" t="s">
        <v>74</v>
      </c>
      <c r="BH69" t="s">
        <v>74</v>
      </c>
      <c r="BI69">
        <v>3</v>
      </c>
      <c r="BJ69" t="s">
        <v>1646</v>
      </c>
      <c r="BK69" t="s">
        <v>1647</v>
      </c>
      <c r="BL69" t="s">
        <v>1646</v>
      </c>
      <c r="BM69" t="s">
        <v>1648</v>
      </c>
      <c r="BN69" t="s">
        <v>74</v>
      </c>
      <c r="BO69" t="s">
        <v>74</v>
      </c>
      <c r="BP69" t="s">
        <v>74</v>
      </c>
      <c r="BQ69" t="s">
        <v>74</v>
      </c>
      <c r="BR69" t="s">
        <v>104</v>
      </c>
      <c r="BS69" t="s">
        <v>1649</v>
      </c>
      <c r="BT69" t="str">
        <f>HYPERLINK("https%3A%2F%2Fwww.webofscience.com%2Fwos%2Fwoscc%2Ffull-record%2FWOS:000448046200031","View Full Record in Web of Science")</f>
        <v>View Full Record in Web of Science</v>
      </c>
    </row>
    <row r="70" spans="1:72" x14ac:dyDescent="0.15">
      <c r="A70" t="s">
        <v>72</v>
      </c>
      <c r="B70" t="s">
        <v>1650</v>
      </c>
      <c r="C70" t="s">
        <v>74</v>
      </c>
      <c r="D70" t="s">
        <v>74</v>
      </c>
      <c r="E70" t="s">
        <v>74</v>
      </c>
      <c r="F70" t="s">
        <v>1651</v>
      </c>
      <c r="G70" t="s">
        <v>74</v>
      </c>
      <c r="H70" t="s">
        <v>74</v>
      </c>
      <c r="I70" t="s">
        <v>1652</v>
      </c>
      <c r="J70" t="s">
        <v>949</v>
      </c>
      <c r="K70" t="s">
        <v>74</v>
      </c>
      <c r="L70" t="s">
        <v>74</v>
      </c>
      <c r="M70" t="s">
        <v>78</v>
      </c>
      <c r="N70" t="s">
        <v>79</v>
      </c>
      <c r="O70" t="s">
        <v>74</v>
      </c>
      <c r="P70" t="s">
        <v>74</v>
      </c>
      <c r="Q70" t="s">
        <v>74</v>
      </c>
      <c r="R70" t="s">
        <v>74</v>
      </c>
      <c r="S70" t="s">
        <v>74</v>
      </c>
      <c r="T70" t="s">
        <v>1653</v>
      </c>
      <c r="U70" t="s">
        <v>1654</v>
      </c>
      <c r="V70" t="s">
        <v>1655</v>
      </c>
      <c r="W70" t="s">
        <v>1656</v>
      </c>
      <c r="X70" t="s">
        <v>1657</v>
      </c>
      <c r="Y70" t="s">
        <v>1658</v>
      </c>
      <c r="Z70" t="s">
        <v>1659</v>
      </c>
      <c r="AA70" t="s">
        <v>1660</v>
      </c>
      <c r="AB70" t="s">
        <v>1661</v>
      </c>
      <c r="AC70" t="s">
        <v>1662</v>
      </c>
      <c r="AD70" t="s">
        <v>1663</v>
      </c>
      <c r="AE70" t="s">
        <v>1664</v>
      </c>
      <c r="AF70" t="s">
        <v>74</v>
      </c>
      <c r="AG70">
        <v>89</v>
      </c>
      <c r="AH70">
        <v>42</v>
      </c>
      <c r="AI70">
        <v>43</v>
      </c>
      <c r="AJ70">
        <v>0</v>
      </c>
      <c r="AK70">
        <v>12</v>
      </c>
      <c r="AL70" t="s">
        <v>785</v>
      </c>
      <c r="AM70" t="s">
        <v>786</v>
      </c>
      <c r="AN70" t="s">
        <v>787</v>
      </c>
      <c r="AO70" t="s">
        <v>962</v>
      </c>
      <c r="AP70" t="s">
        <v>963</v>
      </c>
      <c r="AQ70" t="s">
        <v>74</v>
      </c>
      <c r="AR70" t="s">
        <v>964</v>
      </c>
      <c r="AS70" t="s">
        <v>965</v>
      </c>
      <c r="AT70" t="s">
        <v>98</v>
      </c>
      <c r="AU70">
        <v>2018</v>
      </c>
      <c r="AV70">
        <v>48</v>
      </c>
      <c r="AW70">
        <v>10</v>
      </c>
      <c r="AX70" t="s">
        <v>74</v>
      </c>
      <c r="AY70" t="s">
        <v>74</v>
      </c>
      <c r="AZ70" t="s">
        <v>74</v>
      </c>
      <c r="BA70" t="s">
        <v>74</v>
      </c>
      <c r="BB70">
        <v>2363</v>
      </c>
      <c r="BC70">
        <v>2382</v>
      </c>
      <c r="BD70" t="s">
        <v>74</v>
      </c>
      <c r="BE70" t="s">
        <v>1665</v>
      </c>
      <c r="BF70" t="str">
        <f>HYPERLINK("http://dx.doi.org/10.1175/JPO-D-18-0017.1","http://dx.doi.org/10.1175/JPO-D-18-0017.1")</f>
        <v>http://dx.doi.org/10.1175/JPO-D-18-0017.1</v>
      </c>
      <c r="BG70" t="s">
        <v>74</v>
      </c>
      <c r="BH70" t="s">
        <v>74</v>
      </c>
      <c r="BI70">
        <v>20</v>
      </c>
      <c r="BJ70" t="s">
        <v>157</v>
      </c>
      <c r="BK70" t="s">
        <v>101</v>
      </c>
      <c r="BL70" t="s">
        <v>157</v>
      </c>
      <c r="BM70" t="s">
        <v>1666</v>
      </c>
      <c r="BN70" t="s">
        <v>74</v>
      </c>
      <c r="BO70" t="s">
        <v>1667</v>
      </c>
      <c r="BP70" t="s">
        <v>74</v>
      </c>
      <c r="BQ70" t="s">
        <v>74</v>
      </c>
      <c r="BR70" t="s">
        <v>104</v>
      </c>
      <c r="BS70" t="s">
        <v>1668</v>
      </c>
      <c r="BT70" t="str">
        <f>HYPERLINK("https%3A%2F%2Fwww.webofscience.com%2Fwos%2Fwoscc%2Ffull-record%2FWOS:000448251900001","View Full Record in Web of Science")</f>
        <v>View Full Record in Web of Science</v>
      </c>
    </row>
    <row r="71" spans="1:72" x14ac:dyDescent="0.15">
      <c r="A71" t="s">
        <v>72</v>
      </c>
      <c r="B71" t="s">
        <v>1669</v>
      </c>
      <c r="C71" t="s">
        <v>74</v>
      </c>
      <c r="D71" t="s">
        <v>74</v>
      </c>
      <c r="E71" t="s">
        <v>74</v>
      </c>
      <c r="F71" t="s">
        <v>1670</v>
      </c>
      <c r="G71" t="s">
        <v>74</v>
      </c>
      <c r="H71" t="s">
        <v>74</v>
      </c>
      <c r="I71" t="s">
        <v>1671</v>
      </c>
      <c r="J71" t="s">
        <v>1672</v>
      </c>
      <c r="K71" t="s">
        <v>74</v>
      </c>
      <c r="L71" t="s">
        <v>74</v>
      </c>
      <c r="M71" t="s">
        <v>78</v>
      </c>
      <c r="N71" t="s">
        <v>52</v>
      </c>
      <c r="O71" t="s">
        <v>1673</v>
      </c>
      <c r="P71" t="s">
        <v>1674</v>
      </c>
      <c r="Q71" t="s">
        <v>1675</v>
      </c>
      <c r="R71" t="s">
        <v>74</v>
      </c>
      <c r="S71" t="s">
        <v>74</v>
      </c>
      <c r="T71" t="s">
        <v>74</v>
      </c>
      <c r="U71" t="s">
        <v>74</v>
      </c>
      <c r="V71" t="s">
        <v>74</v>
      </c>
      <c r="W71" t="s">
        <v>1676</v>
      </c>
      <c r="X71" t="s">
        <v>74</v>
      </c>
      <c r="Y71" t="s">
        <v>74</v>
      </c>
      <c r="Z71" t="s">
        <v>74</v>
      </c>
      <c r="AA71" t="s">
        <v>74</v>
      </c>
      <c r="AB71" t="s">
        <v>74</v>
      </c>
      <c r="AC71" t="s">
        <v>74</v>
      </c>
      <c r="AD71" t="s">
        <v>74</v>
      </c>
      <c r="AE71" t="s">
        <v>74</v>
      </c>
      <c r="AF71" t="s">
        <v>74</v>
      </c>
      <c r="AG71">
        <v>0</v>
      </c>
      <c r="AH71">
        <v>1</v>
      </c>
      <c r="AI71">
        <v>1</v>
      </c>
      <c r="AJ71">
        <v>0</v>
      </c>
      <c r="AK71">
        <v>0</v>
      </c>
      <c r="AL71" t="s">
        <v>404</v>
      </c>
      <c r="AM71" t="s">
        <v>258</v>
      </c>
      <c r="AN71" t="s">
        <v>1677</v>
      </c>
      <c r="AO71" t="s">
        <v>1678</v>
      </c>
      <c r="AP71" t="s">
        <v>1679</v>
      </c>
      <c r="AQ71" t="s">
        <v>74</v>
      </c>
      <c r="AR71" t="s">
        <v>1680</v>
      </c>
      <c r="AS71" t="s">
        <v>1681</v>
      </c>
      <c r="AT71" t="s">
        <v>98</v>
      </c>
      <c r="AU71">
        <v>2018</v>
      </c>
      <c r="AV71">
        <v>227</v>
      </c>
      <c r="AW71">
        <v>4</v>
      </c>
      <c r="AX71" t="s">
        <v>74</v>
      </c>
      <c r="AY71">
        <v>2</v>
      </c>
      <c r="AZ71" t="s">
        <v>74</v>
      </c>
      <c r="BA71" t="s">
        <v>74</v>
      </c>
      <c r="BB71" t="s">
        <v>1682</v>
      </c>
      <c r="BC71" t="s">
        <v>1682</v>
      </c>
      <c r="BD71" t="s">
        <v>74</v>
      </c>
      <c r="BE71" t="s">
        <v>1683</v>
      </c>
      <c r="BF71" t="str">
        <f>HYPERLINK("http://dx.doi.org/10.1016/j.jamcollsurg.2018.08.499","http://dx.doi.org/10.1016/j.jamcollsurg.2018.08.499")</f>
        <v>http://dx.doi.org/10.1016/j.jamcollsurg.2018.08.499</v>
      </c>
      <c r="BG71" t="s">
        <v>74</v>
      </c>
      <c r="BH71" t="s">
        <v>74</v>
      </c>
      <c r="BI71">
        <v>1</v>
      </c>
      <c r="BJ71" t="s">
        <v>1684</v>
      </c>
      <c r="BK71" t="s">
        <v>158</v>
      </c>
      <c r="BL71" t="s">
        <v>1684</v>
      </c>
      <c r="BM71" t="s">
        <v>1685</v>
      </c>
      <c r="BN71" t="s">
        <v>74</v>
      </c>
      <c r="BO71" t="s">
        <v>74</v>
      </c>
      <c r="BP71" t="s">
        <v>74</v>
      </c>
      <c r="BQ71" t="s">
        <v>74</v>
      </c>
      <c r="BR71" t="s">
        <v>104</v>
      </c>
      <c r="BS71" t="s">
        <v>1686</v>
      </c>
      <c r="BT71" t="str">
        <f>HYPERLINK("https%3A%2F%2Fwww.webofscience.com%2Fwos%2Fwoscc%2Ffull-record%2FWOS:000447772500445","View Full Record in Web of Science")</f>
        <v>View Full Record in Web of Science</v>
      </c>
    </row>
    <row r="72" spans="1:72" x14ac:dyDescent="0.15">
      <c r="A72" t="s">
        <v>72</v>
      </c>
      <c r="B72" t="s">
        <v>1687</v>
      </c>
      <c r="C72" t="s">
        <v>74</v>
      </c>
      <c r="D72" t="s">
        <v>74</v>
      </c>
      <c r="E72" t="s">
        <v>74</v>
      </c>
      <c r="F72" t="s">
        <v>1688</v>
      </c>
      <c r="G72" t="s">
        <v>74</v>
      </c>
      <c r="H72" t="s">
        <v>74</v>
      </c>
      <c r="I72" t="s">
        <v>1689</v>
      </c>
      <c r="J72" t="s">
        <v>1690</v>
      </c>
      <c r="K72" t="s">
        <v>74</v>
      </c>
      <c r="L72" t="s">
        <v>74</v>
      </c>
      <c r="M72" t="s">
        <v>78</v>
      </c>
      <c r="N72" t="s">
        <v>79</v>
      </c>
      <c r="O72" t="s">
        <v>74</v>
      </c>
      <c r="P72" t="s">
        <v>74</v>
      </c>
      <c r="Q72" t="s">
        <v>74</v>
      </c>
      <c r="R72" t="s">
        <v>74</v>
      </c>
      <c r="S72" t="s">
        <v>74</v>
      </c>
      <c r="T72" t="s">
        <v>1691</v>
      </c>
      <c r="U72" t="s">
        <v>1692</v>
      </c>
      <c r="V72" t="s">
        <v>1693</v>
      </c>
      <c r="W72" t="s">
        <v>1694</v>
      </c>
      <c r="X72" t="s">
        <v>1695</v>
      </c>
      <c r="Y72" t="s">
        <v>1696</v>
      </c>
      <c r="Z72" t="s">
        <v>1697</v>
      </c>
      <c r="AA72" t="s">
        <v>1698</v>
      </c>
      <c r="AB72" t="s">
        <v>1699</v>
      </c>
      <c r="AC72" t="s">
        <v>1700</v>
      </c>
      <c r="AD72" t="s">
        <v>1701</v>
      </c>
      <c r="AE72" t="s">
        <v>1702</v>
      </c>
      <c r="AF72" t="s">
        <v>74</v>
      </c>
      <c r="AG72">
        <v>75</v>
      </c>
      <c r="AH72">
        <v>16</v>
      </c>
      <c r="AI72">
        <v>18</v>
      </c>
      <c r="AJ72">
        <v>0</v>
      </c>
      <c r="AK72">
        <v>10</v>
      </c>
      <c r="AL72" t="s">
        <v>758</v>
      </c>
      <c r="AM72" t="s">
        <v>759</v>
      </c>
      <c r="AN72" t="s">
        <v>760</v>
      </c>
      <c r="AO72" t="s">
        <v>1703</v>
      </c>
      <c r="AP72" t="s">
        <v>1704</v>
      </c>
      <c r="AQ72" t="s">
        <v>74</v>
      </c>
      <c r="AR72" t="s">
        <v>1705</v>
      </c>
      <c r="AS72" t="s">
        <v>1706</v>
      </c>
      <c r="AT72" t="s">
        <v>98</v>
      </c>
      <c r="AU72">
        <v>2018</v>
      </c>
      <c r="AV72">
        <v>34</v>
      </c>
      <c r="AW72">
        <v>4</v>
      </c>
      <c r="AX72" t="s">
        <v>74</v>
      </c>
      <c r="AY72" t="s">
        <v>74</v>
      </c>
      <c r="AZ72" t="s">
        <v>74</v>
      </c>
      <c r="BA72" t="s">
        <v>74</v>
      </c>
      <c r="BB72">
        <v>901</v>
      </c>
      <c r="BC72">
        <v>923</v>
      </c>
      <c r="BD72" t="s">
        <v>74</v>
      </c>
      <c r="BE72" t="s">
        <v>1707</v>
      </c>
      <c r="BF72" t="str">
        <f>HYPERLINK("http://dx.doi.org/10.1111/mms.12494","http://dx.doi.org/10.1111/mms.12494")</f>
        <v>http://dx.doi.org/10.1111/mms.12494</v>
      </c>
      <c r="BG72" t="s">
        <v>74</v>
      </c>
      <c r="BH72" t="s">
        <v>74</v>
      </c>
      <c r="BI72">
        <v>23</v>
      </c>
      <c r="BJ72" t="s">
        <v>1425</v>
      </c>
      <c r="BK72" t="s">
        <v>101</v>
      </c>
      <c r="BL72" t="s">
        <v>1425</v>
      </c>
      <c r="BM72" t="s">
        <v>1708</v>
      </c>
      <c r="BN72" t="s">
        <v>74</v>
      </c>
      <c r="BO72" t="s">
        <v>74</v>
      </c>
      <c r="BP72" t="s">
        <v>74</v>
      </c>
      <c r="BQ72" t="s">
        <v>74</v>
      </c>
      <c r="BR72" t="s">
        <v>104</v>
      </c>
      <c r="BS72" t="s">
        <v>1709</v>
      </c>
      <c r="BT72" t="str">
        <f>HYPERLINK("https%3A%2F%2Fwww.webofscience.com%2Fwos%2Fwoscc%2Ffull-record%2FWOS:000448183700002","View Full Record in Web of Science")</f>
        <v>View Full Record in Web of Science</v>
      </c>
    </row>
    <row r="73" spans="1:72" x14ac:dyDescent="0.15">
      <c r="A73" t="s">
        <v>72</v>
      </c>
      <c r="B73" t="s">
        <v>1710</v>
      </c>
      <c r="C73" t="s">
        <v>74</v>
      </c>
      <c r="D73" t="s">
        <v>74</v>
      </c>
      <c r="E73" t="s">
        <v>74</v>
      </c>
      <c r="F73" t="s">
        <v>1711</v>
      </c>
      <c r="G73" t="s">
        <v>74</v>
      </c>
      <c r="H73" t="s">
        <v>74</v>
      </c>
      <c r="I73" t="s">
        <v>1712</v>
      </c>
      <c r="J73" t="s">
        <v>1713</v>
      </c>
      <c r="K73" t="s">
        <v>74</v>
      </c>
      <c r="L73" t="s">
        <v>74</v>
      </c>
      <c r="M73" t="s">
        <v>78</v>
      </c>
      <c r="N73" t="s">
        <v>79</v>
      </c>
      <c r="O73" t="s">
        <v>74</v>
      </c>
      <c r="P73" t="s">
        <v>74</v>
      </c>
      <c r="Q73" t="s">
        <v>74</v>
      </c>
      <c r="R73" t="s">
        <v>74</v>
      </c>
      <c r="S73" t="s">
        <v>74</v>
      </c>
      <c r="T73" t="s">
        <v>1714</v>
      </c>
      <c r="U73" t="s">
        <v>1715</v>
      </c>
      <c r="V73" t="s">
        <v>1716</v>
      </c>
      <c r="W73" t="s">
        <v>1717</v>
      </c>
      <c r="X73" t="s">
        <v>1718</v>
      </c>
      <c r="Y73" t="s">
        <v>1719</v>
      </c>
      <c r="Z73" t="s">
        <v>1720</v>
      </c>
      <c r="AA73" t="s">
        <v>1721</v>
      </c>
      <c r="AB73" t="s">
        <v>1722</v>
      </c>
      <c r="AC73" t="s">
        <v>1723</v>
      </c>
      <c r="AD73" t="s">
        <v>1724</v>
      </c>
      <c r="AE73" t="s">
        <v>1725</v>
      </c>
      <c r="AF73" t="s">
        <v>74</v>
      </c>
      <c r="AG73">
        <v>112</v>
      </c>
      <c r="AH73">
        <v>11</v>
      </c>
      <c r="AI73">
        <v>12</v>
      </c>
      <c r="AJ73">
        <v>0</v>
      </c>
      <c r="AK73">
        <v>13</v>
      </c>
      <c r="AL73" t="s">
        <v>758</v>
      </c>
      <c r="AM73" t="s">
        <v>759</v>
      </c>
      <c r="AN73" t="s">
        <v>760</v>
      </c>
      <c r="AO73" t="s">
        <v>1726</v>
      </c>
      <c r="AP73" t="s">
        <v>1727</v>
      </c>
      <c r="AQ73" t="s">
        <v>74</v>
      </c>
      <c r="AR73" t="s">
        <v>1728</v>
      </c>
      <c r="AS73" t="s">
        <v>1729</v>
      </c>
      <c r="AT73" t="s">
        <v>98</v>
      </c>
      <c r="AU73">
        <v>2018</v>
      </c>
      <c r="AV73">
        <v>93</v>
      </c>
      <c r="AW73">
        <v>4</v>
      </c>
      <c r="AX73" t="s">
        <v>74</v>
      </c>
      <c r="AY73" t="s">
        <v>74</v>
      </c>
      <c r="AZ73" t="s">
        <v>74</v>
      </c>
      <c r="BA73" t="s">
        <v>74</v>
      </c>
      <c r="BB73">
        <v>694</v>
      </c>
      <c r="BC73">
        <v>710</v>
      </c>
      <c r="BD73" t="s">
        <v>74</v>
      </c>
      <c r="BE73" t="s">
        <v>1730</v>
      </c>
      <c r="BF73" t="str">
        <f>HYPERLINK("http://dx.doi.org/10.1111/jfb.13798","http://dx.doi.org/10.1111/jfb.13798")</f>
        <v>http://dx.doi.org/10.1111/jfb.13798</v>
      </c>
      <c r="BG73" t="s">
        <v>74</v>
      </c>
      <c r="BH73" t="s">
        <v>74</v>
      </c>
      <c r="BI73">
        <v>17</v>
      </c>
      <c r="BJ73" t="s">
        <v>293</v>
      </c>
      <c r="BK73" t="s">
        <v>101</v>
      </c>
      <c r="BL73" t="s">
        <v>293</v>
      </c>
      <c r="BM73" t="s">
        <v>1731</v>
      </c>
      <c r="BN73">
        <v>30232812</v>
      </c>
      <c r="BO73" t="s">
        <v>712</v>
      </c>
      <c r="BP73" t="s">
        <v>74</v>
      </c>
      <c r="BQ73" t="s">
        <v>74</v>
      </c>
      <c r="BR73" t="s">
        <v>104</v>
      </c>
      <c r="BS73" t="s">
        <v>1732</v>
      </c>
      <c r="BT73" t="str">
        <f>HYPERLINK("https%3A%2F%2Fwww.webofscience.com%2Fwos%2Fwoscc%2Ffull-record%2FWOS:000448079400013","View Full Record in Web of Science")</f>
        <v>View Full Record in Web of Science</v>
      </c>
    </row>
    <row r="74" spans="1:72" x14ac:dyDescent="0.15">
      <c r="A74" t="s">
        <v>72</v>
      </c>
      <c r="B74" t="s">
        <v>1733</v>
      </c>
      <c r="C74" t="s">
        <v>74</v>
      </c>
      <c r="D74" t="s">
        <v>74</v>
      </c>
      <c r="E74" t="s">
        <v>74</v>
      </c>
      <c r="F74" t="s">
        <v>1734</v>
      </c>
      <c r="G74" t="s">
        <v>74</v>
      </c>
      <c r="H74" t="s">
        <v>74</v>
      </c>
      <c r="I74" t="s">
        <v>1735</v>
      </c>
      <c r="J74" t="s">
        <v>1736</v>
      </c>
      <c r="K74" t="s">
        <v>74</v>
      </c>
      <c r="L74" t="s">
        <v>74</v>
      </c>
      <c r="M74" t="s">
        <v>78</v>
      </c>
      <c r="N74" t="s">
        <v>133</v>
      </c>
      <c r="O74" t="s">
        <v>1737</v>
      </c>
      <c r="P74" t="s">
        <v>1738</v>
      </c>
      <c r="Q74" t="s">
        <v>1739</v>
      </c>
      <c r="R74" t="s">
        <v>74</v>
      </c>
      <c r="S74" t="s">
        <v>74</v>
      </c>
      <c r="T74" t="s">
        <v>1740</v>
      </c>
      <c r="U74" t="s">
        <v>1741</v>
      </c>
      <c r="V74" t="s">
        <v>1742</v>
      </c>
      <c r="W74" t="s">
        <v>1743</v>
      </c>
      <c r="X74" t="s">
        <v>1744</v>
      </c>
      <c r="Y74" t="s">
        <v>1745</v>
      </c>
      <c r="Z74" t="s">
        <v>1746</v>
      </c>
      <c r="AA74" t="s">
        <v>1747</v>
      </c>
      <c r="AB74" t="s">
        <v>1748</v>
      </c>
      <c r="AC74" t="s">
        <v>1749</v>
      </c>
      <c r="AD74" t="s">
        <v>1750</v>
      </c>
      <c r="AE74" t="s">
        <v>1751</v>
      </c>
      <c r="AF74" t="s">
        <v>74</v>
      </c>
      <c r="AG74">
        <v>71</v>
      </c>
      <c r="AH74">
        <v>27</v>
      </c>
      <c r="AI74">
        <v>28</v>
      </c>
      <c r="AJ74">
        <v>0</v>
      </c>
      <c r="AK74">
        <v>14</v>
      </c>
      <c r="AL74" t="s">
        <v>149</v>
      </c>
      <c r="AM74" t="s">
        <v>93</v>
      </c>
      <c r="AN74" t="s">
        <v>150</v>
      </c>
      <c r="AO74" t="s">
        <v>1752</v>
      </c>
      <c r="AP74" t="s">
        <v>1753</v>
      </c>
      <c r="AQ74" t="s">
        <v>74</v>
      </c>
      <c r="AR74" t="s">
        <v>1754</v>
      </c>
      <c r="AS74" t="s">
        <v>1755</v>
      </c>
      <c r="AT74" t="s">
        <v>98</v>
      </c>
      <c r="AU74">
        <v>2018</v>
      </c>
      <c r="AV74">
        <v>177</v>
      </c>
      <c r="AW74" t="s">
        <v>74</v>
      </c>
      <c r="AX74" t="s">
        <v>74</v>
      </c>
      <c r="AY74" t="s">
        <v>74</v>
      </c>
      <c r="AZ74" t="s">
        <v>155</v>
      </c>
      <c r="BA74" t="s">
        <v>74</v>
      </c>
      <c r="BB74">
        <v>148</v>
      </c>
      <c r="BC74">
        <v>159</v>
      </c>
      <c r="BD74" t="s">
        <v>74</v>
      </c>
      <c r="BE74" t="s">
        <v>1756</v>
      </c>
      <c r="BF74" t="str">
        <f>HYPERLINK("http://dx.doi.org/10.1016/j.jastp.2017.11.006","http://dx.doi.org/10.1016/j.jastp.2017.11.006")</f>
        <v>http://dx.doi.org/10.1016/j.jastp.2017.11.006</v>
      </c>
      <c r="BG74" t="s">
        <v>74</v>
      </c>
      <c r="BH74" t="s">
        <v>74</v>
      </c>
      <c r="BI74">
        <v>12</v>
      </c>
      <c r="BJ74" t="s">
        <v>1757</v>
      </c>
      <c r="BK74" t="s">
        <v>158</v>
      </c>
      <c r="BL74" t="s">
        <v>1757</v>
      </c>
      <c r="BM74" t="s">
        <v>1758</v>
      </c>
      <c r="BN74" t="s">
        <v>74</v>
      </c>
      <c r="BO74" t="s">
        <v>1759</v>
      </c>
      <c r="BP74" t="s">
        <v>74</v>
      </c>
      <c r="BQ74" t="s">
        <v>74</v>
      </c>
      <c r="BR74" t="s">
        <v>104</v>
      </c>
      <c r="BS74" t="s">
        <v>1760</v>
      </c>
      <c r="BT74" t="str">
        <f>HYPERLINK("https%3A%2F%2Fwww.webofscience.com%2Fwos%2Fwoscc%2Ffull-record%2FWOS:000447110300017","View Full Record in Web of Science")</f>
        <v>View Full Record in Web of Science</v>
      </c>
    </row>
    <row r="75" spans="1:72" x14ac:dyDescent="0.15">
      <c r="A75" t="s">
        <v>72</v>
      </c>
      <c r="B75" t="s">
        <v>1761</v>
      </c>
      <c r="C75" t="s">
        <v>74</v>
      </c>
      <c r="D75" t="s">
        <v>74</v>
      </c>
      <c r="E75" t="s">
        <v>74</v>
      </c>
      <c r="F75" t="s">
        <v>1762</v>
      </c>
      <c r="G75" t="s">
        <v>74</v>
      </c>
      <c r="H75" t="s">
        <v>74</v>
      </c>
      <c r="I75" t="s">
        <v>1763</v>
      </c>
      <c r="J75" t="s">
        <v>1736</v>
      </c>
      <c r="K75" t="s">
        <v>74</v>
      </c>
      <c r="L75" t="s">
        <v>74</v>
      </c>
      <c r="M75" t="s">
        <v>78</v>
      </c>
      <c r="N75" t="s">
        <v>133</v>
      </c>
      <c r="O75" t="s">
        <v>1737</v>
      </c>
      <c r="P75" t="s">
        <v>1738</v>
      </c>
      <c r="Q75" t="s">
        <v>1739</v>
      </c>
      <c r="R75" t="s">
        <v>74</v>
      </c>
      <c r="S75" t="s">
        <v>74</v>
      </c>
      <c r="T75" t="s">
        <v>74</v>
      </c>
      <c r="U75" t="s">
        <v>1764</v>
      </c>
      <c r="V75" t="s">
        <v>1765</v>
      </c>
      <c r="W75" t="s">
        <v>1766</v>
      </c>
      <c r="X75" t="s">
        <v>1767</v>
      </c>
      <c r="Y75" t="s">
        <v>1768</v>
      </c>
      <c r="Z75" t="s">
        <v>1769</v>
      </c>
      <c r="AA75" t="s">
        <v>1770</v>
      </c>
      <c r="AB75" t="s">
        <v>1771</v>
      </c>
      <c r="AC75" t="s">
        <v>1772</v>
      </c>
      <c r="AD75" t="s">
        <v>1773</v>
      </c>
      <c r="AE75" t="s">
        <v>1774</v>
      </c>
      <c r="AF75" t="s">
        <v>74</v>
      </c>
      <c r="AG75">
        <v>69</v>
      </c>
      <c r="AH75">
        <v>6</v>
      </c>
      <c r="AI75">
        <v>6</v>
      </c>
      <c r="AJ75">
        <v>0</v>
      </c>
      <c r="AK75">
        <v>9</v>
      </c>
      <c r="AL75" t="s">
        <v>149</v>
      </c>
      <c r="AM75" t="s">
        <v>93</v>
      </c>
      <c r="AN75" t="s">
        <v>150</v>
      </c>
      <c r="AO75" t="s">
        <v>1752</v>
      </c>
      <c r="AP75" t="s">
        <v>1753</v>
      </c>
      <c r="AQ75" t="s">
        <v>74</v>
      </c>
      <c r="AR75" t="s">
        <v>1754</v>
      </c>
      <c r="AS75" t="s">
        <v>1755</v>
      </c>
      <c r="AT75" t="s">
        <v>98</v>
      </c>
      <c r="AU75">
        <v>2018</v>
      </c>
      <c r="AV75">
        <v>177</v>
      </c>
      <c r="AW75" t="s">
        <v>74</v>
      </c>
      <c r="AX75" t="s">
        <v>74</v>
      </c>
      <c r="AY75" t="s">
        <v>74</v>
      </c>
      <c r="AZ75" t="s">
        <v>155</v>
      </c>
      <c r="BA75" t="s">
        <v>74</v>
      </c>
      <c r="BB75">
        <v>218</v>
      </c>
      <c r="BC75">
        <v>227</v>
      </c>
      <c r="BD75" t="s">
        <v>74</v>
      </c>
      <c r="BE75" t="s">
        <v>1775</v>
      </c>
      <c r="BF75" t="str">
        <f>HYPERLINK("http://dx.doi.org/10.1016/j.jastp.2017.07.003","http://dx.doi.org/10.1016/j.jastp.2017.07.003")</f>
        <v>http://dx.doi.org/10.1016/j.jastp.2017.07.003</v>
      </c>
      <c r="BG75" t="s">
        <v>74</v>
      </c>
      <c r="BH75" t="s">
        <v>74</v>
      </c>
      <c r="BI75">
        <v>10</v>
      </c>
      <c r="BJ75" t="s">
        <v>1757</v>
      </c>
      <c r="BK75" t="s">
        <v>158</v>
      </c>
      <c r="BL75" t="s">
        <v>1757</v>
      </c>
      <c r="BM75" t="s">
        <v>1758</v>
      </c>
      <c r="BN75" t="s">
        <v>74</v>
      </c>
      <c r="BO75" t="s">
        <v>211</v>
      </c>
      <c r="BP75" t="s">
        <v>74</v>
      </c>
      <c r="BQ75" t="s">
        <v>74</v>
      </c>
      <c r="BR75" t="s">
        <v>104</v>
      </c>
      <c r="BS75" t="s">
        <v>1776</v>
      </c>
      <c r="BT75" t="str">
        <f>HYPERLINK("https%3A%2F%2Fwww.webofscience.com%2Fwos%2Fwoscc%2Ffull-record%2FWOS:000447110300024","View Full Record in Web of Science")</f>
        <v>View Full Record in Web of Science</v>
      </c>
    </row>
    <row r="76" spans="1:72" x14ac:dyDescent="0.15">
      <c r="A76" t="s">
        <v>72</v>
      </c>
      <c r="B76" t="s">
        <v>1777</v>
      </c>
      <c r="C76" t="s">
        <v>74</v>
      </c>
      <c r="D76" t="s">
        <v>74</v>
      </c>
      <c r="E76" t="s">
        <v>74</v>
      </c>
      <c r="F76" t="s">
        <v>1778</v>
      </c>
      <c r="G76" t="s">
        <v>74</v>
      </c>
      <c r="H76" t="s">
        <v>74</v>
      </c>
      <c r="I76" t="s">
        <v>1779</v>
      </c>
      <c r="J76" t="s">
        <v>1780</v>
      </c>
      <c r="K76" t="s">
        <v>74</v>
      </c>
      <c r="L76" t="s">
        <v>74</v>
      </c>
      <c r="M76" t="s">
        <v>78</v>
      </c>
      <c r="N76" t="s">
        <v>79</v>
      </c>
      <c r="O76" t="s">
        <v>74</v>
      </c>
      <c r="P76" t="s">
        <v>74</v>
      </c>
      <c r="Q76" t="s">
        <v>74</v>
      </c>
      <c r="R76" t="s">
        <v>74</v>
      </c>
      <c r="S76" t="s">
        <v>74</v>
      </c>
      <c r="T76" t="s">
        <v>1781</v>
      </c>
      <c r="U76" t="s">
        <v>1782</v>
      </c>
      <c r="V76" t="s">
        <v>1783</v>
      </c>
      <c r="W76" t="s">
        <v>1784</v>
      </c>
      <c r="X76" t="s">
        <v>1785</v>
      </c>
      <c r="Y76" t="s">
        <v>1786</v>
      </c>
      <c r="Z76" t="s">
        <v>1787</v>
      </c>
      <c r="AA76" t="s">
        <v>1788</v>
      </c>
      <c r="AB76" t="s">
        <v>1789</v>
      </c>
      <c r="AC76" t="s">
        <v>1790</v>
      </c>
      <c r="AD76" t="s">
        <v>1791</v>
      </c>
      <c r="AE76" t="s">
        <v>1792</v>
      </c>
      <c r="AF76" t="s">
        <v>74</v>
      </c>
      <c r="AG76">
        <v>52</v>
      </c>
      <c r="AH76">
        <v>10</v>
      </c>
      <c r="AI76">
        <v>10</v>
      </c>
      <c r="AJ76">
        <v>2</v>
      </c>
      <c r="AK76">
        <v>9</v>
      </c>
      <c r="AL76" t="s">
        <v>1793</v>
      </c>
      <c r="AM76" t="s">
        <v>1794</v>
      </c>
      <c r="AN76" t="s">
        <v>1795</v>
      </c>
      <c r="AO76" t="s">
        <v>1796</v>
      </c>
      <c r="AP76" t="s">
        <v>1797</v>
      </c>
      <c r="AQ76" t="s">
        <v>74</v>
      </c>
      <c r="AR76" t="s">
        <v>1798</v>
      </c>
      <c r="AS76" t="s">
        <v>1799</v>
      </c>
      <c r="AT76" t="s">
        <v>98</v>
      </c>
      <c r="AU76">
        <v>2018</v>
      </c>
      <c r="AV76">
        <v>15</v>
      </c>
      <c r="AW76">
        <v>10</v>
      </c>
      <c r="AX76" t="s">
        <v>74</v>
      </c>
      <c r="AY76" t="s">
        <v>74</v>
      </c>
      <c r="AZ76" t="s">
        <v>74</v>
      </c>
      <c r="BA76" t="s">
        <v>74</v>
      </c>
      <c r="BB76">
        <v>2103</v>
      </c>
      <c r="BC76">
        <v>2119</v>
      </c>
      <c r="BD76" t="s">
        <v>74</v>
      </c>
      <c r="BE76" t="s">
        <v>1800</v>
      </c>
      <c r="BF76" t="str">
        <f>HYPERLINK("http://dx.doi.org/10.1007/s11629-018-4873-x","http://dx.doi.org/10.1007/s11629-018-4873-x")</f>
        <v>http://dx.doi.org/10.1007/s11629-018-4873-x</v>
      </c>
      <c r="BG76" t="s">
        <v>74</v>
      </c>
      <c r="BH76" t="s">
        <v>74</v>
      </c>
      <c r="BI76">
        <v>17</v>
      </c>
      <c r="BJ76" t="s">
        <v>558</v>
      </c>
      <c r="BK76" t="s">
        <v>101</v>
      </c>
      <c r="BL76" t="s">
        <v>559</v>
      </c>
      <c r="BM76" t="s">
        <v>1801</v>
      </c>
      <c r="BN76" t="s">
        <v>74</v>
      </c>
      <c r="BO76" t="s">
        <v>74</v>
      </c>
      <c r="BP76" t="s">
        <v>74</v>
      </c>
      <c r="BQ76" t="s">
        <v>74</v>
      </c>
      <c r="BR76" t="s">
        <v>104</v>
      </c>
      <c r="BS76" t="s">
        <v>1802</v>
      </c>
      <c r="BT76" t="str">
        <f>HYPERLINK("https%3A%2F%2Fwww.webofscience.com%2Fwos%2Fwoscc%2Ffull-record%2FWOS:000447295900002","View Full Record in Web of Science")</f>
        <v>View Full Record in Web of Science</v>
      </c>
    </row>
    <row r="77" spans="1:72" x14ac:dyDescent="0.15">
      <c r="A77" t="s">
        <v>72</v>
      </c>
      <c r="B77" t="s">
        <v>1803</v>
      </c>
      <c r="C77" t="s">
        <v>74</v>
      </c>
      <c r="D77" t="s">
        <v>74</v>
      </c>
      <c r="E77" t="s">
        <v>74</v>
      </c>
      <c r="F77" t="s">
        <v>1804</v>
      </c>
      <c r="G77" t="s">
        <v>74</v>
      </c>
      <c r="H77" t="s">
        <v>74</v>
      </c>
      <c r="I77" t="s">
        <v>1805</v>
      </c>
      <c r="J77" t="s">
        <v>949</v>
      </c>
      <c r="K77" t="s">
        <v>74</v>
      </c>
      <c r="L77" t="s">
        <v>74</v>
      </c>
      <c r="M77" t="s">
        <v>78</v>
      </c>
      <c r="N77" t="s">
        <v>79</v>
      </c>
      <c r="O77" t="s">
        <v>74</v>
      </c>
      <c r="P77" t="s">
        <v>74</v>
      </c>
      <c r="Q77" t="s">
        <v>74</v>
      </c>
      <c r="R77" t="s">
        <v>74</v>
      </c>
      <c r="S77" t="s">
        <v>74</v>
      </c>
      <c r="T77" t="s">
        <v>1806</v>
      </c>
      <c r="U77" t="s">
        <v>1807</v>
      </c>
      <c r="V77" t="s">
        <v>1808</v>
      </c>
      <c r="W77" t="s">
        <v>1809</v>
      </c>
      <c r="X77" t="s">
        <v>1810</v>
      </c>
      <c r="Y77" t="s">
        <v>1811</v>
      </c>
      <c r="Z77" t="s">
        <v>1812</v>
      </c>
      <c r="AA77" t="s">
        <v>74</v>
      </c>
      <c r="AB77" t="s">
        <v>74</v>
      </c>
      <c r="AC77" t="s">
        <v>1813</v>
      </c>
      <c r="AD77" t="s">
        <v>1814</v>
      </c>
      <c r="AE77" t="s">
        <v>1815</v>
      </c>
      <c r="AF77" t="s">
        <v>74</v>
      </c>
      <c r="AG77">
        <v>76</v>
      </c>
      <c r="AH77">
        <v>36</v>
      </c>
      <c r="AI77">
        <v>38</v>
      </c>
      <c r="AJ77">
        <v>0</v>
      </c>
      <c r="AK77">
        <v>16</v>
      </c>
      <c r="AL77" t="s">
        <v>785</v>
      </c>
      <c r="AM77" t="s">
        <v>786</v>
      </c>
      <c r="AN77" t="s">
        <v>787</v>
      </c>
      <c r="AO77" t="s">
        <v>962</v>
      </c>
      <c r="AP77" t="s">
        <v>963</v>
      </c>
      <c r="AQ77" t="s">
        <v>74</v>
      </c>
      <c r="AR77" t="s">
        <v>964</v>
      </c>
      <c r="AS77" t="s">
        <v>965</v>
      </c>
      <c r="AT77" t="s">
        <v>98</v>
      </c>
      <c r="AU77">
        <v>2018</v>
      </c>
      <c r="AV77">
        <v>48</v>
      </c>
      <c r="AW77">
        <v>10</v>
      </c>
      <c r="AX77" t="s">
        <v>74</v>
      </c>
      <c r="AY77" t="s">
        <v>74</v>
      </c>
      <c r="AZ77" t="s">
        <v>74</v>
      </c>
      <c r="BA77" t="s">
        <v>74</v>
      </c>
      <c r="BB77">
        <v>2419</v>
      </c>
      <c r="BC77">
        <v>2443</v>
      </c>
      <c r="BD77" t="s">
        <v>74</v>
      </c>
      <c r="BE77" t="s">
        <v>1816</v>
      </c>
      <c r="BF77" t="str">
        <f>HYPERLINK("http://dx.doi.org/10.1175/JPO-D-18-0064.1","http://dx.doi.org/10.1175/JPO-D-18-0064.1")</f>
        <v>http://dx.doi.org/10.1175/JPO-D-18-0064.1</v>
      </c>
      <c r="BG77" t="s">
        <v>74</v>
      </c>
      <c r="BH77" t="s">
        <v>74</v>
      </c>
      <c r="BI77">
        <v>25</v>
      </c>
      <c r="BJ77" t="s">
        <v>157</v>
      </c>
      <c r="BK77" t="s">
        <v>101</v>
      </c>
      <c r="BL77" t="s">
        <v>157</v>
      </c>
      <c r="BM77" t="s">
        <v>1817</v>
      </c>
      <c r="BN77" t="s">
        <v>74</v>
      </c>
      <c r="BO77" t="s">
        <v>1818</v>
      </c>
      <c r="BP77" t="s">
        <v>74</v>
      </c>
      <c r="BQ77" t="s">
        <v>74</v>
      </c>
      <c r="BR77" t="s">
        <v>104</v>
      </c>
      <c r="BS77" t="s">
        <v>1819</v>
      </c>
      <c r="BT77" t="str">
        <f>HYPERLINK("https%3A%2F%2Fwww.webofscience.com%2Fwos%2Fwoscc%2Ffull-record%2FWOS:000446819000003","View Full Record in Web of Science")</f>
        <v>View Full Record in Web of Science</v>
      </c>
    </row>
    <row r="78" spans="1:72" x14ac:dyDescent="0.15">
      <c r="A78" t="s">
        <v>72</v>
      </c>
      <c r="B78" t="s">
        <v>1820</v>
      </c>
      <c r="C78" t="s">
        <v>74</v>
      </c>
      <c r="D78" t="s">
        <v>74</v>
      </c>
      <c r="E78" t="s">
        <v>74</v>
      </c>
      <c r="F78" t="s">
        <v>1821</v>
      </c>
      <c r="G78" t="s">
        <v>74</v>
      </c>
      <c r="H78" t="s">
        <v>74</v>
      </c>
      <c r="I78" t="s">
        <v>1822</v>
      </c>
      <c r="J78" t="s">
        <v>1823</v>
      </c>
      <c r="K78" t="s">
        <v>74</v>
      </c>
      <c r="L78" t="s">
        <v>74</v>
      </c>
      <c r="M78" t="s">
        <v>78</v>
      </c>
      <c r="N78" t="s">
        <v>79</v>
      </c>
      <c r="O78" t="s">
        <v>74</v>
      </c>
      <c r="P78" t="s">
        <v>74</v>
      </c>
      <c r="Q78" t="s">
        <v>74</v>
      </c>
      <c r="R78" t="s">
        <v>74</v>
      </c>
      <c r="S78" t="s">
        <v>74</v>
      </c>
      <c r="T78" t="s">
        <v>74</v>
      </c>
      <c r="U78" t="s">
        <v>1824</v>
      </c>
      <c r="V78" t="s">
        <v>1825</v>
      </c>
      <c r="W78" t="s">
        <v>1826</v>
      </c>
      <c r="X78" t="s">
        <v>1827</v>
      </c>
      <c r="Y78" t="s">
        <v>1828</v>
      </c>
      <c r="Z78" t="s">
        <v>1829</v>
      </c>
      <c r="AA78" t="s">
        <v>74</v>
      </c>
      <c r="AB78" t="s">
        <v>74</v>
      </c>
      <c r="AC78" t="s">
        <v>1830</v>
      </c>
      <c r="AD78" t="s">
        <v>1831</v>
      </c>
      <c r="AE78" t="s">
        <v>1832</v>
      </c>
      <c r="AF78" t="s">
        <v>74</v>
      </c>
      <c r="AG78">
        <v>63</v>
      </c>
      <c r="AH78">
        <v>8</v>
      </c>
      <c r="AI78">
        <v>10</v>
      </c>
      <c r="AJ78">
        <v>0</v>
      </c>
      <c r="AK78">
        <v>8</v>
      </c>
      <c r="AL78" t="s">
        <v>758</v>
      </c>
      <c r="AM78" t="s">
        <v>759</v>
      </c>
      <c r="AN78" t="s">
        <v>760</v>
      </c>
      <c r="AO78" t="s">
        <v>1833</v>
      </c>
      <c r="AP78" t="s">
        <v>74</v>
      </c>
      <c r="AQ78" t="s">
        <v>74</v>
      </c>
      <c r="AR78" t="s">
        <v>1834</v>
      </c>
      <c r="AS78" t="s">
        <v>1835</v>
      </c>
      <c r="AT78" t="s">
        <v>98</v>
      </c>
      <c r="AU78">
        <v>2018</v>
      </c>
      <c r="AV78">
        <v>16</v>
      </c>
      <c r="AW78">
        <v>10</v>
      </c>
      <c r="AX78" t="s">
        <v>74</v>
      </c>
      <c r="AY78" t="s">
        <v>74</v>
      </c>
      <c r="AZ78" t="s">
        <v>74</v>
      </c>
      <c r="BA78" t="s">
        <v>74</v>
      </c>
      <c r="BB78">
        <v>680</v>
      </c>
      <c r="BC78">
        <v>695</v>
      </c>
      <c r="BD78" t="s">
        <v>74</v>
      </c>
      <c r="BE78" t="s">
        <v>1836</v>
      </c>
      <c r="BF78" t="str">
        <f>HYPERLINK("http://dx.doi.org/10.1002/lom3.10275","http://dx.doi.org/10.1002/lom3.10275")</f>
        <v>http://dx.doi.org/10.1002/lom3.10275</v>
      </c>
      <c r="BG78" t="s">
        <v>74</v>
      </c>
      <c r="BH78" t="s">
        <v>74</v>
      </c>
      <c r="BI78">
        <v>16</v>
      </c>
      <c r="BJ78" t="s">
        <v>1837</v>
      </c>
      <c r="BK78" t="s">
        <v>101</v>
      </c>
      <c r="BL78" t="s">
        <v>1838</v>
      </c>
      <c r="BM78" t="s">
        <v>1839</v>
      </c>
      <c r="BN78" t="s">
        <v>74</v>
      </c>
      <c r="BO78" t="s">
        <v>712</v>
      </c>
      <c r="BP78" t="s">
        <v>74</v>
      </c>
      <c r="BQ78" t="s">
        <v>74</v>
      </c>
      <c r="BR78" t="s">
        <v>104</v>
      </c>
      <c r="BS78" t="s">
        <v>1840</v>
      </c>
      <c r="BT78" t="str">
        <f>HYPERLINK("https%3A%2F%2Fwww.webofscience.com%2Fwos%2Fwoscc%2Ffull-record%2FWOS:000447207700006","View Full Record in Web of Science")</f>
        <v>View Full Record in Web of Science</v>
      </c>
    </row>
    <row r="79" spans="1:72" x14ac:dyDescent="0.15">
      <c r="A79" t="s">
        <v>72</v>
      </c>
      <c r="B79" t="s">
        <v>1841</v>
      </c>
      <c r="C79" t="s">
        <v>74</v>
      </c>
      <c r="D79" t="s">
        <v>74</v>
      </c>
      <c r="E79" t="s">
        <v>74</v>
      </c>
      <c r="F79" t="s">
        <v>1842</v>
      </c>
      <c r="G79" t="s">
        <v>74</v>
      </c>
      <c r="H79" t="s">
        <v>74</v>
      </c>
      <c r="I79" t="s">
        <v>1843</v>
      </c>
      <c r="J79" t="s">
        <v>1844</v>
      </c>
      <c r="K79" t="s">
        <v>74</v>
      </c>
      <c r="L79" t="s">
        <v>74</v>
      </c>
      <c r="M79" t="s">
        <v>78</v>
      </c>
      <c r="N79" t="s">
        <v>273</v>
      </c>
      <c r="O79" t="s">
        <v>74</v>
      </c>
      <c r="P79" t="s">
        <v>74</v>
      </c>
      <c r="Q79" t="s">
        <v>74</v>
      </c>
      <c r="R79" t="s">
        <v>74</v>
      </c>
      <c r="S79" t="s">
        <v>74</v>
      </c>
      <c r="T79" t="s">
        <v>1845</v>
      </c>
      <c r="U79" t="s">
        <v>1846</v>
      </c>
      <c r="V79" t="s">
        <v>1847</v>
      </c>
      <c r="W79" t="s">
        <v>1848</v>
      </c>
      <c r="X79" t="s">
        <v>74</v>
      </c>
      <c r="Y79" t="s">
        <v>1849</v>
      </c>
      <c r="Z79" t="s">
        <v>1850</v>
      </c>
      <c r="AA79" t="s">
        <v>1851</v>
      </c>
      <c r="AB79" t="s">
        <v>1852</v>
      </c>
      <c r="AC79" t="s">
        <v>1853</v>
      </c>
      <c r="AD79" t="s">
        <v>1854</v>
      </c>
      <c r="AE79" t="s">
        <v>1855</v>
      </c>
      <c r="AF79" t="s">
        <v>74</v>
      </c>
      <c r="AG79">
        <v>51</v>
      </c>
      <c r="AH79">
        <v>22</v>
      </c>
      <c r="AI79">
        <v>22</v>
      </c>
      <c r="AJ79">
        <v>2</v>
      </c>
      <c r="AK79">
        <v>38</v>
      </c>
      <c r="AL79" t="s">
        <v>758</v>
      </c>
      <c r="AM79" t="s">
        <v>759</v>
      </c>
      <c r="AN79" t="s">
        <v>760</v>
      </c>
      <c r="AO79" t="s">
        <v>1856</v>
      </c>
      <c r="AP79" t="s">
        <v>1857</v>
      </c>
      <c r="AQ79" t="s">
        <v>74</v>
      </c>
      <c r="AR79" t="s">
        <v>1858</v>
      </c>
      <c r="AS79" t="s">
        <v>1859</v>
      </c>
      <c r="AT79" t="s">
        <v>98</v>
      </c>
      <c r="AU79">
        <v>2018</v>
      </c>
      <c r="AV79">
        <v>96</v>
      </c>
      <c r="AW79">
        <v>2</v>
      </c>
      <c r="AX79" t="s">
        <v>74</v>
      </c>
      <c r="AY79" t="s">
        <v>74</v>
      </c>
      <c r="AZ79" t="s">
        <v>74</v>
      </c>
      <c r="BA79" t="s">
        <v>74</v>
      </c>
      <c r="BB79">
        <v>251</v>
      </c>
      <c r="BC79">
        <v>259</v>
      </c>
      <c r="BD79" t="s">
        <v>74</v>
      </c>
      <c r="BE79" t="s">
        <v>1860</v>
      </c>
      <c r="BF79" t="str">
        <f>HYPERLINK("http://dx.doi.org/10.1111/tpj.14059","http://dx.doi.org/10.1111/tpj.14059")</f>
        <v>http://dx.doi.org/10.1111/tpj.14059</v>
      </c>
      <c r="BG79" t="s">
        <v>74</v>
      </c>
      <c r="BH79" t="s">
        <v>74</v>
      </c>
      <c r="BI79">
        <v>9</v>
      </c>
      <c r="BJ79" t="s">
        <v>237</v>
      </c>
      <c r="BK79" t="s">
        <v>101</v>
      </c>
      <c r="BL79" t="s">
        <v>237</v>
      </c>
      <c r="BM79" t="s">
        <v>1861</v>
      </c>
      <c r="BN79">
        <v>30091802</v>
      </c>
      <c r="BO79" t="s">
        <v>712</v>
      </c>
      <c r="BP79" t="s">
        <v>74</v>
      </c>
      <c r="BQ79" t="s">
        <v>74</v>
      </c>
      <c r="BR79" t="s">
        <v>104</v>
      </c>
      <c r="BS79" t="s">
        <v>1862</v>
      </c>
      <c r="BT79" t="str">
        <f>HYPERLINK("https%3A%2F%2Fwww.webofscience.com%2Fwos%2Fwoscc%2Ffull-record%2FWOS:000446672300003","View Full Record in Web of Science")</f>
        <v>View Full Record in Web of Science</v>
      </c>
    </row>
    <row r="80" spans="1:72" x14ac:dyDescent="0.15">
      <c r="A80" t="s">
        <v>72</v>
      </c>
      <c r="B80" t="s">
        <v>1863</v>
      </c>
      <c r="C80" t="s">
        <v>74</v>
      </c>
      <c r="D80" t="s">
        <v>74</v>
      </c>
      <c r="E80" t="s">
        <v>74</v>
      </c>
      <c r="F80" t="s">
        <v>1864</v>
      </c>
      <c r="G80" t="s">
        <v>74</v>
      </c>
      <c r="H80" t="s">
        <v>74</v>
      </c>
      <c r="I80" t="s">
        <v>1865</v>
      </c>
      <c r="J80" t="s">
        <v>1866</v>
      </c>
      <c r="K80" t="s">
        <v>74</v>
      </c>
      <c r="L80" t="s">
        <v>74</v>
      </c>
      <c r="M80" t="s">
        <v>78</v>
      </c>
      <c r="N80" t="s">
        <v>79</v>
      </c>
      <c r="O80" t="s">
        <v>74</v>
      </c>
      <c r="P80" t="s">
        <v>74</v>
      </c>
      <c r="Q80" t="s">
        <v>74</v>
      </c>
      <c r="R80" t="s">
        <v>74</v>
      </c>
      <c r="S80" t="s">
        <v>74</v>
      </c>
      <c r="T80" t="s">
        <v>1867</v>
      </c>
      <c r="U80" t="s">
        <v>1868</v>
      </c>
      <c r="V80" t="s">
        <v>1869</v>
      </c>
      <c r="W80" t="s">
        <v>1870</v>
      </c>
      <c r="X80" t="s">
        <v>1871</v>
      </c>
      <c r="Y80" t="s">
        <v>1872</v>
      </c>
      <c r="Z80" t="s">
        <v>1873</v>
      </c>
      <c r="AA80" t="s">
        <v>1874</v>
      </c>
      <c r="AB80" t="s">
        <v>1875</v>
      </c>
      <c r="AC80" t="s">
        <v>1876</v>
      </c>
      <c r="AD80" t="s">
        <v>1877</v>
      </c>
      <c r="AE80" t="s">
        <v>1878</v>
      </c>
      <c r="AF80" t="s">
        <v>74</v>
      </c>
      <c r="AG80">
        <v>136</v>
      </c>
      <c r="AH80">
        <v>16</v>
      </c>
      <c r="AI80">
        <v>16</v>
      </c>
      <c r="AJ80">
        <v>0</v>
      </c>
      <c r="AK80">
        <v>18</v>
      </c>
      <c r="AL80" t="s">
        <v>149</v>
      </c>
      <c r="AM80" t="s">
        <v>93</v>
      </c>
      <c r="AN80" t="s">
        <v>150</v>
      </c>
      <c r="AO80" t="s">
        <v>1879</v>
      </c>
      <c r="AP80" t="s">
        <v>74</v>
      </c>
      <c r="AQ80" t="s">
        <v>74</v>
      </c>
      <c r="AR80" t="s">
        <v>1880</v>
      </c>
      <c r="AS80" t="s">
        <v>1881</v>
      </c>
      <c r="AT80" t="s">
        <v>291</v>
      </c>
      <c r="AU80">
        <v>2018</v>
      </c>
      <c r="AV80">
        <v>197</v>
      </c>
      <c r="AW80" t="s">
        <v>74</v>
      </c>
      <c r="AX80" t="s">
        <v>74</v>
      </c>
      <c r="AY80" t="s">
        <v>74</v>
      </c>
      <c r="AZ80" t="s">
        <v>74</v>
      </c>
      <c r="BA80" t="s">
        <v>74</v>
      </c>
      <c r="BB80">
        <v>92</v>
      </c>
      <c r="BC80">
        <v>111</v>
      </c>
      <c r="BD80" t="s">
        <v>74</v>
      </c>
      <c r="BE80" t="s">
        <v>1882</v>
      </c>
      <c r="BF80" t="str">
        <f>HYPERLINK("http://dx.doi.org/10.1016/j.quascirev.2018.07.036","http://dx.doi.org/10.1016/j.quascirev.2018.07.036")</f>
        <v>http://dx.doi.org/10.1016/j.quascirev.2018.07.036</v>
      </c>
      <c r="BG80" t="s">
        <v>74</v>
      </c>
      <c r="BH80" t="s">
        <v>74</v>
      </c>
      <c r="BI80">
        <v>20</v>
      </c>
      <c r="BJ80" t="s">
        <v>208</v>
      </c>
      <c r="BK80" t="s">
        <v>101</v>
      </c>
      <c r="BL80" t="s">
        <v>209</v>
      </c>
      <c r="BM80" t="s">
        <v>1883</v>
      </c>
      <c r="BN80" t="s">
        <v>74</v>
      </c>
      <c r="BO80" t="s">
        <v>1884</v>
      </c>
      <c r="BP80" t="s">
        <v>74</v>
      </c>
      <c r="BQ80" t="s">
        <v>74</v>
      </c>
      <c r="BR80" t="s">
        <v>104</v>
      </c>
      <c r="BS80" t="s">
        <v>1885</v>
      </c>
      <c r="BT80" t="str">
        <f>HYPERLINK("https%3A%2F%2Fwww.webofscience.com%2Fwos%2Fwoscc%2Ffull-record%2FWOS:000447085200006","View Full Record in Web of Science")</f>
        <v>View Full Record in Web of Science</v>
      </c>
    </row>
    <row r="81" spans="1:72" x14ac:dyDescent="0.15">
      <c r="A81" t="s">
        <v>72</v>
      </c>
      <c r="B81" t="s">
        <v>1886</v>
      </c>
      <c r="C81" t="s">
        <v>74</v>
      </c>
      <c r="D81" t="s">
        <v>74</v>
      </c>
      <c r="E81" t="s">
        <v>74</v>
      </c>
      <c r="F81" t="s">
        <v>1887</v>
      </c>
      <c r="G81" t="s">
        <v>74</v>
      </c>
      <c r="H81" t="s">
        <v>74</v>
      </c>
      <c r="I81" t="s">
        <v>1888</v>
      </c>
      <c r="J81" t="s">
        <v>1889</v>
      </c>
      <c r="K81" t="s">
        <v>74</v>
      </c>
      <c r="L81" t="s">
        <v>74</v>
      </c>
      <c r="M81" t="s">
        <v>78</v>
      </c>
      <c r="N81" t="s">
        <v>79</v>
      </c>
      <c r="O81" t="s">
        <v>74</v>
      </c>
      <c r="P81" t="s">
        <v>74</v>
      </c>
      <c r="Q81" t="s">
        <v>74</v>
      </c>
      <c r="R81" t="s">
        <v>74</v>
      </c>
      <c r="S81" t="s">
        <v>74</v>
      </c>
      <c r="T81" t="s">
        <v>74</v>
      </c>
      <c r="U81" t="s">
        <v>1890</v>
      </c>
      <c r="V81" t="s">
        <v>1891</v>
      </c>
      <c r="W81" t="s">
        <v>1892</v>
      </c>
      <c r="X81" t="s">
        <v>1893</v>
      </c>
      <c r="Y81" t="s">
        <v>1894</v>
      </c>
      <c r="Z81" t="s">
        <v>1895</v>
      </c>
      <c r="AA81" t="s">
        <v>1896</v>
      </c>
      <c r="AB81" t="s">
        <v>1897</v>
      </c>
      <c r="AC81" t="s">
        <v>1898</v>
      </c>
      <c r="AD81" t="s">
        <v>1899</v>
      </c>
      <c r="AE81" t="s">
        <v>1900</v>
      </c>
      <c r="AF81" t="s">
        <v>74</v>
      </c>
      <c r="AG81">
        <v>34</v>
      </c>
      <c r="AH81">
        <v>11</v>
      </c>
      <c r="AI81">
        <v>11</v>
      </c>
      <c r="AJ81">
        <v>0</v>
      </c>
      <c r="AK81">
        <v>17</v>
      </c>
      <c r="AL81" t="s">
        <v>1901</v>
      </c>
      <c r="AM81" t="s">
        <v>1902</v>
      </c>
      <c r="AN81" t="s">
        <v>1903</v>
      </c>
      <c r="AO81" t="s">
        <v>1904</v>
      </c>
      <c r="AP81" t="s">
        <v>1905</v>
      </c>
      <c r="AQ81" t="s">
        <v>74</v>
      </c>
      <c r="AR81" t="s">
        <v>1906</v>
      </c>
      <c r="AS81" t="s">
        <v>1907</v>
      </c>
      <c r="AT81" t="s">
        <v>98</v>
      </c>
      <c r="AU81">
        <v>2018</v>
      </c>
      <c r="AV81">
        <v>134</v>
      </c>
      <c r="AW81" t="s">
        <v>1908</v>
      </c>
      <c r="AX81" t="s">
        <v>74</v>
      </c>
      <c r="AY81" t="s">
        <v>74</v>
      </c>
      <c r="AZ81" t="s">
        <v>74</v>
      </c>
      <c r="BA81" t="s">
        <v>74</v>
      </c>
      <c r="BB81">
        <v>193</v>
      </c>
      <c r="BC81">
        <v>204</v>
      </c>
      <c r="BD81" t="s">
        <v>74</v>
      </c>
      <c r="BE81" t="s">
        <v>1909</v>
      </c>
      <c r="BF81" t="str">
        <f>HYPERLINK("http://dx.doi.org/10.1007/s00704-017-2268-5","http://dx.doi.org/10.1007/s00704-017-2268-5")</f>
        <v>http://dx.doi.org/10.1007/s00704-017-2268-5</v>
      </c>
      <c r="BG81" t="s">
        <v>74</v>
      </c>
      <c r="BH81" t="s">
        <v>74</v>
      </c>
      <c r="BI81">
        <v>12</v>
      </c>
      <c r="BJ81" t="s">
        <v>369</v>
      </c>
      <c r="BK81" t="s">
        <v>101</v>
      </c>
      <c r="BL81" t="s">
        <v>369</v>
      </c>
      <c r="BM81" t="s">
        <v>1910</v>
      </c>
      <c r="BN81" t="s">
        <v>74</v>
      </c>
      <c r="BO81" t="s">
        <v>74</v>
      </c>
      <c r="BP81" t="s">
        <v>74</v>
      </c>
      <c r="BQ81" t="s">
        <v>74</v>
      </c>
      <c r="BR81" t="s">
        <v>104</v>
      </c>
      <c r="BS81" t="s">
        <v>1911</v>
      </c>
      <c r="BT81" t="str">
        <f>HYPERLINK("https%3A%2F%2Fwww.webofscience.com%2Fwos%2Fwoscc%2Ffull-record%2FWOS:000446552300014","View Full Record in Web of Science")</f>
        <v>View Full Record in Web of Science</v>
      </c>
    </row>
    <row r="82" spans="1:72" x14ac:dyDescent="0.15">
      <c r="A82" t="s">
        <v>72</v>
      </c>
      <c r="B82" t="s">
        <v>1912</v>
      </c>
      <c r="C82" t="s">
        <v>74</v>
      </c>
      <c r="D82" t="s">
        <v>74</v>
      </c>
      <c r="E82" t="s">
        <v>74</v>
      </c>
      <c r="F82" t="s">
        <v>1913</v>
      </c>
      <c r="G82" t="s">
        <v>74</v>
      </c>
      <c r="H82" t="s">
        <v>74</v>
      </c>
      <c r="I82" t="s">
        <v>1914</v>
      </c>
      <c r="J82" t="s">
        <v>244</v>
      </c>
      <c r="K82" t="s">
        <v>74</v>
      </c>
      <c r="L82" t="s">
        <v>74</v>
      </c>
      <c r="M82" t="s">
        <v>78</v>
      </c>
      <c r="N82" t="s">
        <v>79</v>
      </c>
      <c r="O82" t="s">
        <v>74</v>
      </c>
      <c r="P82" t="s">
        <v>74</v>
      </c>
      <c r="Q82" t="s">
        <v>74</v>
      </c>
      <c r="R82" t="s">
        <v>74</v>
      </c>
      <c r="S82" t="s">
        <v>74</v>
      </c>
      <c r="T82" t="s">
        <v>1915</v>
      </c>
      <c r="U82" t="s">
        <v>1916</v>
      </c>
      <c r="V82" t="s">
        <v>1917</v>
      </c>
      <c r="W82" t="s">
        <v>1918</v>
      </c>
      <c r="X82" t="s">
        <v>1919</v>
      </c>
      <c r="Y82" t="s">
        <v>1920</v>
      </c>
      <c r="Z82" t="s">
        <v>1921</v>
      </c>
      <c r="AA82" t="s">
        <v>1922</v>
      </c>
      <c r="AB82" t="s">
        <v>1923</v>
      </c>
      <c r="AC82" t="s">
        <v>1924</v>
      </c>
      <c r="AD82" t="s">
        <v>1925</v>
      </c>
      <c r="AE82" t="s">
        <v>1926</v>
      </c>
      <c r="AF82" t="s">
        <v>74</v>
      </c>
      <c r="AG82">
        <v>41</v>
      </c>
      <c r="AH82">
        <v>6</v>
      </c>
      <c r="AI82">
        <v>6</v>
      </c>
      <c r="AJ82">
        <v>2</v>
      </c>
      <c r="AK82">
        <v>24</v>
      </c>
      <c r="AL82" t="s">
        <v>257</v>
      </c>
      <c r="AM82" t="s">
        <v>258</v>
      </c>
      <c r="AN82" t="s">
        <v>259</v>
      </c>
      <c r="AO82" t="s">
        <v>260</v>
      </c>
      <c r="AP82" t="s">
        <v>261</v>
      </c>
      <c r="AQ82" t="s">
        <v>74</v>
      </c>
      <c r="AR82" t="s">
        <v>262</v>
      </c>
      <c r="AS82" t="s">
        <v>263</v>
      </c>
      <c r="AT82" t="s">
        <v>98</v>
      </c>
      <c r="AU82">
        <v>2018</v>
      </c>
      <c r="AV82">
        <v>30</v>
      </c>
      <c r="AW82">
        <v>5</v>
      </c>
      <c r="AX82" t="s">
        <v>74</v>
      </c>
      <c r="AY82" t="s">
        <v>74</v>
      </c>
      <c r="AZ82" t="s">
        <v>74</v>
      </c>
      <c r="BA82" t="s">
        <v>74</v>
      </c>
      <c r="BB82">
        <v>278</v>
      </c>
      <c r="BC82">
        <v>288</v>
      </c>
      <c r="BD82" t="s">
        <v>74</v>
      </c>
      <c r="BE82" t="s">
        <v>1927</v>
      </c>
      <c r="BF82" t="str">
        <f>HYPERLINK("http://dx.doi.org/10.1017/S095410201800024X","http://dx.doi.org/10.1017/S095410201800024X")</f>
        <v>http://dx.doi.org/10.1017/S095410201800024X</v>
      </c>
      <c r="BG82" t="s">
        <v>74</v>
      </c>
      <c r="BH82" t="s">
        <v>74</v>
      </c>
      <c r="BI82">
        <v>11</v>
      </c>
      <c r="BJ82" t="s">
        <v>265</v>
      </c>
      <c r="BK82" t="s">
        <v>101</v>
      </c>
      <c r="BL82" t="s">
        <v>266</v>
      </c>
      <c r="BM82" t="s">
        <v>267</v>
      </c>
      <c r="BN82" t="s">
        <v>74</v>
      </c>
      <c r="BO82" t="s">
        <v>74</v>
      </c>
      <c r="BP82" t="s">
        <v>74</v>
      </c>
      <c r="BQ82" t="s">
        <v>74</v>
      </c>
      <c r="BR82" t="s">
        <v>104</v>
      </c>
      <c r="BS82" t="s">
        <v>1928</v>
      </c>
      <c r="BT82" t="str">
        <f>HYPERLINK("https%3A%2F%2Fwww.webofscience.com%2Fwos%2Fwoscc%2Ffull-record%2FWOS:000446442500003","View Full Record in Web of Science")</f>
        <v>View Full Record in Web of Science</v>
      </c>
    </row>
    <row r="83" spans="1:72" x14ac:dyDescent="0.15">
      <c r="A83" t="s">
        <v>72</v>
      </c>
      <c r="B83" t="s">
        <v>1929</v>
      </c>
      <c r="C83" t="s">
        <v>74</v>
      </c>
      <c r="D83" t="s">
        <v>74</v>
      </c>
      <c r="E83" t="s">
        <v>74</v>
      </c>
      <c r="F83" t="s">
        <v>1930</v>
      </c>
      <c r="G83" t="s">
        <v>74</v>
      </c>
      <c r="H83" t="s">
        <v>74</v>
      </c>
      <c r="I83" t="s">
        <v>1931</v>
      </c>
      <c r="J83" t="s">
        <v>244</v>
      </c>
      <c r="K83" t="s">
        <v>74</v>
      </c>
      <c r="L83" t="s">
        <v>74</v>
      </c>
      <c r="M83" t="s">
        <v>78</v>
      </c>
      <c r="N83" t="s">
        <v>79</v>
      </c>
      <c r="O83" t="s">
        <v>74</v>
      </c>
      <c r="P83" t="s">
        <v>74</v>
      </c>
      <c r="Q83" t="s">
        <v>74</v>
      </c>
      <c r="R83" t="s">
        <v>74</v>
      </c>
      <c r="S83" t="s">
        <v>74</v>
      </c>
      <c r="T83" t="s">
        <v>1932</v>
      </c>
      <c r="U83" t="s">
        <v>1933</v>
      </c>
      <c r="V83" t="s">
        <v>1934</v>
      </c>
      <c r="W83" t="s">
        <v>1935</v>
      </c>
      <c r="X83" t="s">
        <v>1936</v>
      </c>
      <c r="Y83" t="s">
        <v>1937</v>
      </c>
      <c r="Z83" t="s">
        <v>1938</v>
      </c>
      <c r="AA83" t="s">
        <v>1939</v>
      </c>
      <c r="AB83" t="s">
        <v>1940</v>
      </c>
      <c r="AC83" t="s">
        <v>1941</v>
      </c>
      <c r="AD83" t="s">
        <v>1942</v>
      </c>
      <c r="AE83" t="s">
        <v>1943</v>
      </c>
      <c r="AF83" t="s">
        <v>74</v>
      </c>
      <c r="AG83">
        <v>28</v>
      </c>
      <c r="AH83">
        <v>3</v>
      </c>
      <c r="AI83">
        <v>4</v>
      </c>
      <c r="AJ83">
        <v>1</v>
      </c>
      <c r="AK83">
        <v>10</v>
      </c>
      <c r="AL83" t="s">
        <v>257</v>
      </c>
      <c r="AM83" t="s">
        <v>258</v>
      </c>
      <c r="AN83" t="s">
        <v>259</v>
      </c>
      <c r="AO83" t="s">
        <v>260</v>
      </c>
      <c r="AP83" t="s">
        <v>261</v>
      </c>
      <c r="AQ83" t="s">
        <v>74</v>
      </c>
      <c r="AR83" t="s">
        <v>262</v>
      </c>
      <c r="AS83" t="s">
        <v>263</v>
      </c>
      <c r="AT83" t="s">
        <v>98</v>
      </c>
      <c r="AU83">
        <v>2018</v>
      </c>
      <c r="AV83">
        <v>30</v>
      </c>
      <c r="AW83">
        <v>5</v>
      </c>
      <c r="AX83" t="s">
        <v>74</v>
      </c>
      <c r="AY83" t="s">
        <v>74</v>
      </c>
      <c r="AZ83" t="s">
        <v>74</v>
      </c>
      <c r="BA83" t="s">
        <v>74</v>
      </c>
      <c r="BB83">
        <v>289</v>
      </c>
      <c r="BC83">
        <v>297</v>
      </c>
      <c r="BD83" t="s">
        <v>74</v>
      </c>
      <c r="BE83" t="s">
        <v>1944</v>
      </c>
      <c r="BF83" t="str">
        <f>HYPERLINK("http://dx.doi.org/10.1017/S0954102018000317","http://dx.doi.org/10.1017/S0954102018000317")</f>
        <v>http://dx.doi.org/10.1017/S0954102018000317</v>
      </c>
      <c r="BG83" t="s">
        <v>74</v>
      </c>
      <c r="BH83" t="s">
        <v>74</v>
      </c>
      <c r="BI83">
        <v>9</v>
      </c>
      <c r="BJ83" t="s">
        <v>265</v>
      </c>
      <c r="BK83" t="s">
        <v>101</v>
      </c>
      <c r="BL83" t="s">
        <v>266</v>
      </c>
      <c r="BM83" t="s">
        <v>267</v>
      </c>
      <c r="BN83" t="s">
        <v>74</v>
      </c>
      <c r="BO83" t="s">
        <v>74</v>
      </c>
      <c r="BP83" t="s">
        <v>74</v>
      </c>
      <c r="BQ83" t="s">
        <v>74</v>
      </c>
      <c r="BR83" t="s">
        <v>104</v>
      </c>
      <c r="BS83" t="s">
        <v>1945</v>
      </c>
      <c r="BT83" t="str">
        <f>HYPERLINK("https%3A%2F%2Fwww.webofscience.com%2Fwos%2Fwoscc%2Ffull-record%2FWOS:000446442500004","View Full Record in Web of Science")</f>
        <v>View Full Record in Web of Science</v>
      </c>
    </row>
    <row r="84" spans="1:72" x14ac:dyDescent="0.15">
      <c r="A84" t="s">
        <v>72</v>
      </c>
      <c r="B84" t="s">
        <v>1946</v>
      </c>
      <c r="C84" t="s">
        <v>74</v>
      </c>
      <c r="D84" t="s">
        <v>74</v>
      </c>
      <c r="E84" t="s">
        <v>74</v>
      </c>
      <c r="F84" t="s">
        <v>1947</v>
      </c>
      <c r="G84" t="s">
        <v>74</v>
      </c>
      <c r="H84" t="s">
        <v>74</v>
      </c>
      <c r="I84" t="s">
        <v>1948</v>
      </c>
      <c r="J84" t="s">
        <v>244</v>
      </c>
      <c r="K84" t="s">
        <v>74</v>
      </c>
      <c r="L84" t="s">
        <v>74</v>
      </c>
      <c r="M84" t="s">
        <v>78</v>
      </c>
      <c r="N84" t="s">
        <v>79</v>
      </c>
      <c r="O84" t="s">
        <v>74</v>
      </c>
      <c r="P84" t="s">
        <v>74</v>
      </c>
      <c r="Q84" t="s">
        <v>74</v>
      </c>
      <c r="R84" t="s">
        <v>74</v>
      </c>
      <c r="S84" t="s">
        <v>74</v>
      </c>
      <c r="T84" t="s">
        <v>1949</v>
      </c>
      <c r="U84" t="s">
        <v>1950</v>
      </c>
      <c r="V84" t="s">
        <v>1951</v>
      </c>
      <c r="W84" t="s">
        <v>1952</v>
      </c>
      <c r="X84" t="s">
        <v>1953</v>
      </c>
      <c r="Y84" t="s">
        <v>1954</v>
      </c>
      <c r="Z84" t="s">
        <v>1955</v>
      </c>
      <c r="AA84" t="s">
        <v>1956</v>
      </c>
      <c r="AB84" t="s">
        <v>1957</v>
      </c>
      <c r="AC84" t="s">
        <v>1958</v>
      </c>
      <c r="AD84" t="s">
        <v>1959</v>
      </c>
      <c r="AE84" t="s">
        <v>1960</v>
      </c>
      <c r="AF84" t="s">
        <v>74</v>
      </c>
      <c r="AG84">
        <v>61</v>
      </c>
      <c r="AH84">
        <v>6</v>
      </c>
      <c r="AI84">
        <v>6</v>
      </c>
      <c r="AJ84">
        <v>0</v>
      </c>
      <c r="AK84">
        <v>11</v>
      </c>
      <c r="AL84" t="s">
        <v>257</v>
      </c>
      <c r="AM84" t="s">
        <v>258</v>
      </c>
      <c r="AN84" t="s">
        <v>259</v>
      </c>
      <c r="AO84" t="s">
        <v>260</v>
      </c>
      <c r="AP84" t="s">
        <v>261</v>
      </c>
      <c r="AQ84" t="s">
        <v>74</v>
      </c>
      <c r="AR84" t="s">
        <v>262</v>
      </c>
      <c r="AS84" t="s">
        <v>263</v>
      </c>
      <c r="AT84" t="s">
        <v>98</v>
      </c>
      <c r="AU84">
        <v>2018</v>
      </c>
      <c r="AV84">
        <v>30</v>
      </c>
      <c r="AW84">
        <v>5</v>
      </c>
      <c r="AX84" t="s">
        <v>74</v>
      </c>
      <c r="AY84" t="s">
        <v>74</v>
      </c>
      <c r="AZ84" t="s">
        <v>74</v>
      </c>
      <c r="BA84" t="s">
        <v>74</v>
      </c>
      <c r="BB84">
        <v>298</v>
      </c>
      <c r="BC84">
        <v>305</v>
      </c>
      <c r="BD84" t="s">
        <v>74</v>
      </c>
      <c r="BE84" t="s">
        <v>1961</v>
      </c>
      <c r="BF84" t="str">
        <f>HYPERLINK("http://dx.doi.org/10.1017/S0954102018000329","http://dx.doi.org/10.1017/S0954102018000329")</f>
        <v>http://dx.doi.org/10.1017/S0954102018000329</v>
      </c>
      <c r="BG84" t="s">
        <v>74</v>
      </c>
      <c r="BH84" t="s">
        <v>74</v>
      </c>
      <c r="BI84">
        <v>8</v>
      </c>
      <c r="BJ84" t="s">
        <v>265</v>
      </c>
      <c r="BK84" t="s">
        <v>101</v>
      </c>
      <c r="BL84" t="s">
        <v>266</v>
      </c>
      <c r="BM84" t="s">
        <v>267</v>
      </c>
      <c r="BN84" t="s">
        <v>74</v>
      </c>
      <c r="BO84" t="s">
        <v>74</v>
      </c>
      <c r="BP84" t="s">
        <v>74</v>
      </c>
      <c r="BQ84" t="s">
        <v>74</v>
      </c>
      <c r="BR84" t="s">
        <v>104</v>
      </c>
      <c r="BS84" t="s">
        <v>1962</v>
      </c>
      <c r="BT84" t="str">
        <f>HYPERLINK("https%3A%2F%2Fwww.webofscience.com%2Fwos%2Fwoscc%2Ffull-record%2FWOS:000446442500005","View Full Record in Web of Science")</f>
        <v>View Full Record in Web of Science</v>
      </c>
    </row>
    <row r="85" spans="1:72" x14ac:dyDescent="0.15">
      <c r="A85" t="s">
        <v>72</v>
      </c>
      <c r="B85" t="s">
        <v>1963</v>
      </c>
      <c r="C85" t="s">
        <v>74</v>
      </c>
      <c r="D85" t="s">
        <v>74</v>
      </c>
      <c r="E85" t="s">
        <v>74</v>
      </c>
      <c r="F85" t="s">
        <v>1964</v>
      </c>
      <c r="G85" t="s">
        <v>74</v>
      </c>
      <c r="H85" t="s">
        <v>74</v>
      </c>
      <c r="I85" t="s">
        <v>1965</v>
      </c>
      <c r="J85" t="s">
        <v>244</v>
      </c>
      <c r="K85" t="s">
        <v>74</v>
      </c>
      <c r="L85" t="s">
        <v>74</v>
      </c>
      <c r="M85" t="s">
        <v>78</v>
      </c>
      <c r="N85" t="s">
        <v>79</v>
      </c>
      <c r="O85" t="s">
        <v>74</v>
      </c>
      <c r="P85" t="s">
        <v>74</v>
      </c>
      <c r="Q85" t="s">
        <v>74</v>
      </c>
      <c r="R85" t="s">
        <v>74</v>
      </c>
      <c r="S85" t="s">
        <v>74</v>
      </c>
      <c r="T85" t="s">
        <v>1966</v>
      </c>
      <c r="U85" t="s">
        <v>1967</v>
      </c>
      <c r="V85" t="s">
        <v>1968</v>
      </c>
      <c r="W85" t="s">
        <v>1969</v>
      </c>
      <c r="X85" t="s">
        <v>1970</v>
      </c>
      <c r="Y85" t="s">
        <v>1971</v>
      </c>
      <c r="Z85" t="s">
        <v>1972</v>
      </c>
      <c r="AA85" t="s">
        <v>1973</v>
      </c>
      <c r="AB85" t="s">
        <v>1974</v>
      </c>
      <c r="AC85" t="s">
        <v>1975</v>
      </c>
      <c r="AD85" t="s">
        <v>1976</v>
      </c>
      <c r="AE85" t="s">
        <v>1977</v>
      </c>
      <c r="AF85" t="s">
        <v>74</v>
      </c>
      <c r="AG85">
        <v>38</v>
      </c>
      <c r="AH85">
        <v>2</v>
      </c>
      <c r="AI85">
        <v>2</v>
      </c>
      <c r="AJ85">
        <v>1</v>
      </c>
      <c r="AK85">
        <v>7</v>
      </c>
      <c r="AL85" t="s">
        <v>257</v>
      </c>
      <c r="AM85" t="s">
        <v>258</v>
      </c>
      <c r="AN85" t="s">
        <v>259</v>
      </c>
      <c r="AO85" t="s">
        <v>260</v>
      </c>
      <c r="AP85" t="s">
        <v>261</v>
      </c>
      <c r="AQ85" t="s">
        <v>74</v>
      </c>
      <c r="AR85" t="s">
        <v>262</v>
      </c>
      <c r="AS85" t="s">
        <v>263</v>
      </c>
      <c r="AT85" t="s">
        <v>98</v>
      </c>
      <c r="AU85">
        <v>2018</v>
      </c>
      <c r="AV85">
        <v>30</v>
      </c>
      <c r="AW85">
        <v>5</v>
      </c>
      <c r="AX85" t="s">
        <v>74</v>
      </c>
      <c r="AY85" t="s">
        <v>74</v>
      </c>
      <c r="AZ85" t="s">
        <v>74</v>
      </c>
      <c r="BA85" t="s">
        <v>74</v>
      </c>
      <c r="BB85">
        <v>307</v>
      </c>
      <c r="BC85">
        <v>321</v>
      </c>
      <c r="BD85" t="s">
        <v>74</v>
      </c>
      <c r="BE85" t="s">
        <v>1978</v>
      </c>
      <c r="BF85" t="str">
        <f>HYPERLINK("http://dx.doi.org/10.1017/S0954102018000299","http://dx.doi.org/10.1017/S0954102018000299")</f>
        <v>http://dx.doi.org/10.1017/S0954102018000299</v>
      </c>
      <c r="BG85" t="s">
        <v>74</v>
      </c>
      <c r="BH85" t="s">
        <v>74</v>
      </c>
      <c r="BI85">
        <v>15</v>
      </c>
      <c r="BJ85" t="s">
        <v>265</v>
      </c>
      <c r="BK85" t="s">
        <v>101</v>
      </c>
      <c r="BL85" t="s">
        <v>266</v>
      </c>
      <c r="BM85" t="s">
        <v>267</v>
      </c>
      <c r="BN85" t="s">
        <v>74</v>
      </c>
      <c r="BO85" t="s">
        <v>74</v>
      </c>
      <c r="BP85" t="s">
        <v>74</v>
      </c>
      <c r="BQ85" t="s">
        <v>74</v>
      </c>
      <c r="BR85" t="s">
        <v>104</v>
      </c>
      <c r="BS85" t="s">
        <v>1979</v>
      </c>
      <c r="BT85" t="str">
        <f>HYPERLINK("https%3A%2F%2Fwww.webofscience.com%2Fwos%2Fwoscc%2Ffull-record%2FWOS:000446442500006","View Full Record in Web of Science")</f>
        <v>View Full Record in Web of Science</v>
      </c>
    </row>
    <row r="86" spans="1:72" x14ac:dyDescent="0.15">
      <c r="A86" t="s">
        <v>72</v>
      </c>
      <c r="B86" t="s">
        <v>1980</v>
      </c>
      <c r="C86" t="s">
        <v>74</v>
      </c>
      <c r="D86" t="s">
        <v>74</v>
      </c>
      <c r="E86" t="s">
        <v>74</v>
      </c>
      <c r="F86" t="s">
        <v>1981</v>
      </c>
      <c r="G86" t="s">
        <v>74</v>
      </c>
      <c r="H86" t="s">
        <v>74</v>
      </c>
      <c r="I86" t="s">
        <v>1982</v>
      </c>
      <c r="J86" t="s">
        <v>1983</v>
      </c>
      <c r="K86" t="s">
        <v>74</v>
      </c>
      <c r="L86" t="s">
        <v>74</v>
      </c>
      <c r="M86" t="s">
        <v>78</v>
      </c>
      <c r="N86" t="s">
        <v>79</v>
      </c>
      <c r="O86" t="s">
        <v>74</v>
      </c>
      <c r="P86" t="s">
        <v>74</v>
      </c>
      <c r="Q86" t="s">
        <v>74</v>
      </c>
      <c r="R86" t="s">
        <v>74</v>
      </c>
      <c r="S86" t="s">
        <v>74</v>
      </c>
      <c r="T86" t="s">
        <v>74</v>
      </c>
      <c r="U86" t="s">
        <v>1984</v>
      </c>
      <c r="V86" t="s">
        <v>1985</v>
      </c>
      <c r="W86" t="s">
        <v>1986</v>
      </c>
      <c r="X86" t="s">
        <v>1987</v>
      </c>
      <c r="Y86" t="s">
        <v>1988</v>
      </c>
      <c r="Z86" t="s">
        <v>1989</v>
      </c>
      <c r="AA86" t="s">
        <v>1990</v>
      </c>
      <c r="AB86" t="s">
        <v>1991</v>
      </c>
      <c r="AC86" t="s">
        <v>1992</v>
      </c>
      <c r="AD86" t="s">
        <v>1993</v>
      </c>
      <c r="AE86" t="s">
        <v>1994</v>
      </c>
      <c r="AF86" t="s">
        <v>74</v>
      </c>
      <c r="AG86">
        <v>38</v>
      </c>
      <c r="AH86">
        <v>2</v>
      </c>
      <c r="AI86">
        <v>2</v>
      </c>
      <c r="AJ86">
        <v>0</v>
      </c>
      <c r="AK86">
        <v>2</v>
      </c>
      <c r="AL86" t="s">
        <v>149</v>
      </c>
      <c r="AM86" t="s">
        <v>93</v>
      </c>
      <c r="AN86" t="s">
        <v>150</v>
      </c>
      <c r="AO86" t="s">
        <v>1995</v>
      </c>
      <c r="AP86" t="s">
        <v>74</v>
      </c>
      <c r="AQ86" t="s">
        <v>74</v>
      </c>
      <c r="AR86" t="s">
        <v>1996</v>
      </c>
      <c r="AS86" t="s">
        <v>1997</v>
      </c>
      <c r="AT86" t="s">
        <v>98</v>
      </c>
      <c r="AU86">
        <v>2018</v>
      </c>
      <c r="AV86">
        <v>140</v>
      </c>
      <c r="AW86" t="s">
        <v>74</v>
      </c>
      <c r="AX86" t="s">
        <v>74</v>
      </c>
      <c r="AY86" t="s">
        <v>74</v>
      </c>
      <c r="AZ86" t="s">
        <v>74</v>
      </c>
      <c r="BA86" t="s">
        <v>74</v>
      </c>
      <c r="BB86">
        <v>342</v>
      </c>
      <c r="BC86">
        <v>346</v>
      </c>
      <c r="BD86" t="s">
        <v>74</v>
      </c>
      <c r="BE86" t="s">
        <v>1998</v>
      </c>
      <c r="BF86" t="str">
        <f>HYPERLINK("http://dx.doi.org/10.1016/j.apradiso.2018.08.001","http://dx.doi.org/10.1016/j.apradiso.2018.08.001")</f>
        <v>http://dx.doi.org/10.1016/j.apradiso.2018.08.001</v>
      </c>
      <c r="BG86" t="s">
        <v>74</v>
      </c>
      <c r="BH86" t="s">
        <v>74</v>
      </c>
      <c r="BI86">
        <v>5</v>
      </c>
      <c r="BJ86" t="s">
        <v>1999</v>
      </c>
      <c r="BK86" t="s">
        <v>101</v>
      </c>
      <c r="BL86" t="s">
        <v>2000</v>
      </c>
      <c r="BM86" t="s">
        <v>2001</v>
      </c>
      <c r="BN86">
        <v>30138816</v>
      </c>
      <c r="BO86" t="s">
        <v>74</v>
      </c>
      <c r="BP86" t="s">
        <v>74</v>
      </c>
      <c r="BQ86" t="s">
        <v>74</v>
      </c>
      <c r="BR86" t="s">
        <v>104</v>
      </c>
      <c r="BS86" t="s">
        <v>2002</v>
      </c>
      <c r="BT86" t="str">
        <f>HYPERLINK("https%3A%2F%2Fwww.webofscience.com%2Fwos%2Fwoscc%2Ffull-record%2FWOS:000445308700051","View Full Record in Web of Science")</f>
        <v>View Full Record in Web of Science</v>
      </c>
    </row>
    <row r="87" spans="1:72" x14ac:dyDescent="0.15">
      <c r="A87" t="s">
        <v>72</v>
      </c>
      <c r="B87" t="s">
        <v>2003</v>
      </c>
      <c r="C87" t="s">
        <v>74</v>
      </c>
      <c r="D87" t="s">
        <v>74</v>
      </c>
      <c r="E87" t="s">
        <v>74</v>
      </c>
      <c r="F87" t="s">
        <v>2004</v>
      </c>
      <c r="G87" t="s">
        <v>74</v>
      </c>
      <c r="H87" t="s">
        <v>74</v>
      </c>
      <c r="I87" t="s">
        <v>2005</v>
      </c>
      <c r="J87" t="s">
        <v>2006</v>
      </c>
      <c r="K87" t="s">
        <v>74</v>
      </c>
      <c r="L87" t="s">
        <v>74</v>
      </c>
      <c r="M87" t="s">
        <v>78</v>
      </c>
      <c r="N87" t="s">
        <v>79</v>
      </c>
      <c r="O87" t="s">
        <v>74</v>
      </c>
      <c r="P87" t="s">
        <v>74</v>
      </c>
      <c r="Q87" t="s">
        <v>74</v>
      </c>
      <c r="R87" t="s">
        <v>74</v>
      </c>
      <c r="S87" t="s">
        <v>74</v>
      </c>
      <c r="T87" t="s">
        <v>74</v>
      </c>
      <c r="U87" t="s">
        <v>2007</v>
      </c>
      <c r="V87" t="s">
        <v>2008</v>
      </c>
      <c r="W87" t="s">
        <v>2009</v>
      </c>
      <c r="X87" t="s">
        <v>2010</v>
      </c>
      <c r="Y87" t="s">
        <v>2011</v>
      </c>
      <c r="Z87" t="s">
        <v>74</v>
      </c>
      <c r="AA87" t="s">
        <v>74</v>
      </c>
      <c r="AB87" t="s">
        <v>74</v>
      </c>
      <c r="AC87" t="s">
        <v>74</v>
      </c>
      <c r="AD87" t="s">
        <v>74</v>
      </c>
      <c r="AE87" t="s">
        <v>74</v>
      </c>
      <c r="AF87" t="s">
        <v>74</v>
      </c>
      <c r="AG87">
        <v>116</v>
      </c>
      <c r="AH87">
        <v>17</v>
      </c>
      <c r="AI87">
        <v>18</v>
      </c>
      <c r="AJ87">
        <v>3</v>
      </c>
      <c r="AK87">
        <v>29</v>
      </c>
      <c r="AL87" t="s">
        <v>2012</v>
      </c>
      <c r="AM87" t="s">
        <v>2013</v>
      </c>
      <c r="AN87" t="s">
        <v>2014</v>
      </c>
      <c r="AO87" t="s">
        <v>2015</v>
      </c>
      <c r="AP87" t="s">
        <v>74</v>
      </c>
      <c r="AQ87" t="s">
        <v>74</v>
      </c>
      <c r="AR87" t="s">
        <v>2016</v>
      </c>
      <c r="AS87" t="s">
        <v>2017</v>
      </c>
      <c r="AT87" t="s">
        <v>98</v>
      </c>
      <c r="AU87">
        <v>2018</v>
      </c>
      <c r="AV87">
        <v>45</v>
      </c>
      <c r="AW87">
        <v>1</v>
      </c>
      <c r="AX87" t="s">
        <v>74</v>
      </c>
      <c r="AY87" t="s">
        <v>74</v>
      </c>
      <c r="AZ87" t="s">
        <v>74</v>
      </c>
      <c r="BA87" t="s">
        <v>74</v>
      </c>
      <c r="BB87">
        <v>53</v>
      </c>
      <c r="BC87">
        <v>81</v>
      </c>
      <c r="BD87" t="s">
        <v>74</v>
      </c>
      <c r="BE87" t="s">
        <v>2018</v>
      </c>
      <c r="BF87" t="str">
        <f>HYPERLINK("http://dx.doi.org/10.15779/Z381834271","http://dx.doi.org/10.15779/Z381834271")</f>
        <v>http://dx.doi.org/10.15779/Z381834271</v>
      </c>
      <c r="BG87" t="s">
        <v>74</v>
      </c>
      <c r="BH87" t="s">
        <v>74</v>
      </c>
      <c r="BI87">
        <v>29</v>
      </c>
      <c r="BJ87" t="s">
        <v>2019</v>
      </c>
      <c r="BK87" t="s">
        <v>2020</v>
      </c>
      <c r="BL87" t="s">
        <v>2021</v>
      </c>
      <c r="BM87" t="s">
        <v>2022</v>
      </c>
      <c r="BN87" t="s">
        <v>74</v>
      </c>
      <c r="BO87" t="s">
        <v>74</v>
      </c>
      <c r="BP87" t="s">
        <v>74</v>
      </c>
      <c r="BQ87" t="s">
        <v>74</v>
      </c>
      <c r="BR87" t="s">
        <v>104</v>
      </c>
      <c r="BS87" t="s">
        <v>2023</v>
      </c>
      <c r="BT87" t="str">
        <f>HYPERLINK("https%3A%2F%2Fwww.webofscience.com%2Fwos%2Fwoscc%2Ffull-record%2FWOS:000446322700003","View Full Record in Web of Science")</f>
        <v>View Full Record in Web of Science</v>
      </c>
    </row>
    <row r="88" spans="1:72" x14ac:dyDescent="0.15">
      <c r="A88" t="s">
        <v>72</v>
      </c>
      <c r="B88" t="s">
        <v>2024</v>
      </c>
      <c r="C88" t="s">
        <v>74</v>
      </c>
      <c r="D88" t="s">
        <v>74</v>
      </c>
      <c r="E88" t="s">
        <v>74</v>
      </c>
      <c r="F88" t="s">
        <v>2025</v>
      </c>
      <c r="G88" t="s">
        <v>74</v>
      </c>
      <c r="H88" t="s">
        <v>74</v>
      </c>
      <c r="I88" t="s">
        <v>2026</v>
      </c>
      <c r="J88" t="s">
        <v>2027</v>
      </c>
      <c r="K88" t="s">
        <v>74</v>
      </c>
      <c r="L88" t="s">
        <v>74</v>
      </c>
      <c r="M88" t="s">
        <v>78</v>
      </c>
      <c r="N88" t="s">
        <v>79</v>
      </c>
      <c r="O88" t="s">
        <v>74</v>
      </c>
      <c r="P88" t="s">
        <v>74</v>
      </c>
      <c r="Q88" t="s">
        <v>74</v>
      </c>
      <c r="R88" t="s">
        <v>74</v>
      </c>
      <c r="S88" t="s">
        <v>74</v>
      </c>
      <c r="T88" t="s">
        <v>74</v>
      </c>
      <c r="U88" t="s">
        <v>2028</v>
      </c>
      <c r="V88" t="s">
        <v>2029</v>
      </c>
      <c r="W88" t="s">
        <v>2030</v>
      </c>
      <c r="X88" t="s">
        <v>2031</v>
      </c>
      <c r="Y88" t="s">
        <v>2032</v>
      </c>
      <c r="Z88" t="s">
        <v>2033</v>
      </c>
      <c r="AA88" t="s">
        <v>74</v>
      </c>
      <c r="AB88" t="s">
        <v>74</v>
      </c>
      <c r="AC88" t="s">
        <v>2034</v>
      </c>
      <c r="AD88" t="s">
        <v>2034</v>
      </c>
      <c r="AE88" t="s">
        <v>2035</v>
      </c>
      <c r="AF88" t="s">
        <v>74</v>
      </c>
      <c r="AG88">
        <v>28</v>
      </c>
      <c r="AH88">
        <v>5</v>
      </c>
      <c r="AI88">
        <v>5</v>
      </c>
      <c r="AJ88">
        <v>1</v>
      </c>
      <c r="AK88">
        <v>5</v>
      </c>
      <c r="AL88" t="s">
        <v>2036</v>
      </c>
      <c r="AM88" t="s">
        <v>2037</v>
      </c>
      <c r="AN88" t="s">
        <v>2038</v>
      </c>
      <c r="AO88" t="s">
        <v>2039</v>
      </c>
      <c r="AP88" t="s">
        <v>2040</v>
      </c>
      <c r="AQ88" t="s">
        <v>74</v>
      </c>
      <c r="AR88" t="s">
        <v>2041</v>
      </c>
      <c r="AS88" t="s">
        <v>2042</v>
      </c>
      <c r="AT88" t="s">
        <v>98</v>
      </c>
      <c r="AU88">
        <v>2018</v>
      </c>
      <c r="AV88">
        <v>92</v>
      </c>
      <c r="AW88">
        <v>4</v>
      </c>
      <c r="AX88" t="s">
        <v>74</v>
      </c>
      <c r="AY88" t="s">
        <v>74</v>
      </c>
      <c r="AZ88" t="s">
        <v>74</v>
      </c>
      <c r="BA88" t="s">
        <v>74</v>
      </c>
      <c r="BB88">
        <v>404</v>
      </c>
      <c r="BC88">
        <v>406</v>
      </c>
      <c r="BD88" t="s">
        <v>74</v>
      </c>
      <c r="BE88" t="s">
        <v>2043</v>
      </c>
      <c r="BF88" t="str">
        <f>HYPERLINK("http://dx.doi.org/10.1007/s12594-018-1034-3","http://dx.doi.org/10.1007/s12594-018-1034-3")</f>
        <v>http://dx.doi.org/10.1007/s12594-018-1034-3</v>
      </c>
      <c r="BG88" t="s">
        <v>74</v>
      </c>
      <c r="BH88" t="s">
        <v>74</v>
      </c>
      <c r="BI88">
        <v>3</v>
      </c>
      <c r="BJ88" t="s">
        <v>182</v>
      </c>
      <c r="BK88" t="s">
        <v>101</v>
      </c>
      <c r="BL88" t="s">
        <v>183</v>
      </c>
      <c r="BM88" t="s">
        <v>2044</v>
      </c>
      <c r="BN88" t="s">
        <v>74</v>
      </c>
      <c r="BO88" t="s">
        <v>74</v>
      </c>
      <c r="BP88" t="s">
        <v>74</v>
      </c>
      <c r="BQ88" t="s">
        <v>74</v>
      </c>
      <c r="BR88" t="s">
        <v>104</v>
      </c>
      <c r="BS88" t="s">
        <v>2045</v>
      </c>
      <c r="BT88" t="str">
        <f>HYPERLINK("https%3A%2F%2Fwww.webofscience.com%2Fwos%2Fwoscc%2Ffull-record%2FWOS:000446519000004","View Full Record in Web of Science")</f>
        <v>View Full Record in Web of Science</v>
      </c>
    </row>
    <row r="89" spans="1:72" x14ac:dyDescent="0.15">
      <c r="A89" t="s">
        <v>72</v>
      </c>
      <c r="B89" t="s">
        <v>2046</v>
      </c>
      <c r="C89" t="s">
        <v>74</v>
      </c>
      <c r="D89" t="s">
        <v>74</v>
      </c>
      <c r="E89" t="s">
        <v>74</v>
      </c>
      <c r="F89" t="s">
        <v>2047</v>
      </c>
      <c r="G89" t="s">
        <v>74</v>
      </c>
      <c r="H89" t="s">
        <v>74</v>
      </c>
      <c r="I89" t="s">
        <v>2048</v>
      </c>
      <c r="J89" t="s">
        <v>2049</v>
      </c>
      <c r="K89" t="s">
        <v>74</v>
      </c>
      <c r="L89" t="s">
        <v>74</v>
      </c>
      <c r="M89" t="s">
        <v>78</v>
      </c>
      <c r="N89" t="s">
        <v>79</v>
      </c>
      <c r="O89" t="s">
        <v>74</v>
      </c>
      <c r="P89" t="s">
        <v>74</v>
      </c>
      <c r="Q89" t="s">
        <v>74</v>
      </c>
      <c r="R89" t="s">
        <v>74</v>
      </c>
      <c r="S89" t="s">
        <v>74</v>
      </c>
      <c r="T89" t="s">
        <v>2050</v>
      </c>
      <c r="U89" t="s">
        <v>2051</v>
      </c>
      <c r="V89" t="s">
        <v>2052</v>
      </c>
      <c r="W89" t="s">
        <v>2053</v>
      </c>
      <c r="X89" t="s">
        <v>2054</v>
      </c>
      <c r="Y89" t="s">
        <v>2055</v>
      </c>
      <c r="Z89" t="s">
        <v>2056</v>
      </c>
      <c r="AA89" t="s">
        <v>74</v>
      </c>
      <c r="AB89" t="s">
        <v>74</v>
      </c>
      <c r="AC89" t="s">
        <v>74</v>
      </c>
      <c r="AD89" t="s">
        <v>74</v>
      </c>
      <c r="AE89" t="s">
        <v>74</v>
      </c>
      <c r="AF89" t="s">
        <v>74</v>
      </c>
      <c r="AG89">
        <v>42</v>
      </c>
      <c r="AH89">
        <v>1</v>
      </c>
      <c r="AI89">
        <v>1</v>
      </c>
      <c r="AJ89">
        <v>1</v>
      </c>
      <c r="AK89">
        <v>3</v>
      </c>
      <c r="AL89" t="s">
        <v>2057</v>
      </c>
      <c r="AM89" t="s">
        <v>2058</v>
      </c>
      <c r="AN89" t="s">
        <v>2059</v>
      </c>
      <c r="AO89" t="s">
        <v>2060</v>
      </c>
      <c r="AP89" t="s">
        <v>2061</v>
      </c>
      <c r="AQ89" t="s">
        <v>74</v>
      </c>
      <c r="AR89" t="s">
        <v>2062</v>
      </c>
      <c r="AS89" t="s">
        <v>2063</v>
      </c>
      <c r="AT89" t="s">
        <v>98</v>
      </c>
      <c r="AU89">
        <v>2018</v>
      </c>
      <c r="AV89">
        <v>45</v>
      </c>
      <c r="AW89">
        <v>2</v>
      </c>
      <c r="AX89" t="s">
        <v>74</v>
      </c>
      <c r="AY89" t="s">
        <v>74</v>
      </c>
      <c r="AZ89" t="s">
        <v>74</v>
      </c>
      <c r="BA89" t="s">
        <v>74</v>
      </c>
      <c r="BB89">
        <v>350</v>
      </c>
      <c r="BC89">
        <v>362</v>
      </c>
      <c r="BD89" t="s">
        <v>74</v>
      </c>
      <c r="BE89" t="s">
        <v>2064</v>
      </c>
      <c r="BF89" t="str">
        <f>HYPERLINK("http://dx.doi.org/10.3366/anh.2018.0525","http://dx.doi.org/10.3366/anh.2018.0525")</f>
        <v>http://dx.doi.org/10.3366/anh.2018.0525</v>
      </c>
      <c r="BG89" t="s">
        <v>74</v>
      </c>
      <c r="BH89" t="s">
        <v>74</v>
      </c>
      <c r="BI89">
        <v>13</v>
      </c>
      <c r="BJ89" t="s">
        <v>2065</v>
      </c>
      <c r="BK89" t="s">
        <v>2066</v>
      </c>
      <c r="BL89" t="s">
        <v>2067</v>
      </c>
      <c r="BM89" t="s">
        <v>2068</v>
      </c>
      <c r="BN89" t="s">
        <v>74</v>
      </c>
      <c r="BO89" t="s">
        <v>211</v>
      </c>
      <c r="BP89" t="s">
        <v>74</v>
      </c>
      <c r="BQ89" t="s">
        <v>74</v>
      </c>
      <c r="BR89" t="s">
        <v>104</v>
      </c>
      <c r="BS89" t="s">
        <v>2069</v>
      </c>
      <c r="BT89" t="str">
        <f>HYPERLINK("https%3A%2F%2Fwww.webofscience.com%2Fwos%2Fwoscc%2Ffull-record%2FWOS:000446209200012","View Full Record in Web of Science")</f>
        <v>View Full Record in Web of Science</v>
      </c>
    </row>
    <row r="90" spans="1:72" x14ac:dyDescent="0.15">
      <c r="A90" t="s">
        <v>72</v>
      </c>
      <c r="B90" t="s">
        <v>2070</v>
      </c>
      <c r="C90" t="s">
        <v>74</v>
      </c>
      <c r="D90" t="s">
        <v>74</v>
      </c>
      <c r="E90" t="s">
        <v>74</v>
      </c>
      <c r="F90" t="s">
        <v>2071</v>
      </c>
      <c r="G90" t="s">
        <v>74</v>
      </c>
      <c r="H90" t="s">
        <v>74</v>
      </c>
      <c r="I90" t="s">
        <v>2072</v>
      </c>
      <c r="J90" t="s">
        <v>2073</v>
      </c>
      <c r="K90" t="s">
        <v>74</v>
      </c>
      <c r="L90" t="s">
        <v>74</v>
      </c>
      <c r="M90" t="s">
        <v>78</v>
      </c>
      <c r="N90" t="s">
        <v>79</v>
      </c>
      <c r="O90" t="s">
        <v>74</v>
      </c>
      <c r="P90" t="s">
        <v>74</v>
      </c>
      <c r="Q90" t="s">
        <v>74</v>
      </c>
      <c r="R90" t="s">
        <v>74</v>
      </c>
      <c r="S90" t="s">
        <v>74</v>
      </c>
      <c r="T90" t="s">
        <v>2074</v>
      </c>
      <c r="U90" t="s">
        <v>2075</v>
      </c>
      <c r="V90" t="s">
        <v>2076</v>
      </c>
      <c r="W90" t="s">
        <v>2077</v>
      </c>
      <c r="X90" t="s">
        <v>2078</v>
      </c>
      <c r="Y90" t="s">
        <v>2079</v>
      </c>
      <c r="Z90" t="s">
        <v>2080</v>
      </c>
      <c r="AA90" t="s">
        <v>74</v>
      </c>
      <c r="AB90" t="s">
        <v>2081</v>
      </c>
      <c r="AC90" t="s">
        <v>2082</v>
      </c>
      <c r="AD90" t="s">
        <v>2083</v>
      </c>
      <c r="AE90" t="s">
        <v>2084</v>
      </c>
      <c r="AF90" t="s">
        <v>74</v>
      </c>
      <c r="AG90">
        <v>82</v>
      </c>
      <c r="AH90">
        <v>22</v>
      </c>
      <c r="AI90">
        <v>27</v>
      </c>
      <c r="AJ90">
        <v>0</v>
      </c>
      <c r="AK90">
        <v>13</v>
      </c>
      <c r="AL90" t="s">
        <v>758</v>
      </c>
      <c r="AM90" t="s">
        <v>759</v>
      </c>
      <c r="AN90" t="s">
        <v>760</v>
      </c>
      <c r="AO90" t="s">
        <v>2085</v>
      </c>
      <c r="AP90" t="s">
        <v>2086</v>
      </c>
      <c r="AQ90" t="s">
        <v>74</v>
      </c>
      <c r="AR90" t="s">
        <v>2073</v>
      </c>
      <c r="AS90" t="s">
        <v>2087</v>
      </c>
      <c r="AT90" t="s">
        <v>98</v>
      </c>
      <c r="AU90">
        <v>2018</v>
      </c>
      <c r="AV90">
        <v>99</v>
      </c>
      <c r="AW90">
        <v>10</v>
      </c>
      <c r="AX90" t="s">
        <v>74</v>
      </c>
      <c r="AY90" t="s">
        <v>74</v>
      </c>
      <c r="AZ90" t="s">
        <v>74</v>
      </c>
      <c r="BA90" t="s">
        <v>74</v>
      </c>
      <c r="BB90">
        <v>2385</v>
      </c>
      <c r="BC90">
        <v>2396</v>
      </c>
      <c r="BD90" t="s">
        <v>74</v>
      </c>
      <c r="BE90" t="s">
        <v>2088</v>
      </c>
      <c r="BF90" t="str">
        <f>HYPERLINK("http://dx.doi.org/10.1002/ecy.2481","http://dx.doi.org/10.1002/ecy.2481")</f>
        <v>http://dx.doi.org/10.1002/ecy.2481</v>
      </c>
      <c r="BG90" t="s">
        <v>74</v>
      </c>
      <c r="BH90" t="s">
        <v>74</v>
      </c>
      <c r="BI90">
        <v>12</v>
      </c>
      <c r="BJ90" t="s">
        <v>2087</v>
      </c>
      <c r="BK90" t="s">
        <v>101</v>
      </c>
      <c r="BL90" t="s">
        <v>559</v>
      </c>
      <c r="BM90" t="s">
        <v>2089</v>
      </c>
      <c r="BN90">
        <v>30277558</v>
      </c>
      <c r="BO90" t="s">
        <v>661</v>
      </c>
      <c r="BP90" t="s">
        <v>74</v>
      </c>
      <c r="BQ90" t="s">
        <v>74</v>
      </c>
      <c r="BR90" t="s">
        <v>104</v>
      </c>
      <c r="BS90" t="s">
        <v>2090</v>
      </c>
      <c r="BT90" t="str">
        <f>HYPERLINK("https%3A%2F%2Fwww.webofscience.com%2Fwos%2Fwoscc%2Ffull-record%2FWOS:000446270400025","View Full Record in Web of Science")</f>
        <v>View Full Record in Web of Science</v>
      </c>
    </row>
    <row r="91" spans="1:72" x14ac:dyDescent="0.15">
      <c r="A91" t="s">
        <v>72</v>
      </c>
      <c r="B91" t="s">
        <v>2091</v>
      </c>
      <c r="C91" t="s">
        <v>74</v>
      </c>
      <c r="D91" t="s">
        <v>74</v>
      </c>
      <c r="E91" t="s">
        <v>74</v>
      </c>
      <c r="F91" t="s">
        <v>2092</v>
      </c>
      <c r="G91" t="s">
        <v>74</v>
      </c>
      <c r="H91" t="s">
        <v>74</v>
      </c>
      <c r="I91" t="s">
        <v>2093</v>
      </c>
      <c r="J91" t="s">
        <v>2094</v>
      </c>
      <c r="K91" t="s">
        <v>74</v>
      </c>
      <c r="L91" t="s">
        <v>74</v>
      </c>
      <c r="M91" t="s">
        <v>78</v>
      </c>
      <c r="N91" t="s">
        <v>79</v>
      </c>
      <c r="O91" t="s">
        <v>74</v>
      </c>
      <c r="P91" t="s">
        <v>74</v>
      </c>
      <c r="Q91" t="s">
        <v>74</v>
      </c>
      <c r="R91" t="s">
        <v>74</v>
      </c>
      <c r="S91" t="s">
        <v>74</v>
      </c>
      <c r="T91" t="s">
        <v>74</v>
      </c>
      <c r="U91" t="s">
        <v>2095</v>
      </c>
      <c r="V91" t="s">
        <v>2096</v>
      </c>
      <c r="W91" t="s">
        <v>2097</v>
      </c>
      <c r="X91" t="s">
        <v>2098</v>
      </c>
      <c r="Y91" t="s">
        <v>2099</v>
      </c>
      <c r="Z91" t="s">
        <v>2100</v>
      </c>
      <c r="AA91" t="s">
        <v>74</v>
      </c>
      <c r="AB91" t="s">
        <v>2101</v>
      </c>
      <c r="AC91" t="s">
        <v>2102</v>
      </c>
      <c r="AD91" t="s">
        <v>2102</v>
      </c>
      <c r="AE91" t="s">
        <v>2103</v>
      </c>
      <c r="AF91" t="s">
        <v>74</v>
      </c>
      <c r="AG91">
        <v>46</v>
      </c>
      <c r="AH91">
        <v>2</v>
      </c>
      <c r="AI91">
        <v>2</v>
      </c>
      <c r="AJ91">
        <v>0</v>
      </c>
      <c r="AK91">
        <v>2</v>
      </c>
      <c r="AL91" t="s">
        <v>758</v>
      </c>
      <c r="AM91" t="s">
        <v>759</v>
      </c>
      <c r="AN91" t="s">
        <v>760</v>
      </c>
      <c r="AO91" t="s">
        <v>2104</v>
      </c>
      <c r="AP91" t="s">
        <v>2105</v>
      </c>
      <c r="AQ91" t="s">
        <v>74</v>
      </c>
      <c r="AR91" t="s">
        <v>2106</v>
      </c>
      <c r="AS91" t="s">
        <v>2107</v>
      </c>
      <c r="AT91" t="s">
        <v>98</v>
      </c>
      <c r="AU91">
        <v>2018</v>
      </c>
      <c r="AV91">
        <v>53</v>
      </c>
      <c r="AW91">
        <v>10</v>
      </c>
      <c r="AX91" t="s">
        <v>74</v>
      </c>
      <c r="AY91" t="s">
        <v>74</v>
      </c>
      <c r="AZ91" t="s">
        <v>74</v>
      </c>
      <c r="BA91" t="s">
        <v>74</v>
      </c>
      <c r="BB91">
        <v>2035</v>
      </c>
      <c r="BC91">
        <v>2050</v>
      </c>
      <c r="BD91" t="s">
        <v>74</v>
      </c>
      <c r="BE91" t="s">
        <v>2108</v>
      </c>
      <c r="BF91" t="str">
        <f>HYPERLINK("http://dx.doi.org/10.1111/maps.13105","http://dx.doi.org/10.1111/maps.13105")</f>
        <v>http://dx.doi.org/10.1111/maps.13105</v>
      </c>
      <c r="BG91" t="s">
        <v>74</v>
      </c>
      <c r="BH91" t="s">
        <v>74</v>
      </c>
      <c r="BI91">
        <v>16</v>
      </c>
      <c r="BJ91" t="s">
        <v>484</v>
      </c>
      <c r="BK91" t="s">
        <v>101</v>
      </c>
      <c r="BL91" t="s">
        <v>484</v>
      </c>
      <c r="BM91" t="s">
        <v>2109</v>
      </c>
      <c r="BN91" t="s">
        <v>74</v>
      </c>
      <c r="BO91" t="s">
        <v>712</v>
      </c>
      <c r="BP91" t="s">
        <v>74</v>
      </c>
      <c r="BQ91" t="s">
        <v>74</v>
      </c>
      <c r="BR91" t="s">
        <v>104</v>
      </c>
      <c r="BS91" t="s">
        <v>2110</v>
      </c>
      <c r="BT91" t="str">
        <f>HYPERLINK("https%3A%2F%2Fwww.webofscience.com%2Fwos%2Fwoscc%2Ffull-record%2FWOS:000446173000001","View Full Record in Web of Science")</f>
        <v>View Full Record in Web of Science</v>
      </c>
    </row>
    <row r="92" spans="1:72" x14ac:dyDescent="0.15">
      <c r="A92" t="s">
        <v>72</v>
      </c>
      <c r="B92" t="s">
        <v>2111</v>
      </c>
      <c r="C92" t="s">
        <v>74</v>
      </c>
      <c r="D92" t="s">
        <v>74</v>
      </c>
      <c r="E92" t="s">
        <v>74</v>
      </c>
      <c r="F92" t="s">
        <v>2112</v>
      </c>
      <c r="G92" t="s">
        <v>74</v>
      </c>
      <c r="H92" t="s">
        <v>74</v>
      </c>
      <c r="I92" t="s">
        <v>2113</v>
      </c>
      <c r="J92" t="s">
        <v>2094</v>
      </c>
      <c r="K92" t="s">
        <v>74</v>
      </c>
      <c r="L92" t="s">
        <v>74</v>
      </c>
      <c r="M92" t="s">
        <v>78</v>
      </c>
      <c r="N92" t="s">
        <v>79</v>
      </c>
      <c r="O92" t="s">
        <v>74</v>
      </c>
      <c r="P92" t="s">
        <v>74</v>
      </c>
      <c r="Q92" t="s">
        <v>74</v>
      </c>
      <c r="R92" t="s">
        <v>74</v>
      </c>
      <c r="S92" t="s">
        <v>74</v>
      </c>
      <c r="T92" t="s">
        <v>74</v>
      </c>
      <c r="U92" t="s">
        <v>2114</v>
      </c>
      <c r="V92" t="s">
        <v>2115</v>
      </c>
      <c r="W92" t="s">
        <v>2116</v>
      </c>
      <c r="X92" t="s">
        <v>2117</v>
      </c>
      <c r="Y92" t="s">
        <v>2118</v>
      </c>
      <c r="Z92" t="s">
        <v>2119</v>
      </c>
      <c r="AA92" t="s">
        <v>2120</v>
      </c>
      <c r="AB92" t="s">
        <v>2121</v>
      </c>
      <c r="AC92" t="s">
        <v>2122</v>
      </c>
      <c r="AD92" t="s">
        <v>2123</v>
      </c>
      <c r="AE92" t="s">
        <v>2124</v>
      </c>
      <c r="AF92" t="s">
        <v>74</v>
      </c>
      <c r="AG92">
        <v>48</v>
      </c>
      <c r="AH92">
        <v>8</v>
      </c>
      <c r="AI92">
        <v>8</v>
      </c>
      <c r="AJ92">
        <v>0</v>
      </c>
      <c r="AK92">
        <v>2</v>
      </c>
      <c r="AL92" t="s">
        <v>758</v>
      </c>
      <c r="AM92" t="s">
        <v>759</v>
      </c>
      <c r="AN92" t="s">
        <v>760</v>
      </c>
      <c r="AO92" t="s">
        <v>2104</v>
      </c>
      <c r="AP92" t="s">
        <v>2105</v>
      </c>
      <c r="AQ92" t="s">
        <v>74</v>
      </c>
      <c r="AR92" t="s">
        <v>2106</v>
      </c>
      <c r="AS92" t="s">
        <v>2107</v>
      </c>
      <c r="AT92" t="s">
        <v>98</v>
      </c>
      <c r="AU92">
        <v>2018</v>
      </c>
      <c r="AV92">
        <v>53</v>
      </c>
      <c r="AW92">
        <v>10</v>
      </c>
      <c r="AX92" t="s">
        <v>74</v>
      </c>
      <c r="AY92" t="s">
        <v>74</v>
      </c>
      <c r="AZ92" t="s">
        <v>74</v>
      </c>
      <c r="BA92" t="s">
        <v>74</v>
      </c>
      <c r="BB92">
        <v>2051</v>
      </c>
      <c r="BC92">
        <v>2066</v>
      </c>
      <c r="BD92" t="s">
        <v>74</v>
      </c>
      <c r="BE92" t="s">
        <v>2125</v>
      </c>
      <c r="BF92" t="str">
        <f>HYPERLINK("http://dx.doi.org/10.1111/maps.13107","http://dx.doi.org/10.1111/maps.13107")</f>
        <v>http://dx.doi.org/10.1111/maps.13107</v>
      </c>
      <c r="BG92" t="s">
        <v>74</v>
      </c>
      <c r="BH92" t="s">
        <v>74</v>
      </c>
      <c r="BI92">
        <v>16</v>
      </c>
      <c r="BJ92" t="s">
        <v>484</v>
      </c>
      <c r="BK92" t="s">
        <v>101</v>
      </c>
      <c r="BL92" t="s">
        <v>484</v>
      </c>
      <c r="BM92" t="s">
        <v>2109</v>
      </c>
      <c r="BN92" t="s">
        <v>74</v>
      </c>
      <c r="BO92" t="s">
        <v>486</v>
      </c>
      <c r="BP92" t="s">
        <v>74</v>
      </c>
      <c r="BQ92" t="s">
        <v>74</v>
      </c>
      <c r="BR92" t="s">
        <v>104</v>
      </c>
      <c r="BS92" t="s">
        <v>2126</v>
      </c>
      <c r="BT92" t="str">
        <f>HYPERLINK("https%3A%2F%2Fwww.webofscience.com%2Fwos%2Fwoscc%2Ffull-record%2FWOS:000446173000002","View Full Record in Web of Science")</f>
        <v>View Full Record in Web of Science</v>
      </c>
    </row>
    <row r="93" spans="1:72" x14ac:dyDescent="0.15">
      <c r="A93" t="s">
        <v>72</v>
      </c>
      <c r="B93" t="s">
        <v>2127</v>
      </c>
      <c r="C93" t="s">
        <v>74</v>
      </c>
      <c r="D93" t="s">
        <v>74</v>
      </c>
      <c r="E93" t="s">
        <v>74</v>
      </c>
      <c r="F93" t="s">
        <v>2128</v>
      </c>
      <c r="G93" t="s">
        <v>74</v>
      </c>
      <c r="H93" t="s">
        <v>74</v>
      </c>
      <c r="I93" t="s">
        <v>2129</v>
      </c>
      <c r="J93" t="s">
        <v>2094</v>
      </c>
      <c r="K93" t="s">
        <v>74</v>
      </c>
      <c r="L93" t="s">
        <v>74</v>
      </c>
      <c r="M93" t="s">
        <v>78</v>
      </c>
      <c r="N93" t="s">
        <v>79</v>
      </c>
      <c r="O93" t="s">
        <v>74</v>
      </c>
      <c r="P93" t="s">
        <v>74</v>
      </c>
      <c r="Q93" t="s">
        <v>74</v>
      </c>
      <c r="R93" t="s">
        <v>74</v>
      </c>
      <c r="S93" t="s">
        <v>74</v>
      </c>
      <c r="T93" t="s">
        <v>74</v>
      </c>
      <c r="U93" t="s">
        <v>2130</v>
      </c>
      <c r="V93" t="s">
        <v>2131</v>
      </c>
      <c r="W93" t="s">
        <v>2132</v>
      </c>
      <c r="X93" t="s">
        <v>2133</v>
      </c>
      <c r="Y93" t="s">
        <v>2134</v>
      </c>
      <c r="Z93" t="s">
        <v>2135</v>
      </c>
      <c r="AA93" t="s">
        <v>2136</v>
      </c>
      <c r="AB93" t="s">
        <v>2137</v>
      </c>
      <c r="AC93" t="s">
        <v>2138</v>
      </c>
      <c r="AD93" t="s">
        <v>2139</v>
      </c>
      <c r="AE93" t="s">
        <v>2140</v>
      </c>
      <c r="AF93" t="s">
        <v>74</v>
      </c>
      <c r="AG93">
        <v>45</v>
      </c>
      <c r="AH93">
        <v>6</v>
      </c>
      <c r="AI93">
        <v>8</v>
      </c>
      <c r="AJ93">
        <v>2</v>
      </c>
      <c r="AK93">
        <v>16</v>
      </c>
      <c r="AL93" t="s">
        <v>758</v>
      </c>
      <c r="AM93" t="s">
        <v>759</v>
      </c>
      <c r="AN93" t="s">
        <v>760</v>
      </c>
      <c r="AO93" t="s">
        <v>2104</v>
      </c>
      <c r="AP93" t="s">
        <v>2105</v>
      </c>
      <c r="AQ93" t="s">
        <v>74</v>
      </c>
      <c r="AR93" t="s">
        <v>2106</v>
      </c>
      <c r="AS93" t="s">
        <v>2107</v>
      </c>
      <c r="AT93" t="s">
        <v>98</v>
      </c>
      <c r="AU93">
        <v>2018</v>
      </c>
      <c r="AV93">
        <v>53</v>
      </c>
      <c r="AW93">
        <v>10</v>
      </c>
      <c r="AX93" t="s">
        <v>74</v>
      </c>
      <c r="AY93" t="s">
        <v>74</v>
      </c>
      <c r="AZ93" t="s">
        <v>74</v>
      </c>
      <c r="BA93" t="s">
        <v>74</v>
      </c>
      <c r="BB93">
        <v>2067</v>
      </c>
      <c r="BC93">
        <v>2077</v>
      </c>
      <c r="BD93" t="s">
        <v>74</v>
      </c>
      <c r="BE93" t="s">
        <v>2141</v>
      </c>
      <c r="BF93" t="str">
        <f>HYPERLINK("http://dx.doi.org/10.1111/maps.13106","http://dx.doi.org/10.1111/maps.13106")</f>
        <v>http://dx.doi.org/10.1111/maps.13106</v>
      </c>
      <c r="BG93" t="s">
        <v>74</v>
      </c>
      <c r="BH93" t="s">
        <v>74</v>
      </c>
      <c r="BI93">
        <v>11</v>
      </c>
      <c r="BJ93" t="s">
        <v>484</v>
      </c>
      <c r="BK93" t="s">
        <v>101</v>
      </c>
      <c r="BL93" t="s">
        <v>484</v>
      </c>
      <c r="BM93" t="s">
        <v>2109</v>
      </c>
      <c r="BN93" t="s">
        <v>74</v>
      </c>
      <c r="BO93" t="s">
        <v>712</v>
      </c>
      <c r="BP93" t="s">
        <v>74</v>
      </c>
      <c r="BQ93" t="s">
        <v>74</v>
      </c>
      <c r="BR93" t="s">
        <v>104</v>
      </c>
      <c r="BS93" t="s">
        <v>2142</v>
      </c>
      <c r="BT93" t="str">
        <f>HYPERLINK("https%3A%2F%2Fwww.webofscience.com%2Fwos%2Fwoscc%2Ffull-record%2FWOS:000446173000003","View Full Record in Web of Science")</f>
        <v>View Full Record in Web of Science</v>
      </c>
    </row>
    <row r="94" spans="1:72" x14ac:dyDescent="0.15">
      <c r="A94" t="s">
        <v>72</v>
      </c>
      <c r="B94" t="s">
        <v>2143</v>
      </c>
      <c r="C94" t="s">
        <v>74</v>
      </c>
      <c r="D94" t="s">
        <v>74</v>
      </c>
      <c r="E94" t="s">
        <v>74</v>
      </c>
      <c r="F94" t="s">
        <v>2144</v>
      </c>
      <c r="G94" t="s">
        <v>74</v>
      </c>
      <c r="H94" t="s">
        <v>74</v>
      </c>
      <c r="I94" t="s">
        <v>2145</v>
      </c>
      <c r="J94" t="s">
        <v>2094</v>
      </c>
      <c r="K94" t="s">
        <v>74</v>
      </c>
      <c r="L94" t="s">
        <v>74</v>
      </c>
      <c r="M94" t="s">
        <v>78</v>
      </c>
      <c r="N94" t="s">
        <v>79</v>
      </c>
      <c r="O94" t="s">
        <v>74</v>
      </c>
      <c r="P94" t="s">
        <v>74</v>
      </c>
      <c r="Q94" t="s">
        <v>74</v>
      </c>
      <c r="R94" t="s">
        <v>74</v>
      </c>
      <c r="S94" t="s">
        <v>74</v>
      </c>
      <c r="T94" t="s">
        <v>74</v>
      </c>
      <c r="U94" t="s">
        <v>2146</v>
      </c>
      <c r="V94" t="s">
        <v>2147</v>
      </c>
      <c r="W94" t="s">
        <v>2148</v>
      </c>
      <c r="X94" t="s">
        <v>2149</v>
      </c>
      <c r="Y94" t="s">
        <v>2150</v>
      </c>
      <c r="Z94" t="s">
        <v>2151</v>
      </c>
      <c r="AA94" t="s">
        <v>74</v>
      </c>
      <c r="AB94" t="s">
        <v>2152</v>
      </c>
      <c r="AC94" t="s">
        <v>2153</v>
      </c>
      <c r="AD94" t="s">
        <v>2154</v>
      </c>
      <c r="AE94" t="s">
        <v>2155</v>
      </c>
      <c r="AF94" t="s">
        <v>74</v>
      </c>
      <c r="AG94">
        <v>68</v>
      </c>
      <c r="AH94">
        <v>31</v>
      </c>
      <c r="AI94">
        <v>32</v>
      </c>
      <c r="AJ94">
        <v>1</v>
      </c>
      <c r="AK94">
        <v>18</v>
      </c>
      <c r="AL94" t="s">
        <v>758</v>
      </c>
      <c r="AM94" t="s">
        <v>759</v>
      </c>
      <c r="AN94" t="s">
        <v>760</v>
      </c>
      <c r="AO94" t="s">
        <v>2104</v>
      </c>
      <c r="AP94" t="s">
        <v>2105</v>
      </c>
      <c r="AQ94" t="s">
        <v>74</v>
      </c>
      <c r="AR94" t="s">
        <v>2106</v>
      </c>
      <c r="AS94" t="s">
        <v>2107</v>
      </c>
      <c r="AT94" t="s">
        <v>98</v>
      </c>
      <c r="AU94">
        <v>2018</v>
      </c>
      <c r="AV94">
        <v>53</v>
      </c>
      <c r="AW94">
        <v>10</v>
      </c>
      <c r="AX94" t="s">
        <v>74</v>
      </c>
      <c r="AY94" t="s">
        <v>74</v>
      </c>
      <c r="AZ94" t="s">
        <v>74</v>
      </c>
      <c r="BA94" t="s">
        <v>74</v>
      </c>
      <c r="BB94">
        <v>2078</v>
      </c>
      <c r="BC94">
        <v>2106</v>
      </c>
      <c r="BD94" t="s">
        <v>74</v>
      </c>
      <c r="BE94" t="s">
        <v>2156</v>
      </c>
      <c r="BF94" t="str">
        <f>HYPERLINK("http://dx.doi.org/10.1111/maps.13108","http://dx.doi.org/10.1111/maps.13108")</f>
        <v>http://dx.doi.org/10.1111/maps.13108</v>
      </c>
      <c r="BG94" t="s">
        <v>74</v>
      </c>
      <c r="BH94" t="s">
        <v>74</v>
      </c>
      <c r="BI94">
        <v>29</v>
      </c>
      <c r="BJ94" t="s">
        <v>484</v>
      </c>
      <c r="BK94" t="s">
        <v>101</v>
      </c>
      <c r="BL94" t="s">
        <v>484</v>
      </c>
      <c r="BM94" t="s">
        <v>2109</v>
      </c>
      <c r="BN94" t="s">
        <v>74</v>
      </c>
      <c r="BO94" t="s">
        <v>712</v>
      </c>
      <c r="BP94" t="s">
        <v>74</v>
      </c>
      <c r="BQ94" t="s">
        <v>74</v>
      </c>
      <c r="BR94" t="s">
        <v>104</v>
      </c>
      <c r="BS94" t="s">
        <v>2157</v>
      </c>
      <c r="BT94" t="str">
        <f>HYPERLINK("https%3A%2F%2Fwww.webofscience.com%2Fwos%2Fwoscc%2Ffull-record%2FWOS:000446173000004","View Full Record in Web of Science")</f>
        <v>View Full Record in Web of Science</v>
      </c>
    </row>
    <row r="95" spans="1:72" x14ac:dyDescent="0.15">
      <c r="A95" t="s">
        <v>72</v>
      </c>
      <c r="B95" t="s">
        <v>2158</v>
      </c>
      <c r="C95" t="s">
        <v>74</v>
      </c>
      <c r="D95" t="s">
        <v>74</v>
      </c>
      <c r="E95" t="s">
        <v>74</v>
      </c>
      <c r="F95" t="s">
        <v>2159</v>
      </c>
      <c r="G95" t="s">
        <v>74</v>
      </c>
      <c r="H95" t="s">
        <v>74</v>
      </c>
      <c r="I95" t="s">
        <v>2160</v>
      </c>
      <c r="J95" t="s">
        <v>2094</v>
      </c>
      <c r="K95" t="s">
        <v>74</v>
      </c>
      <c r="L95" t="s">
        <v>74</v>
      </c>
      <c r="M95" t="s">
        <v>78</v>
      </c>
      <c r="N95" t="s">
        <v>79</v>
      </c>
      <c r="O95" t="s">
        <v>74</v>
      </c>
      <c r="P95" t="s">
        <v>74</v>
      </c>
      <c r="Q95" t="s">
        <v>74</v>
      </c>
      <c r="R95" t="s">
        <v>74</v>
      </c>
      <c r="S95" t="s">
        <v>74</v>
      </c>
      <c r="T95" t="s">
        <v>74</v>
      </c>
      <c r="U95" t="s">
        <v>2161</v>
      </c>
      <c r="V95" t="s">
        <v>2162</v>
      </c>
      <c r="W95" t="s">
        <v>2163</v>
      </c>
      <c r="X95" t="s">
        <v>2164</v>
      </c>
      <c r="Y95" t="s">
        <v>2165</v>
      </c>
      <c r="Z95" t="s">
        <v>2166</v>
      </c>
      <c r="AA95" t="s">
        <v>74</v>
      </c>
      <c r="AB95" t="s">
        <v>2167</v>
      </c>
      <c r="AC95" t="s">
        <v>2168</v>
      </c>
      <c r="AD95" t="s">
        <v>2169</v>
      </c>
      <c r="AE95" t="s">
        <v>2170</v>
      </c>
      <c r="AF95" t="s">
        <v>74</v>
      </c>
      <c r="AG95">
        <v>99</v>
      </c>
      <c r="AH95">
        <v>4</v>
      </c>
      <c r="AI95">
        <v>4</v>
      </c>
      <c r="AJ95">
        <v>0</v>
      </c>
      <c r="AK95">
        <v>3</v>
      </c>
      <c r="AL95" t="s">
        <v>758</v>
      </c>
      <c r="AM95" t="s">
        <v>759</v>
      </c>
      <c r="AN95" t="s">
        <v>760</v>
      </c>
      <c r="AO95" t="s">
        <v>2104</v>
      </c>
      <c r="AP95" t="s">
        <v>2105</v>
      </c>
      <c r="AQ95" t="s">
        <v>74</v>
      </c>
      <c r="AR95" t="s">
        <v>2106</v>
      </c>
      <c r="AS95" t="s">
        <v>2107</v>
      </c>
      <c r="AT95" t="s">
        <v>98</v>
      </c>
      <c r="AU95">
        <v>2018</v>
      </c>
      <c r="AV95">
        <v>53</v>
      </c>
      <c r="AW95">
        <v>10</v>
      </c>
      <c r="AX95" t="s">
        <v>74</v>
      </c>
      <c r="AY95" t="s">
        <v>74</v>
      </c>
      <c r="AZ95" t="s">
        <v>74</v>
      </c>
      <c r="BA95" t="s">
        <v>74</v>
      </c>
      <c r="BB95">
        <v>2181</v>
      </c>
      <c r="BC95">
        <v>2192</v>
      </c>
      <c r="BD95" t="s">
        <v>74</v>
      </c>
      <c r="BE95" t="s">
        <v>2171</v>
      </c>
      <c r="BF95" t="str">
        <f>HYPERLINK("http://dx.doi.org/10.1111/maps.13117","http://dx.doi.org/10.1111/maps.13117")</f>
        <v>http://dx.doi.org/10.1111/maps.13117</v>
      </c>
      <c r="BG95" t="s">
        <v>74</v>
      </c>
      <c r="BH95" t="s">
        <v>74</v>
      </c>
      <c r="BI95">
        <v>12</v>
      </c>
      <c r="BJ95" t="s">
        <v>484</v>
      </c>
      <c r="BK95" t="s">
        <v>101</v>
      </c>
      <c r="BL95" t="s">
        <v>484</v>
      </c>
      <c r="BM95" t="s">
        <v>2109</v>
      </c>
      <c r="BN95" t="s">
        <v>74</v>
      </c>
      <c r="BO95" t="s">
        <v>712</v>
      </c>
      <c r="BP95" t="s">
        <v>74</v>
      </c>
      <c r="BQ95" t="s">
        <v>74</v>
      </c>
      <c r="BR95" t="s">
        <v>104</v>
      </c>
      <c r="BS95" t="s">
        <v>2172</v>
      </c>
      <c r="BT95" t="str">
        <f>HYPERLINK("https%3A%2F%2Fwww.webofscience.com%2Fwos%2Fwoscc%2Ffull-record%2FWOS:000446173000010","View Full Record in Web of Science")</f>
        <v>View Full Record in Web of Science</v>
      </c>
    </row>
    <row r="96" spans="1:72" x14ac:dyDescent="0.15">
      <c r="A96" t="s">
        <v>72</v>
      </c>
      <c r="B96" t="s">
        <v>2173</v>
      </c>
      <c r="C96" t="s">
        <v>74</v>
      </c>
      <c r="D96" t="s">
        <v>74</v>
      </c>
      <c r="E96" t="s">
        <v>74</v>
      </c>
      <c r="F96" t="s">
        <v>2174</v>
      </c>
      <c r="G96" t="s">
        <v>74</v>
      </c>
      <c r="H96" t="s">
        <v>74</v>
      </c>
      <c r="I96" t="s">
        <v>2175</v>
      </c>
      <c r="J96" t="s">
        <v>1192</v>
      </c>
      <c r="K96" t="s">
        <v>74</v>
      </c>
      <c r="L96" t="s">
        <v>74</v>
      </c>
      <c r="M96" t="s">
        <v>78</v>
      </c>
      <c r="N96" t="s">
        <v>79</v>
      </c>
      <c r="O96" t="s">
        <v>74</v>
      </c>
      <c r="P96" t="s">
        <v>74</v>
      </c>
      <c r="Q96" t="s">
        <v>74</v>
      </c>
      <c r="R96" t="s">
        <v>74</v>
      </c>
      <c r="S96" t="s">
        <v>74</v>
      </c>
      <c r="T96" t="s">
        <v>2176</v>
      </c>
      <c r="U96" t="s">
        <v>2177</v>
      </c>
      <c r="V96" t="s">
        <v>2178</v>
      </c>
      <c r="W96" t="s">
        <v>2179</v>
      </c>
      <c r="X96" t="s">
        <v>2180</v>
      </c>
      <c r="Y96" t="s">
        <v>2181</v>
      </c>
      <c r="Z96" t="s">
        <v>2182</v>
      </c>
      <c r="AA96" t="s">
        <v>2183</v>
      </c>
      <c r="AB96" t="s">
        <v>2184</v>
      </c>
      <c r="AC96" t="s">
        <v>2185</v>
      </c>
      <c r="AD96" t="s">
        <v>2186</v>
      </c>
      <c r="AE96" t="s">
        <v>2187</v>
      </c>
      <c r="AF96" t="s">
        <v>74</v>
      </c>
      <c r="AG96">
        <v>58</v>
      </c>
      <c r="AH96">
        <v>5</v>
      </c>
      <c r="AI96">
        <v>6</v>
      </c>
      <c r="AJ96">
        <v>1</v>
      </c>
      <c r="AK96">
        <v>30</v>
      </c>
      <c r="AL96" t="s">
        <v>337</v>
      </c>
      <c r="AM96" t="s">
        <v>258</v>
      </c>
      <c r="AN96" t="s">
        <v>387</v>
      </c>
      <c r="AO96" t="s">
        <v>1204</v>
      </c>
      <c r="AP96" t="s">
        <v>1205</v>
      </c>
      <c r="AQ96" t="s">
        <v>74</v>
      </c>
      <c r="AR96" t="s">
        <v>1206</v>
      </c>
      <c r="AS96" t="s">
        <v>1207</v>
      </c>
      <c r="AT96" t="s">
        <v>98</v>
      </c>
      <c r="AU96">
        <v>2018</v>
      </c>
      <c r="AV96">
        <v>41</v>
      </c>
      <c r="AW96">
        <v>10</v>
      </c>
      <c r="AX96" t="s">
        <v>74</v>
      </c>
      <c r="AY96" t="s">
        <v>74</v>
      </c>
      <c r="AZ96" t="s">
        <v>74</v>
      </c>
      <c r="BA96" t="s">
        <v>74</v>
      </c>
      <c r="BB96">
        <v>1911</v>
      </c>
      <c r="BC96">
        <v>1921</v>
      </c>
      <c r="BD96" t="s">
        <v>74</v>
      </c>
      <c r="BE96" t="s">
        <v>2188</v>
      </c>
      <c r="BF96" t="str">
        <f>HYPERLINK("http://dx.doi.org/10.1007/s00300-018-2331-4","http://dx.doi.org/10.1007/s00300-018-2331-4")</f>
        <v>http://dx.doi.org/10.1007/s00300-018-2331-4</v>
      </c>
      <c r="BG96" t="s">
        <v>74</v>
      </c>
      <c r="BH96" t="s">
        <v>74</v>
      </c>
      <c r="BI96">
        <v>11</v>
      </c>
      <c r="BJ96" t="s">
        <v>1209</v>
      </c>
      <c r="BK96" t="s">
        <v>101</v>
      </c>
      <c r="BL96" t="s">
        <v>1210</v>
      </c>
      <c r="BM96" t="s">
        <v>1211</v>
      </c>
      <c r="BN96" t="s">
        <v>74</v>
      </c>
      <c r="BO96" t="s">
        <v>74</v>
      </c>
      <c r="BP96" t="s">
        <v>74</v>
      </c>
      <c r="BQ96" t="s">
        <v>74</v>
      </c>
      <c r="BR96" t="s">
        <v>104</v>
      </c>
      <c r="BS96" t="s">
        <v>2189</v>
      </c>
      <c r="BT96" t="str">
        <f>HYPERLINK("https%3A%2F%2Fwww.webofscience.com%2Fwos%2Fwoscc%2Ffull-record%2FWOS:000445212100001","View Full Record in Web of Science")</f>
        <v>View Full Record in Web of Science</v>
      </c>
    </row>
    <row r="97" spans="1:72" x14ac:dyDescent="0.15">
      <c r="A97" t="s">
        <v>72</v>
      </c>
      <c r="B97" t="s">
        <v>2190</v>
      </c>
      <c r="C97" t="s">
        <v>74</v>
      </c>
      <c r="D97" t="s">
        <v>74</v>
      </c>
      <c r="E97" t="s">
        <v>74</v>
      </c>
      <c r="F97" t="s">
        <v>2191</v>
      </c>
      <c r="G97" t="s">
        <v>74</v>
      </c>
      <c r="H97" t="s">
        <v>74</v>
      </c>
      <c r="I97" t="s">
        <v>2192</v>
      </c>
      <c r="J97" t="s">
        <v>1192</v>
      </c>
      <c r="K97" t="s">
        <v>74</v>
      </c>
      <c r="L97" t="s">
        <v>74</v>
      </c>
      <c r="M97" t="s">
        <v>78</v>
      </c>
      <c r="N97" t="s">
        <v>79</v>
      </c>
      <c r="O97" t="s">
        <v>74</v>
      </c>
      <c r="P97" t="s">
        <v>74</v>
      </c>
      <c r="Q97" t="s">
        <v>74</v>
      </c>
      <c r="R97" t="s">
        <v>74</v>
      </c>
      <c r="S97" t="s">
        <v>74</v>
      </c>
      <c r="T97" t="s">
        <v>2193</v>
      </c>
      <c r="U97" t="s">
        <v>2194</v>
      </c>
      <c r="V97" t="s">
        <v>2195</v>
      </c>
      <c r="W97" t="s">
        <v>2196</v>
      </c>
      <c r="X97" t="s">
        <v>2197</v>
      </c>
      <c r="Y97" t="s">
        <v>2198</v>
      </c>
      <c r="Z97" t="s">
        <v>2199</v>
      </c>
      <c r="AA97" t="s">
        <v>2200</v>
      </c>
      <c r="AB97" t="s">
        <v>2201</v>
      </c>
      <c r="AC97" t="s">
        <v>2202</v>
      </c>
      <c r="AD97" t="s">
        <v>2203</v>
      </c>
      <c r="AE97" t="s">
        <v>2204</v>
      </c>
      <c r="AF97" t="s">
        <v>74</v>
      </c>
      <c r="AG97">
        <v>88</v>
      </c>
      <c r="AH97">
        <v>8</v>
      </c>
      <c r="AI97">
        <v>9</v>
      </c>
      <c r="AJ97">
        <v>0</v>
      </c>
      <c r="AK97">
        <v>18</v>
      </c>
      <c r="AL97" t="s">
        <v>337</v>
      </c>
      <c r="AM97" t="s">
        <v>258</v>
      </c>
      <c r="AN97" t="s">
        <v>338</v>
      </c>
      <c r="AO97" t="s">
        <v>1204</v>
      </c>
      <c r="AP97" t="s">
        <v>1205</v>
      </c>
      <c r="AQ97" t="s">
        <v>74</v>
      </c>
      <c r="AR97" t="s">
        <v>1206</v>
      </c>
      <c r="AS97" t="s">
        <v>1207</v>
      </c>
      <c r="AT97" t="s">
        <v>98</v>
      </c>
      <c r="AU97">
        <v>2018</v>
      </c>
      <c r="AV97">
        <v>41</v>
      </c>
      <c r="AW97">
        <v>10</v>
      </c>
      <c r="AX97" t="s">
        <v>74</v>
      </c>
      <c r="AY97" t="s">
        <v>74</v>
      </c>
      <c r="AZ97" t="s">
        <v>74</v>
      </c>
      <c r="BA97" t="s">
        <v>74</v>
      </c>
      <c r="BB97">
        <v>1937</v>
      </c>
      <c r="BC97">
        <v>1949</v>
      </c>
      <c r="BD97" t="s">
        <v>74</v>
      </c>
      <c r="BE97" t="s">
        <v>2205</v>
      </c>
      <c r="BF97" t="str">
        <f>HYPERLINK("http://dx.doi.org/10.1007/s00300-018-2333-2","http://dx.doi.org/10.1007/s00300-018-2333-2")</f>
        <v>http://dx.doi.org/10.1007/s00300-018-2333-2</v>
      </c>
      <c r="BG97" t="s">
        <v>74</v>
      </c>
      <c r="BH97" t="s">
        <v>74</v>
      </c>
      <c r="BI97">
        <v>13</v>
      </c>
      <c r="BJ97" t="s">
        <v>1209</v>
      </c>
      <c r="BK97" t="s">
        <v>101</v>
      </c>
      <c r="BL97" t="s">
        <v>1210</v>
      </c>
      <c r="BM97" t="s">
        <v>1211</v>
      </c>
      <c r="BN97" t="s">
        <v>74</v>
      </c>
      <c r="BO97" t="s">
        <v>535</v>
      </c>
      <c r="BP97" t="s">
        <v>74</v>
      </c>
      <c r="BQ97" t="s">
        <v>74</v>
      </c>
      <c r="BR97" t="s">
        <v>104</v>
      </c>
      <c r="BS97" t="s">
        <v>2206</v>
      </c>
      <c r="BT97" t="str">
        <f>HYPERLINK("https%3A%2F%2Fwww.webofscience.com%2Fwos%2Fwoscc%2Ffull-record%2FWOS:000445212100003","View Full Record in Web of Science")</f>
        <v>View Full Record in Web of Science</v>
      </c>
    </row>
    <row r="98" spans="1:72" x14ac:dyDescent="0.15">
      <c r="A98" t="s">
        <v>72</v>
      </c>
      <c r="B98" t="s">
        <v>2207</v>
      </c>
      <c r="C98" t="s">
        <v>74</v>
      </c>
      <c r="D98" t="s">
        <v>74</v>
      </c>
      <c r="E98" t="s">
        <v>74</v>
      </c>
      <c r="F98" t="s">
        <v>2208</v>
      </c>
      <c r="G98" t="s">
        <v>74</v>
      </c>
      <c r="H98" t="s">
        <v>74</v>
      </c>
      <c r="I98" t="s">
        <v>2209</v>
      </c>
      <c r="J98" t="s">
        <v>1192</v>
      </c>
      <c r="K98" t="s">
        <v>74</v>
      </c>
      <c r="L98" t="s">
        <v>74</v>
      </c>
      <c r="M98" t="s">
        <v>78</v>
      </c>
      <c r="N98" t="s">
        <v>79</v>
      </c>
      <c r="O98" t="s">
        <v>74</v>
      </c>
      <c r="P98" t="s">
        <v>74</v>
      </c>
      <c r="Q98" t="s">
        <v>74</v>
      </c>
      <c r="R98" t="s">
        <v>74</v>
      </c>
      <c r="S98" t="s">
        <v>74</v>
      </c>
      <c r="T98" t="s">
        <v>2210</v>
      </c>
      <c r="U98" t="s">
        <v>2211</v>
      </c>
      <c r="V98" t="s">
        <v>2212</v>
      </c>
      <c r="W98" t="s">
        <v>2213</v>
      </c>
      <c r="X98" t="s">
        <v>2214</v>
      </c>
      <c r="Y98" t="s">
        <v>2215</v>
      </c>
      <c r="Z98" t="s">
        <v>2216</v>
      </c>
      <c r="AA98" t="s">
        <v>2217</v>
      </c>
      <c r="AB98" t="s">
        <v>2218</v>
      </c>
      <c r="AC98" t="s">
        <v>2219</v>
      </c>
      <c r="AD98" t="s">
        <v>2220</v>
      </c>
      <c r="AE98" t="s">
        <v>2221</v>
      </c>
      <c r="AF98" t="s">
        <v>74</v>
      </c>
      <c r="AG98">
        <v>39</v>
      </c>
      <c r="AH98">
        <v>26</v>
      </c>
      <c r="AI98">
        <v>26</v>
      </c>
      <c r="AJ98">
        <v>1</v>
      </c>
      <c r="AK98">
        <v>13</v>
      </c>
      <c r="AL98" t="s">
        <v>337</v>
      </c>
      <c r="AM98" t="s">
        <v>258</v>
      </c>
      <c r="AN98" t="s">
        <v>338</v>
      </c>
      <c r="AO98" t="s">
        <v>1204</v>
      </c>
      <c r="AP98" t="s">
        <v>1205</v>
      </c>
      <c r="AQ98" t="s">
        <v>74</v>
      </c>
      <c r="AR98" t="s">
        <v>1206</v>
      </c>
      <c r="AS98" t="s">
        <v>1207</v>
      </c>
      <c r="AT98" t="s">
        <v>98</v>
      </c>
      <c r="AU98">
        <v>2018</v>
      </c>
      <c r="AV98">
        <v>41</v>
      </c>
      <c r="AW98">
        <v>10</v>
      </c>
      <c r="AX98" t="s">
        <v>74</v>
      </c>
      <c r="AY98" t="s">
        <v>74</v>
      </c>
      <c r="AZ98" t="s">
        <v>74</v>
      </c>
      <c r="BA98" t="s">
        <v>74</v>
      </c>
      <c r="BB98">
        <v>1963</v>
      </c>
      <c r="BC98">
        <v>1972</v>
      </c>
      <c r="BD98" t="s">
        <v>74</v>
      </c>
      <c r="BE98" t="s">
        <v>2222</v>
      </c>
      <c r="BF98" t="str">
        <f>HYPERLINK("http://dx.doi.org/10.1007/s00300-018-2335-0","http://dx.doi.org/10.1007/s00300-018-2335-0")</f>
        <v>http://dx.doi.org/10.1007/s00300-018-2335-0</v>
      </c>
      <c r="BG98" t="s">
        <v>74</v>
      </c>
      <c r="BH98" t="s">
        <v>74</v>
      </c>
      <c r="BI98">
        <v>10</v>
      </c>
      <c r="BJ98" t="s">
        <v>1209</v>
      </c>
      <c r="BK98" t="s">
        <v>101</v>
      </c>
      <c r="BL98" t="s">
        <v>1210</v>
      </c>
      <c r="BM98" t="s">
        <v>1211</v>
      </c>
      <c r="BN98" t="s">
        <v>74</v>
      </c>
      <c r="BO98" t="s">
        <v>535</v>
      </c>
      <c r="BP98" t="s">
        <v>74</v>
      </c>
      <c r="BQ98" t="s">
        <v>74</v>
      </c>
      <c r="BR98" t="s">
        <v>104</v>
      </c>
      <c r="BS98" t="s">
        <v>2223</v>
      </c>
      <c r="BT98" t="str">
        <f>HYPERLINK("https%3A%2F%2Fwww.webofscience.com%2Fwos%2Fwoscc%2Ffull-record%2FWOS:000445212100005","View Full Record in Web of Science")</f>
        <v>View Full Record in Web of Science</v>
      </c>
    </row>
    <row r="99" spans="1:72" x14ac:dyDescent="0.15">
      <c r="A99" t="s">
        <v>72</v>
      </c>
      <c r="B99" t="s">
        <v>2224</v>
      </c>
      <c r="C99" t="s">
        <v>74</v>
      </c>
      <c r="D99" t="s">
        <v>74</v>
      </c>
      <c r="E99" t="s">
        <v>74</v>
      </c>
      <c r="F99" t="s">
        <v>2225</v>
      </c>
      <c r="G99" t="s">
        <v>74</v>
      </c>
      <c r="H99" t="s">
        <v>74</v>
      </c>
      <c r="I99" t="s">
        <v>2226</v>
      </c>
      <c r="J99" t="s">
        <v>1192</v>
      </c>
      <c r="K99" t="s">
        <v>74</v>
      </c>
      <c r="L99" t="s">
        <v>74</v>
      </c>
      <c r="M99" t="s">
        <v>78</v>
      </c>
      <c r="N99" t="s">
        <v>79</v>
      </c>
      <c r="O99" t="s">
        <v>74</v>
      </c>
      <c r="P99" t="s">
        <v>74</v>
      </c>
      <c r="Q99" t="s">
        <v>74</v>
      </c>
      <c r="R99" t="s">
        <v>74</v>
      </c>
      <c r="S99" t="s">
        <v>74</v>
      </c>
      <c r="T99" t="s">
        <v>2227</v>
      </c>
      <c r="U99" t="s">
        <v>2228</v>
      </c>
      <c r="V99" t="s">
        <v>2229</v>
      </c>
      <c r="W99" t="s">
        <v>2230</v>
      </c>
      <c r="X99" t="s">
        <v>2231</v>
      </c>
      <c r="Y99" t="s">
        <v>2232</v>
      </c>
      <c r="Z99" t="s">
        <v>2233</v>
      </c>
      <c r="AA99" t="s">
        <v>2234</v>
      </c>
      <c r="AB99" t="s">
        <v>2235</v>
      </c>
      <c r="AC99" t="s">
        <v>2236</v>
      </c>
      <c r="AD99" t="s">
        <v>2237</v>
      </c>
      <c r="AE99" t="s">
        <v>2238</v>
      </c>
      <c r="AF99" t="s">
        <v>74</v>
      </c>
      <c r="AG99">
        <v>65</v>
      </c>
      <c r="AH99">
        <v>6</v>
      </c>
      <c r="AI99">
        <v>6</v>
      </c>
      <c r="AJ99">
        <v>1</v>
      </c>
      <c r="AK99">
        <v>15</v>
      </c>
      <c r="AL99" t="s">
        <v>337</v>
      </c>
      <c r="AM99" t="s">
        <v>258</v>
      </c>
      <c r="AN99" t="s">
        <v>338</v>
      </c>
      <c r="AO99" t="s">
        <v>1204</v>
      </c>
      <c r="AP99" t="s">
        <v>1205</v>
      </c>
      <c r="AQ99" t="s">
        <v>74</v>
      </c>
      <c r="AR99" t="s">
        <v>1206</v>
      </c>
      <c r="AS99" t="s">
        <v>1207</v>
      </c>
      <c r="AT99" t="s">
        <v>98</v>
      </c>
      <c r="AU99">
        <v>2018</v>
      </c>
      <c r="AV99">
        <v>41</v>
      </c>
      <c r="AW99">
        <v>10</v>
      </c>
      <c r="AX99" t="s">
        <v>74</v>
      </c>
      <c r="AY99" t="s">
        <v>74</v>
      </c>
      <c r="AZ99" t="s">
        <v>74</v>
      </c>
      <c r="BA99" t="s">
        <v>74</v>
      </c>
      <c r="BB99">
        <v>2023</v>
      </c>
      <c r="BC99">
        <v>2031</v>
      </c>
      <c r="BD99" t="s">
        <v>74</v>
      </c>
      <c r="BE99" t="s">
        <v>2239</v>
      </c>
      <c r="BF99" t="str">
        <f>HYPERLINK("http://dx.doi.org/10.1007/s00300-018-2342-1","http://dx.doi.org/10.1007/s00300-018-2342-1")</f>
        <v>http://dx.doi.org/10.1007/s00300-018-2342-1</v>
      </c>
      <c r="BG99" t="s">
        <v>74</v>
      </c>
      <c r="BH99" t="s">
        <v>74</v>
      </c>
      <c r="BI99">
        <v>9</v>
      </c>
      <c r="BJ99" t="s">
        <v>1209</v>
      </c>
      <c r="BK99" t="s">
        <v>101</v>
      </c>
      <c r="BL99" t="s">
        <v>1210</v>
      </c>
      <c r="BM99" t="s">
        <v>1211</v>
      </c>
      <c r="BN99" t="s">
        <v>74</v>
      </c>
      <c r="BO99" t="s">
        <v>74</v>
      </c>
      <c r="BP99" t="s">
        <v>74</v>
      </c>
      <c r="BQ99" t="s">
        <v>74</v>
      </c>
      <c r="BR99" t="s">
        <v>104</v>
      </c>
      <c r="BS99" t="s">
        <v>2240</v>
      </c>
      <c r="BT99" t="str">
        <f>HYPERLINK("https%3A%2F%2Fwww.webofscience.com%2Fwos%2Fwoscc%2Ffull-record%2FWOS:000445212100010","View Full Record in Web of Science")</f>
        <v>View Full Record in Web of Science</v>
      </c>
    </row>
    <row r="100" spans="1:72" x14ac:dyDescent="0.15">
      <c r="A100" t="s">
        <v>72</v>
      </c>
      <c r="B100" t="s">
        <v>2241</v>
      </c>
      <c r="C100" t="s">
        <v>74</v>
      </c>
      <c r="D100" t="s">
        <v>74</v>
      </c>
      <c r="E100" t="s">
        <v>74</v>
      </c>
      <c r="F100" t="s">
        <v>2242</v>
      </c>
      <c r="G100" t="s">
        <v>74</v>
      </c>
      <c r="H100" t="s">
        <v>74</v>
      </c>
      <c r="I100" t="s">
        <v>2243</v>
      </c>
      <c r="J100" t="s">
        <v>1192</v>
      </c>
      <c r="K100" t="s">
        <v>74</v>
      </c>
      <c r="L100" t="s">
        <v>74</v>
      </c>
      <c r="M100" t="s">
        <v>78</v>
      </c>
      <c r="N100" t="s">
        <v>79</v>
      </c>
      <c r="O100" t="s">
        <v>74</v>
      </c>
      <c r="P100" t="s">
        <v>74</v>
      </c>
      <c r="Q100" t="s">
        <v>74</v>
      </c>
      <c r="R100" t="s">
        <v>74</v>
      </c>
      <c r="S100" t="s">
        <v>74</v>
      </c>
      <c r="T100" t="s">
        <v>2244</v>
      </c>
      <c r="U100" t="s">
        <v>2245</v>
      </c>
      <c r="V100" t="s">
        <v>2246</v>
      </c>
      <c r="W100" t="s">
        <v>2247</v>
      </c>
      <c r="X100" t="s">
        <v>2248</v>
      </c>
      <c r="Y100" t="s">
        <v>2249</v>
      </c>
      <c r="Z100" t="s">
        <v>2250</v>
      </c>
      <c r="AA100" t="s">
        <v>2251</v>
      </c>
      <c r="AB100" t="s">
        <v>2252</v>
      </c>
      <c r="AC100" t="s">
        <v>2253</v>
      </c>
      <c r="AD100" t="s">
        <v>2254</v>
      </c>
      <c r="AE100" t="s">
        <v>2255</v>
      </c>
      <c r="AF100" t="s">
        <v>74</v>
      </c>
      <c r="AG100">
        <v>33</v>
      </c>
      <c r="AH100">
        <v>8</v>
      </c>
      <c r="AI100">
        <v>10</v>
      </c>
      <c r="AJ100">
        <v>0</v>
      </c>
      <c r="AK100">
        <v>7</v>
      </c>
      <c r="AL100" t="s">
        <v>337</v>
      </c>
      <c r="AM100" t="s">
        <v>258</v>
      </c>
      <c r="AN100" t="s">
        <v>338</v>
      </c>
      <c r="AO100" t="s">
        <v>1204</v>
      </c>
      <c r="AP100" t="s">
        <v>1205</v>
      </c>
      <c r="AQ100" t="s">
        <v>74</v>
      </c>
      <c r="AR100" t="s">
        <v>1206</v>
      </c>
      <c r="AS100" t="s">
        <v>1207</v>
      </c>
      <c r="AT100" t="s">
        <v>98</v>
      </c>
      <c r="AU100">
        <v>2018</v>
      </c>
      <c r="AV100">
        <v>41</v>
      </c>
      <c r="AW100">
        <v>10</v>
      </c>
      <c r="AX100" t="s">
        <v>74</v>
      </c>
      <c r="AY100" t="s">
        <v>74</v>
      </c>
      <c r="AZ100" t="s">
        <v>74</v>
      </c>
      <c r="BA100" t="s">
        <v>74</v>
      </c>
      <c r="BB100">
        <v>2159</v>
      </c>
      <c r="BC100">
        <v>2165</v>
      </c>
      <c r="BD100" t="s">
        <v>74</v>
      </c>
      <c r="BE100" t="s">
        <v>2256</v>
      </c>
      <c r="BF100" t="str">
        <f>HYPERLINK("http://dx.doi.org/10.1007/s00300-018-2344-z","http://dx.doi.org/10.1007/s00300-018-2344-z")</f>
        <v>http://dx.doi.org/10.1007/s00300-018-2344-z</v>
      </c>
      <c r="BG100" t="s">
        <v>74</v>
      </c>
      <c r="BH100" t="s">
        <v>74</v>
      </c>
      <c r="BI100">
        <v>7</v>
      </c>
      <c r="BJ100" t="s">
        <v>1209</v>
      </c>
      <c r="BK100" t="s">
        <v>101</v>
      </c>
      <c r="BL100" t="s">
        <v>1210</v>
      </c>
      <c r="BM100" t="s">
        <v>1211</v>
      </c>
      <c r="BN100" t="s">
        <v>74</v>
      </c>
      <c r="BO100" t="s">
        <v>74</v>
      </c>
      <c r="BP100" t="s">
        <v>74</v>
      </c>
      <c r="BQ100" t="s">
        <v>74</v>
      </c>
      <c r="BR100" t="s">
        <v>104</v>
      </c>
      <c r="BS100" t="s">
        <v>2257</v>
      </c>
      <c r="BT100" t="str">
        <f>HYPERLINK("https%3A%2F%2Fwww.webofscience.com%2Fwos%2Fwoscc%2Ffull-record%2FWOS:000445212100020","View Full Record in Web of Science")</f>
        <v>View Full Record in Web of Science</v>
      </c>
    </row>
    <row r="101" spans="1:72" x14ac:dyDescent="0.15">
      <c r="A101" t="s">
        <v>72</v>
      </c>
      <c r="B101" t="s">
        <v>2258</v>
      </c>
      <c r="C101" t="s">
        <v>74</v>
      </c>
      <c r="D101" t="s">
        <v>74</v>
      </c>
      <c r="E101" t="s">
        <v>74</v>
      </c>
      <c r="F101" t="s">
        <v>2259</v>
      </c>
      <c r="G101" t="s">
        <v>74</v>
      </c>
      <c r="H101" t="s">
        <v>74</v>
      </c>
      <c r="I101" t="s">
        <v>2260</v>
      </c>
      <c r="J101" t="s">
        <v>2261</v>
      </c>
      <c r="K101" t="s">
        <v>74</v>
      </c>
      <c r="L101" t="s">
        <v>74</v>
      </c>
      <c r="M101" t="s">
        <v>78</v>
      </c>
      <c r="N101" t="s">
        <v>79</v>
      </c>
      <c r="O101" t="s">
        <v>74</v>
      </c>
      <c r="P101" t="s">
        <v>74</v>
      </c>
      <c r="Q101" t="s">
        <v>74</v>
      </c>
      <c r="R101" t="s">
        <v>74</v>
      </c>
      <c r="S101" t="s">
        <v>74</v>
      </c>
      <c r="T101" t="s">
        <v>2262</v>
      </c>
      <c r="U101" t="s">
        <v>2263</v>
      </c>
      <c r="V101" t="s">
        <v>2264</v>
      </c>
      <c r="W101" t="s">
        <v>2265</v>
      </c>
      <c r="X101" t="s">
        <v>2266</v>
      </c>
      <c r="Y101" t="s">
        <v>2267</v>
      </c>
      <c r="Z101" t="s">
        <v>2268</v>
      </c>
      <c r="AA101" t="s">
        <v>2269</v>
      </c>
      <c r="AB101" t="s">
        <v>2270</v>
      </c>
      <c r="AC101" t="s">
        <v>2271</v>
      </c>
      <c r="AD101" t="s">
        <v>2272</v>
      </c>
      <c r="AE101" t="s">
        <v>2273</v>
      </c>
      <c r="AF101" t="s">
        <v>74</v>
      </c>
      <c r="AG101">
        <v>51</v>
      </c>
      <c r="AH101">
        <v>4</v>
      </c>
      <c r="AI101">
        <v>4</v>
      </c>
      <c r="AJ101">
        <v>1</v>
      </c>
      <c r="AK101">
        <v>19</v>
      </c>
      <c r="AL101" t="s">
        <v>337</v>
      </c>
      <c r="AM101" t="s">
        <v>258</v>
      </c>
      <c r="AN101" t="s">
        <v>387</v>
      </c>
      <c r="AO101" t="s">
        <v>2274</v>
      </c>
      <c r="AP101" t="s">
        <v>2275</v>
      </c>
      <c r="AQ101" t="s">
        <v>74</v>
      </c>
      <c r="AR101" t="s">
        <v>2276</v>
      </c>
      <c r="AS101" t="s">
        <v>2277</v>
      </c>
      <c r="AT101" t="s">
        <v>98</v>
      </c>
      <c r="AU101">
        <v>2018</v>
      </c>
      <c r="AV101">
        <v>32</v>
      </c>
      <c r="AW101">
        <v>10</v>
      </c>
      <c r="AX101" t="s">
        <v>74</v>
      </c>
      <c r="AY101" t="s">
        <v>74</v>
      </c>
      <c r="AZ101" t="s">
        <v>74</v>
      </c>
      <c r="BA101" t="s">
        <v>74</v>
      </c>
      <c r="BB101">
        <v>2787</v>
      </c>
      <c r="BC101">
        <v>2807</v>
      </c>
      <c r="BD101" t="s">
        <v>74</v>
      </c>
      <c r="BE101" t="s">
        <v>2278</v>
      </c>
      <c r="BF101" t="str">
        <f>HYPERLINK("http://dx.doi.org/10.1007/s00477-018-1599-9","http://dx.doi.org/10.1007/s00477-018-1599-9")</f>
        <v>http://dx.doi.org/10.1007/s00477-018-1599-9</v>
      </c>
      <c r="BG101" t="s">
        <v>74</v>
      </c>
      <c r="BH101" t="s">
        <v>74</v>
      </c>
      <c r="BI101">
        <v>21</v>
      </c>
      <c r="BJ101" t="s">
        <v>2279</v>
      </c>
      <c r="BK101" t="s">
        <v>101</v>
      </c>
      <c r="BL101" t="s">
        <v>2280</v>
      </c>
      <c r="BM101" t="s">
        <v>2281</v>
      </c>
      <c r="BN101" t="s">
        <v>74</v>
      </c>
      <c r="BO101" t="s">
        <v>2282</v>
      </c>
      <c r="BP101" t="s">
        <v>74</v>
      </c>
      <c r="BQ101" t="s">
        <v>74</v>
      </c>
      <c r="BR101" t="s">
        <v>104</v>
      </c>
      <c r="BS101" t="s">
        <v>2283</v>
      </c>
      <c r="BT101" t="str">
        <f>HYPERLINK("https%3A%2F%2Fwww.webofscience.com%2Fwos%2Fwoscc%2Ffull-record%2FWOS:000446064000002","View Full Record in Web of Science")</f>
        <v>View Full Record in Web of Science</v>
      </c>
    </row>
    <row r="102" spans="1:72" x14ac:dyDescent="0.15">
      <c r="A102" t="s">
        <v>72</v>
      </c>
      <c r="B102" t="s">
        <v>2284</v>
      </c>
      <c r="C102" t="s">
        <v>74</v>
      </c>
      <c r="D102" t="s">
        <v>74</v>
      </c>
      <c r="E102" t="s">
        <v>74</v>
      </c>
      <c r="F102" t="s">
        <v>2285</v>
      </c>
      <c r="G102" t="s">
        <v>74</v>
      </c>
      <c r="H102" t="s">
        <v>74</v>
      </c>
      <c r="I102" t="s">
        <v>2286</v>
      </c>
      <c r="J102" t="s">
        <v>2287</v>
      </c>
      <c r="K102" t="s">
        <v>74</v>
      </c>
      <c r="L102" t="s">
        <v>74</v>
      </c>
      <c r="M102" t="s">
        <v>78</v>
      </c>
      <c r="N102" t="s">
        <v>79</v>
      </c>
      <c r="O102" t="s">
        <v>74</v>
      </c>
      <c r="P102" t="s">
        <v>74</v>
      </c>
      <c r="Q102" t="s">
        <v>74</v>
      </c>
      <c r="R102" t="s">
        <v>74</v>
      </c>
      <c r="S102" t="s">
        <v>74</v>
      </c>
      <c r="T102" t="s">
        <v>2288</v>
      </c>
      <c r="U102" t="s">
        <v>2289</v>
      </c>
      <c r="V102" t="s">
        <v>2290</v>
      </c>
      <c r="W102" t="s">
        <v>2291</v>
      </c>
      <c r="X102" t="s">
        <v>2292</v>
      </c>
      <c r="Y102" t="s">
        <v>2293</v>
      </c>
      <c r="Z102" t="s">
        <v>2294</v>
      </c>
      <c r="AA102" t="s">
        <v>74</v>
      </c>
      <c r="AB102" t="s">
        <v>2295</v>
      </c>
      <c r="AC102" t="s">
        <v>2296</v>
      </c>
      <c r="AD102" t="s">
        <v>2297</v>
      </c>
      <c r="AE102" t="s">
        <v>2298</v>
      </c>
      <c r="AF102" t="s">
        <v>74</v>
      </c>
      <c r="AG102">
        <v>31</v>
      </c>
      <c r="AH102">
        <v>2</v>
      </c>
      <c r="AI102">
        <v>4</v>
      </c>
      <c r="AJ102">
        <v>0</v>
      </c>
      <c r="AK102">
        <v>3</v>
      </c>
      <c r="AL102" t="s">
        <v>149</v>
      </c>
      <c r="AM102" t="s">
        <v>93</v>
      </c>
      <c r="AN102" t="s">
        <v>150</v>
      </c>
      <c r="AO102" t="s">
        <v>2299</v>
      </c>
      <c r="AP102" t="s">
        <v>2300</v>
      </c>
      <c r="AQ102" t="s">
        <v>74</v>
      </c>
      <c r="AR102" t="s">
        <v>2301</v>
      </c>
      <c r="AS102" t="s">
        <v>2302</v>
      </c>
      <c r="AT102" t="s">
        <v>98</v>
      </c>
      <c r="AU102">
        <v>2018</v>
      </c>
      <c r="AV102">
        <v>80</v>
      </c>
      <c r="AW102" t="s">
        <v>74</v>
      </c>
      <c r="AX102" t="s">
        <v>74</v>
      </c>
      <c r="AY102" t="s">
        <v>74</v>
      </c>
      <c r="AZ102" t="s">
        <v>74</v>
      </c>
      <c r="BA102" t="s">
        <v>74</v>
      </c>
      <c r="BB102">
        <v>73</v>
      </c>
      <c r="BC102">
        <v>75</v>
      </c>
      <c r="BD102" t="s">
        <v>74</v>
      </c>
      <c r="BE102" t="s">
        <v>2303</v>
      </c>
      <c r="BF102" t="str">
        <f>HYPERLINK("http://dx.doi.org/10.1016/j.bse.2018.07.004","http://dx.doi.org/10.1016/j.bse.2018.07.004")</f>
        <v>http://dx.doi.org/10.1016/j.bse.2018.07.004</v>
      </c>
      <c r="BG102" t="s">
        <v>74</v>
      </c>
      <c r="BH102" t="s">
        <v>74</v>
      </c>
      <c r="BI102">
        <v>3</v>
      </c>
      <c r="BJ102" t="s">
        <v>2304</v>
      </c>
      <c r="BK102" t="s">
        <v>101</v>
      </c>
      <c r="BL102" t="s">
        <v>2305</v>
      </c>
      <c r="BM102" t="s">
        <v>2306</v>
      </c>
      <c r="BN102" t="s">
        <v>74</v>
      </c>
      <c r="BO102" t="s">
        <v>74</v>
      </c>
      <c r="BP102" t="s">
        <v>74</v>
      </c>
      <c r="BQ102" t="s">
        <v>74</v>
      </c>
      <c r="BR102" t="s">
        <v>104</v>
      </c>
      <c r="BS102" t="s">
        <v>2307</v>
      </c>
      <c r="BT102" t="str">
        <f>HYPERLINK("https%3A%2F%2Fwww.webofscience.com%2Fwos%2Fwoscc%2Ffull-record%2FWOS:000445714200014","View Full Record in Web of Science")</f>
        <v>View Full Record in Web of Science</v>
      </c>
    </row>
    <row r="103" spans="1:72" x14ac:dyDescent="0.15">
      <c r="A103" t="s">
        <v>72</v>
      </c>
      <c r="B103" t="s">
        <v>2308</v>
      </c>
      <c r="C103" t="s">
        <v>74</v>
      </c>
      <c r="D103" t="s">
        <v>74</v>
      </c>
      <c r="E103" t="s">
        <v>74</v>
      </c>
      <c r="F103" t="s">
        <v>2309</v>
      </c>
      <c r="G103" t="s">
        <v>74</v>
      </c>
      <c r="H103" t="s">
        <v>74</v>
      </c>
      <c r="I103" t="s">
        <v>2310</v>
      </c>
      <c r="J103" t="s">
        <v>666</v>
      </c>
      <c r="K103" t="s">
        <v>74</v>
      </c>
      <c r="L103" t="s">
        <v>74</v>
      </c>
      <c r="M103" t="s">
        <v>78</v>
      </c>
      <c r="N103" t="s">
        <v>79</v>
      </c>
      <c r="O103" t="s">
        <v>74</v>
      </c>
      <c r="P103" t="s">
        <v>74</v>
      </c>
      <c r="Q103" t="s">
        <v>74</v>
      </c>
      <c r="R103" t="s">
        <v>74</v>
      </c>
      <c r="S103" t="s">
        <v>74</v>
      </c>
      <c r="T103" t="s">
        <v>2311</v>
      </c>
      <c r="U103" t="s">
        <v>74</v>
      </c>
      <c r="V103" t="s">
        <v>2312</v>
      </c>
      <c r="W103" t="s">
        <v>2313</v>
      </c>
      <c r="X103" t="s">
        <v>2314</v>
      </c>
      <c r="Y103" t="s">
        <v>2315</v>
      </c>
      <c r="Z103" t="s">
        <v>2316</v>
      </c>
      <c r="AA103" t="s">
        <v>74</v>
      </c>
      <c r="AB103" t="s">
        <v>2317</v>
      </c>
      <c r="AC103" t="s">
        <v>2318</v>
      </c>
      <c r="AD103" t="s">
        <v>2319</v>
      </c>
      <c r="AE103" t="s">
        <v>2320</v>
      </c>
      <c r="AF103" t="s">
        <v>74</v>
      </c>
      <c r="AG103">
        <v>23</v>
      </c>
      <c r="AH103">
        <v>5</v>
      </c>
      <c r="AI103">
        <v>5</v>
      </c>
      <c r="AJ103">
        <v>0</v>
      </c>
      <c r="AK103">
        <v>11</v>
      </c>
      <c r="AL103" t="s">
        <v>676</v>
      </c>
      <c r="AM103" t="s">
        <v>677</v>
      </c>
      <c r="AN103" t="s">
        <v>678</v>
      </c>
      <c r="AO103" t="s">
        <v>679</v>
      </c>
      <c r="AP103" t="s">
        <v>680</v>
      </c>
      <c r="AQ103" t="s">
        <v>74</v>
      </c>
      <c r="AR103" t="s">
        <v>681</v>
      </c>
      <c r="AS103" t="s">
        <v>682</v>
      </c>
      <c r="AT103" t="s">
        <v>98</v>
      </c>
      <c r="AU103">
        <v>2018</v>
      </c>
      <c r="AV103">
        <v>22</v>
      </c>
      <c r="AW103">
        <v>4</v>
      </c>
      <c r="AX103" t="s">
        <v>74</v>
      </c>
      <c r="AY103" t="s">
        <v>74</v>
      </c>
      <c r="AZ103" t="s">
        <v>74</v>
      </c>
      <c r="BA103" t="s">
        <v>74</v>
      </c>
      <c r="BB103" t="s">
        <v>74</v>
      </c>
      <c r="BC103" t="s">
        <v>74</v>
      </c>
      <c r="BD103">
        <v>124</v>
      </c>
      <c r="BE103" t="s">
        <v>2321</v>
      </c>
      <c r="BF103" t="str">
        <f>HYPERLINK("http://dx.doi.org/10.1007/s10291-018-0791-1","http://dx.doi.org/10.1007/s10291-018-0791-1")</f>
        <v>http://dx.doi.org/10.1007/s10291-018-0791-1</v>
      </c>
      <c r="BG103" t="s">
        <v>74</v>
      </c>
      <c r="BH103" t="s">
        <v>74</v>
      </c>
      <c r="BI103">
        <v>13</v>
      </c>
      <c r="BJ103" t="s">
        <v>684</v>
      </c>
      <c r="BK103" t="s">
        <v>101</v>
      </c>
      <c r="BL103" t="s">
        <v>684</v>
      </c>
      <c r="BM103" t="s">
        <v>2322</v>
      </c>
      <c r="BN103" t="s">
        <v>74</v>
      </c>
      <c r="BO103" t="s">
        <v>74</v>
      </c>
      <c r="BP103" t="s">
        <v>74</v>
      </c>
      <c r="BQ103" t="s">
        <v>74</v>
      </c>
      <c r="BR103" t="s">
        <v>104</v>
      </c>
      <c r="BS103" t="s">
        <v>2323</v>
      </c>
      <c r="BT103" t="str">
        <f>HYPERLINK("https%3A%2F%2Fwww.webofscience.com%2Fwos%2Fwoscc%2Ffull-record%2FWOS:000445753900001","View Full Record in Web of Science")</f>
        <v>View Full Record in Web of Science</v>
      </c>
    </row>
    <row r="104" spans="1:72" x14ac:dyDescent="0.15">
      <c r="A104" t="s">
        <v>72</v>
      </c>
      <c r="B104" t="s">
        <v>2324</v>
      </c>
      <c r="C104" t="s">
        <v>74</v>
      </c>
      <c r="D104" t="s">
        <v>74</v>
      </c>
      <c r="E104" t="s">
        <v>74</v>
      </c>
      <c r="F104" t="s">
        <v>2325</v>
      </c>
      <c r="G104" t="s">
        <v>74</v>
      </c>
      <c r="H104" t="s">
        <v>74</v>
      </c>
      <c r="I104" t="s">
        <v>2326</v>
      </c>
      <c r="J104" t="s">
        <v>2327</v>
      </c>
      <c r="K104" t="s">
        <v>74</v>
      </c>
      <c r="L104" t="s">
        <v>74</v>
      </c>
      <c r="M104" t="s">
        <v>78</v>
      </c>
      <c r="N104" t="s">
        <v>79</v>
      </c>
      <c r="O104" t="s">
        <v>74</v>
      </c>
      <c r="P104" t="s">
        <v>74</v>
      </c>
      <c r="Q104" t="s">
        <v>74</v>
      </c>
      <c r="R104" t="s">
        <v>74</v>
      </c>
      <c r="S104" t="s">
        <v>74</v>
      </c>
      <c r="T104" t="s">
        <v>2328</v>
      </c>
      <c r="U104" t="s">
        <v>2329</v>
      </c>
      <c r="V104" t="s">
        <v>2330</v>
      </c>
      <c r="W104" t="s">
        <v>2331</v>
      </c>
      <c r="X104" t="s">
        <v>2332</v>
      </c>
      <c r="Y104" t="s">
        <v>2333</v>
      </c>
      <c r="Z104" t="s">
        <v>2334</v>
      </c>
      <c r="AA104" t="s">
        <v>74</v>
      </c>
      <c r="AB104" t="s">
        <v>74</v>
      </c>
      <c r="AC104" t="s">
        <v>2335</v>
      </c>
      <c r="AD104" t="s">
        <v>2336</v>
      </c>
      <c r="AE104" t="s">
        <v>2337</v>
      </c>
      <c r="AF104" t="s">
        <v>74</v>
      </c>
      <c r="AG104">
        <v>42</v>
      </c>
      <c r="AH104">
        <v>4</v>
      </c>
      <c r="AI104">
        <v>4</v>
      </c>
      <c r="AJ104">
        <v>0</v>
      </c>
      <c r="AK104">
        <v>10</v>
      </c>
      <c r="AL104" t="s">
        <v>758</v>
      </c>
      <c r="AM104" t="s">
        <v>759</v>
      </c>
      <c r="AN104" t="s">
        <v>760</v>
      </c>
      <c r="AO104" t="s">
        <v>2338</v>
      </c>
      <c r="AP104" t="s">
        <v>2339</v>
      </c>
      <c r="AQ104" t="s">
        <v>74</v>
      </c>
      <c r="AR104" t="s">
        <v>2327</v>
      </c>
      <c r="AS104" t="s">
        <v>2340</v>
      </c>
      <c r="AT104" t="s">
        <v>98</v>
      </c>
      <c r="AU104">
        <v>2018</v>
      </c>
      <c r="AV104">
        <v>160</v>
      </c>
      <c r="AW104">
        <v>4</v>
      </c>
      <c r="AX104" t="s">
        <v>74</v>
      </c>
      <c r="AY104" t="s">
        <v>74</v>
      </c>
      <c r="AZ104" t="s">
        <v>74</v>
      </c>
      <c r="BA104" t="s">
        <v>74</v>
      </c>
      <c r="BB104">
        <v>907</v>
      </c>
      <c r="BC104">
        <v>913</v>
      </c>
      <c r="BD104" t="s">
        <v>74</v>
      </c>
      <c r="BE104" t="s">
        <v>2341</v>
      </c>
      <c r="BF104" t="str">
        <f>HYPERLINK("http://dx.doi.org/10.1111/ibi.12622","http://dx.doi.org/10.1111/ibi.12622")</f>
        <v>http://dx.doi.org/10.1111/ibi.12622</v>
      </c>
      <c r="BG104" t="s">
        <v>74</v>
      </c>
      <c r="BH104" t="s">
        <v>74</v>
      </c>
      <c r="BI104">
        <v>7</v>
      </c>
      <c r="BJ104" t="s">
        <v>2342</v>
      </c>
      <c r="BK104" t="s">
        <v>101</v>
      </c>
      <c r="BL104" t="s">
        <v>2343</v>
      </c>
      <c r="BM104" t="s">
        <v>2344</v>
      </c>
      <c r="BN104" t="s">
        <v>74</v>
      </c>
      <c r="BO104" t="s">
        <v>211</v>
      </c>
      <c r="BP104" t="s">
        <v>74</v>
      </c>
      <c r="BQ104" t="s">
        <v>74</v>
      </c>
      <c r="BR104" t="s">
        <v>104</v>
      </c>
      <c r="BS104" t="s">
        <v>2345</v>
      </c>
      <c r="BT104" t="str">
        <f>HYPERLINK("https%3A%2F%2Fwww.webofscience.com%2Fwos%2Fwoscc%2Ffull-record%2FWOS:000445730000016","View Full Record in Web of Science")</f>
        <v>View Full Record in Web of Science</v>
      </c>
    </row>
    <row r="105" spans="1:72" x14ac:dyDescent="0.15">
      <c r="A105" t="s">
        <v>72</v>
      </c>
      <c r="B105" t="s">
        <v>2346</v>
      </c>
      <c r="C105" t="s">
        <v>74</v>
      </c>
      <c r="D105" t="s">
        <v>74</v>
      </c>
      <c r="E105" t="s">
        <v>74</v>
      </c>
      <c r="F105" t="s">
        <v>2347</v>
      </c>
      <c r="G105" t="s">
        <v>74</v>
      </c>
      <c r="H105" t="s">
        <v>74</v>
      </c>
      <c r="I105" t="s">
        <v>2348</v>
      </c>
      <c r="J105" t="s">
        <v>109</v>
      </c>
      <c r="K105" t="s">
        <v>74</v>
      </c>
      <c r="L105" t="s">
        <v>74</v>
      </c>
      <c r="M105" t="s">
        <v>110</v>
      </c>
      <c r="N105" t="s">
        <v>79</v>
      </c>
      <c r="O105" t="s">
        <v>74</v>
      </c>
      <c r="P105" t="s">
        <v>74</v>
      </c>
      <c r="Q105" t="s">
        <v>74</v>
      </c>
      <c r="R105" t="s">
        <v>74</v>
      </c>
      <c r="S105" t="s">
        <v>74</v>
      </c>
      <c r="T105" t="s">
        <v>2349</v>
      </c>
      <c r="U105" t="s">
        <v>74</v>
      </c>
      <c r="V105" t="s">
        <v>2350</v>
      </c>
      <c r="W105" t="s">
        <v>2351</v>
      </c>
      <c r="X105" t="s">
        <v>2352</v>
      </c>
      <c r="Y105" t="s">
        <v>2353</v>
      </c>
      <c r="Z105" t="s">
        <v>2354</v>
      </c>
      <c r="AA105" t="s">
        <v>74</v>
      </c>
      <c r="AB105" t="s">
        <v>74</v>
      </c>
      <c r="AC105" t="s">
        <v>74</v>
      </c>
      <c r="AD105" t="s">
        <v>74</v>
      </c>
      <c r="AE105" t="s">
        <v>74</v>
      </c>
      <c r="AF105" t="s">
        <v>74</v>
      </c>
      <c r="AG105">
        <v>12</v>
      </c>
      <c r="AH105">
        <v>0</v>
      </c>
      <c r="AI105">
        <v>0</v>
      </c>
      <c r="AJ105">
        <v>0</v>
      </c>
      <c r="AK105">
        <v>0</v>
      </c>
      <c r="AL105" t="s">
        <v>118</v>
      </c>
      <c r="AM105" t="s">
        <v>119</v>
      </c>
      <c r="AN105" t="s">
        <v>120</v>
      </c>
      <c r="AO105" t="s">
        <v>121</v>
      </c>
      <c r="AP105" t="s">
        <v>74</v>
      </c>
      <c r="AQ105" t="s">
        <v>74</v>
      </c>
      <c r="AR105" t="s">
        <v>122</v>
      </c>
      <c r="AS105" t="s">
        <v>123</v>
      </c>
      <c r="AT105" t="s">
        <v>124</v>
      </c>
      <c r="AU105">
        <v>2018</v>
      </c>
      <c r="AV105">
        <v>9</v>
      </c>
      <c r="AW105">
        <v>4</v>
      </c>
      <c r="AX105" t="s">
        <v>74</v>
      </c>
      <c r="AY105" t="s">
        <v>74</v>
      </c>
      <c r="AZ105" t="s">
        <v>74</v>
      </c>
      <c r="BA105" t="s">
        <v>74</v>
      </c>
      <c r="BB105">
        <v>19</v>
      </c>
      <c r="BC105">
        <v>27</v>
      </c>
      <c r="BD105" t="s">
        <v>74</v>
      </c>
      <c r="BE105" t="s">
        <v>74</v>
      </c>
      <c r="BF105" t="s">
        <v>74</v>
      </c>
      <c r="BG105" t="s">
        <v>74</v>
      </c>
      <c r="BH105" t="s">
        <v>74</v>
      </c>
      <c r="BI105">
        <v>9</v>
      </c>
      <c r="BJ105" t="s">
        <v>125</v>
      </c>
      <c r="BK105" t="s">
        <v>126</v>
      </c>
      <c r="BL105" t="s">
        <v>125</v>
      </c>
      <c r="BM105" t="s">
        <v>2355</v>
      </c>
      <c r="BN105" t="s">
        <v>74</v>
      </c>
      <c r="BO105" t="s">
        <v>74</v>
      </c>
      <c r="BP105" t="s">
        <v>74</v>
      </c>
      <c r="BQ105" t="s">
        <v>74</v>
      </c>
      <c r="BR105" t="s">
        <v>104</v>
      </c>
      <c r="BS105" t="s">
        <v>2356</v>
      </c>
      <c r="BT105" t="str">
        <f>HYPERLINK("https%3A%2F%2Fwww.webofscience.com%2Fwos%2Fwoscc%2Ffull-record%2FWOS:000445812400002","View Full Record in Web of Science")</f>
        <v>View Full Record in Web of Science</v>
      </c>
    </row>
    <row r="106" spans="1:72" x14ac:dyDescent="0.15">
      <c r="A106" t="s">
        <v>72</v>
      </c>
      <c r="B106" t="s">
        <v>2357</v>
      </c>
      <c r="C106" t="s">
        <v>74</v>
      </c>
      <c r="D106" t="s">
        <v>74</v>
      </c>
      <c r="E106" t="s">
        <v>74</v>
      </c>
      <c r="F106" t="s">
        <v>2358</v>
      </c>
      <c r="G106" t="s">
        <v>74</v>
      </c>
      <c r="H106" t="s">
        <v>74</v>
      </c>
      <c r="I106" t="s">
        <v>2359</v>
      </c>
      <c r="J106" t="s">
        <v>2360</v>
      </c>
      <c r="K106" t="s">
        <v>74</v>
      </c>
      <c r="L106" t="s">
        <v>74</v>
      </c>
      <c r="M106" t="s">
        <v>78</v>
      </c>
      <c r="N106" t="s">
        <v>79</v>
      </c>
      <c r="O106" t="s">
        <v>74</v>
      </c>
      <c r="P106" t="s">
        <v>74</v>
      </c>
      <c r="Q106" t="s">
        <v>74</v>
      </c>
      <c r="R106" t="s">
        <v>74</v>
      </c>
      <c r="S106" t="s">
        <v>74</v>
      </c>
      <c r="T106" t="s">
        <v>2361</v>
      </c>
      <c r="U106" t="s">
        <v>2362</v>
      </c>
      <c r="V106" t="s">
        <v>2363</v>
      </c>
      <c r="W106" t="s">
        <v>2364</v>
      </c>
      <c r="X106" t="s">
        <v>2365</v>
      </c>
      <c r="Y106" t="s">
        <v>2366</v>
      </c>
      <c r="Z106" t="s">
        <v>2367</v>
      </c>
      <c r="AA106" t="s">
        <v>2368</v>
      </c>
      <c r="AB106" t="s">
        <v>2369</v>
      </c>
      <c r="AC106" t="s">
        <v>2370</v>
      </c>
      <c r="AD106" t="s">
        <v>2370</v>
      </c>
      <c r="AE106" t="s">
        <v>2371</v>
      </c>
      <c r="AF106" t="s">
        <v>74</v>
      </c>
      <c r="AG106">
        <v>42</v>
      </c>
      <c r="AH106">
        <v>15</v>
      </c>
      <c r="AI106">
        <v>16</v>
      </c>
      <c r="AJ106">
        <v>1</v>
      </c>
      <c r="AK106">
        <v>15</v>
      </c>
      <c r="AL106" t="s">
        <v>337</v>
      </c>
      <c r="AM106" t="s">
        <v>912</v>
      </c>
      <c r="AN106" t="s">
        <v>913</v>
      </c>
      <c r="AO106" t="s">
        <v>2372</v>
      </c>
      <c r="AP106" t="s">
        <v>2373</v>
      </c>
      <c r="AQ106" t="s">
        <v>74</v>
      </c>
      <c r="AR106" t="s">
        <v>2360</v>
      </c>
      <c r="AS106" t="s">
        <v>2374</v>
      </c>
      <c r="AT106" t="s">
        <v>98</v>
      </c>
      <c r="AU106">
        <v>2018</v>
      </c>
      <c r="AV106">
        <v>54</v>
      </c>
      <c r="AW106">
        <v>5</v>
      </c>
      <c r="AX106" t="s">
        <v>74</v>
      </c>
      <c r="AY106" t="s">
        <v>74</v>
      </c>
      <c r="AZ106" t="s">
        <v>74</v>
      </c>
      <c r="BA106" t="s">
        <v>74</v>
      </c>
      <c r="BB106">
        <v>719</v>
      </c>
      <c r="BC106">
        <v>723</v>
      </c>
      <c r="BD106" t="s">
        <v>74</v>
      </c>
      <c r="BE106" t="s">
        <v>2375</v>
      </c>
      <c r="BF106" t="str">
        <f>HYPERLINK("http://dx.doi.org/10.1007/s11262-018-1585-9","http://dx.doi.org/10.1007/s11262-018-1585-9")</f>
        <v>http://dx.doi.org/10.1007/s11262-018-1585-9</v>
      </c>
      <c r="BG106" t="s">
        <v>74</v>
      </c>
      <c r="BH106" t="s">
        <v>74</v>
      </c>
      <c r="BI106">
        <v>5</v>
      </c>
      <c r="BJ106" t="s">
        <v>2376</v>
      </c>
      <c r="BK106" t="s">
        <v>101</v>
      </c>
      <c r="BL106" t="s">
        <v>2376</v>
      </c>
      <c r="BM106" t="s">
        <v>2377</v>
      </c>
      <c r="BN106">
        <v>29971737</v>
      </c>
      <c r="BO106" t="s">
        <v>74</v>
      </c>
      <c r="BP106" t="s">
        <v>74</v>
      </c>
      <c r="BQ106" t="s">
        <v>74</v>
      </c>
      <c r="BR106" t="s">
        <v>104</v>
      </c>
      <c r="BS106" t="s">
        <v>2378</v>
      </c>
      <c r="BT106" t="str">
        <f>HYPERLINK("https%3A%2F%2Fwww.webofscience.com%2Fwos%2Fwoscc%2Ffull-record%2FWOS:000445434400009","View Full Record in Web of Science")</f>
        <v>View Full Record in Web of Science</v>
      </c>
    </row>
    <row r="107" spans="1:72" x14ac:dyDescent="0.15">
      <c r="A107" t="s">
        <v>72</v>
      </c>
      <c r="B107" t="s">
        <v>2379</v>
      </c>
      <c r="C107" t="s">
        <v>74</v>
      </c>
      <c r="D107" t="s">
        <v>74</v>
      </c>
      <c r="E107" t="s">
        <v>74</v>
      </c>
      <c r="F107" t="s">
        <v>2380</v>
      </c>
      <c r="G107" t="s">
        <v>74</v>
      </c>
      <c r="H107" t="s">
        <v>74</v>
      </c>
      <c r="I107" t="s">
        <v>2381</v>
      </c>
      <c r="J107" t="s">
        <v>2382</v>
      </c>
      <c r="K107" t="s">
        <v>74</v>
      </c>
      <c r="L107" t="s">
        <v>74</v>
      </c>
      <c r="M107" t="s">
        <v>78</v>
      </c>
      <c r="N107" t="s">
        <v>79</v>
      </c>
      <c r="O107" t="s">
        <v>74</v>
      </c>
      <c r="P107" t="s">
        <v>74</v>
      </c>
      <c r="Q107" t="s">
        <v>74</v>
      </c>
      <c r="R107" t="s">
        <v>74</v>
      </c>
      <c r="S107" t="s">
        <v>74</v>
      </c>
      <c r="T107" t="s">
        <v>74</v>
      </c>
      <c r="U107" t="s">
        <v>2383</v>
      </c>
      <c r="V107" t="s">
        <v>2384</v>
      </c>
      <c r="W107" t="s">
        <v>2385</v>
      </c>
      <c r="X107" t="s">
        <v>2386</v>
      </c>
      <c r="Y107" t="s">
        <v>2387</v>
      </c>
      <c r="Z107" t="s">
        <v>74</v>
      </c>
      <c r="AA107" t="s">
        <v>2388</v>
      </c>
      <c r="AB107" t="s">
        <v>2389</v>
      </c>
      <c r="AC107" t="s">
        <v>2390</v>
      </c>
      <c r="AD107" t="s">
        <v>2391</v>
      </c>
      <c r="AE107" t="s">
        <v>2392</v>
      </c>
      <c r="AF107" t="s">
        <v>74</v>
      </c>
      <c r="AG107">
        <v>32</v>
      </c>
      <c r="AH107">
        <v>16</v>
      </c>
      <c r="AI107">
        <v>17</v>
      </c>
      <c r="AJ107">
        <v>1</v>
      </c>
      <c r="AK107">
        <v>34</v>
      </c>
      <c r="AL107" t="s">
        <v>2393</v>
      </c>
      <c r="AM107" t="s">
        <v>2394</v>
      </c>
      <c r="AN107" t="s">
        <v>2395</v>
      </c>
      <c r="AO107" t="s">
        <v>2396</v>
      </c>
      <c r="AP107" t="s">
        <v>2397</v>
      </c>
      <c r="AQ107" t="s">
        <v>74</v>
      </c>
      <c r="AR107" t="s">
        <v>2382</v>
      </c>
      <c r="AS107" t="s">
        <v>183</v>
      </c>
      <c r="AT107" t="s">
        <v>98</v>
      </c>
      <c r="AU107">
        <v>2018</v>
      </c>
      <c r="AV107">
        <v>46</v>
      </c>
      <c r="AW107">
        <v>10</v>
      </c>
      <c r="AX107" t="s">
        <v>74</v>
      </c>
      <c r="AY107" t="s">
        <v>74</v>
      </c>
      <c r="AZ107" t="s">
        <v>74</v>
      </c>
      <c r="BA107" t="s">
        <v>74</v>
      </c>
      <c r="BB107">
        <v>855</v>
      </c>
      <c r="BC107">
        <v>858</v>
      </c>
      <c r="BD107" t="s">
        <v>74</v>
      </c>
      <c r="BE107" t="s">
        <v>2398</v>
      </c>
      <c r="BF107" t="str">
        <f>HYPERLINK("http://dx.doi.org/10.1130/G40187.1","http://dx.doi.org/10.1130/G40187.1")</f>
        <v>http://dx.doi.org/10.1130/G40187.1</v>
      </c>
      <c r="BG107" t="s">
        <v>74</v>
      </c>
      <c r="BH107" t="s">
        <v>74</v>
      </c>
      <c r="BI107">
        <v>4</v>
      </c>
      <c r="BJ107" t="s">
        <v>183</v>
      </c>
      <c r="BK107" t="s">
        <v>101</v>
      </c>
      <c r="BL107" t="s">
        <v>183</v>
      </c>
      <c r="BM107" t="s">
        <v>2399</v>
      </c>
      <c r="BN107" t="s">
        <v>74</v>
      </c>
      <c r="BO107" t="s">
        <v>74</v>
      </c>
      <c r="BP107" t="s">
        <v>74</v>
      </c>
      <c r="BQ107" t="s">
        <v>74</v>
      </c>
      <c r="BR107" t="s">
        <v>104</v>
      </c>
      <c r="BS107" t="s">
        <v>2400</v>
      </c>
      <c r="BT107" t="str">
        <f>HYPERLINK("https%3A%2F%2Fwww.webofscience.com%2Fwos%2Fwoscc%2Ffull-record%2FWOS:000445256000006","View Full Record in Web of Science")</f>
        <v>View Full Record in Web of Science</v>
      </c>
    </row>
    <row r="108" spans="1:72" x14ac:dyDescent="0.15">
      <c r="A108" t="s">
        <v>72</v>
      </c>
      <c r="B108" t="s">
        <v>2401</v>
      </c>
      <c r="C108" t="s">
        <v>74</v>
      </c>
      <c r="D108" t="s">
        <v>74</v>
      </c>
      <c r="E108" t="s">
        <v>74</v>
      </c>
      <c r="F108" t="s">
        <v>2402</v>
      </c>
      <c r="G108" t="s">
        <v>74</v>
      </c>
      <c r="H108" t="s">
        <v>74</v>
      </c>
      <c r="I108" t="s">
        <v>2403</v>
      </c>
      <c r="J108" t="s">
        <v>351</v>
      </c>
      <c r="K108" t="s">
        <v>74</v>
      </c>
      <c r="L108" t="s">
        <v>74</v>
      </c>
      <c r="M108" t="s">
        <v>78</v>
      </c>
      <c r="N108" t="s">
        <v>79</v>
      </c>
      <c r="O108" t="s">
        <v>74</v>
      </c>
      <c r="P108" t="s">
        <v>74</v>
      </c>
      <c r="Q108" t="s">
        <v>74</v>
      </c>
      <c r="R108" t="s">
        <v>74</v>
      </c>
      <c r="S108" t="s">
        <v>74</v>
      </c>
      <c r="T108" t="s">
        <v>2404</v>
      </c>
      <c r="U108" t="s">
        <v>2405</v>
      </c>
      <c r="V108" t="s">
        <v>2406</v>
      </c>
      <c r="W108" t="s">
        <v>2407</v>
      </c>
      <c r="X108" t="s">
        <v>2408</v>
      </c>
      <c r="Y108" t="s">
        <v>2409</v>
      </c>
      <c r="Z108" t="s">
        <v>2410</v>
      </c>
      <c r="AA108" t="s">
        <v>2411</v>
      </c>
      <c r="AB108" t="s">
        <v>2412</v>
      </c>
      <c r="AC108" t="s">
        <v>2413</v>
      </c>
      <c r="AD108" t="s">
        <v>2414</v>
      </c>
      <c r="AE108" t="s">
        <v>2415</v>
      </c>
      <c r="AF108" t="s">
        <v>74</v>
      </c>
      <c r="AG108">
        <v>49</v>
      </c>
      <c r="AH108">
        <v>9</v>
      </c>
      <c r="AI108">
        <v>10</v>
      </c>
      <c r="AJ108">
        <v>1</v>
      </c>
      <c r="AK108">
        <v>18</v>
      </c>
      <c r="AL108" t="s">
        <v>337</v>
      </c>
      <c r="AM108" t="s">
        <v>258</v>
      </c>
      <c r="AN108" t="s">
        <v>338</v>
      </c>
      <c r="AO108" t="s">
        <v>363</v>
      </c>
      <c r="AP108" t="s">
        <v>364</v>
      </c>
      <c r="AQ108" t="s">
        <v>74</v>
      </c>
      <c r="AR108" t="s">
        <v>365</v>
      </c>
      <c r="AS108" t="s">
        <v>366</v>
      </c>
      <c r="AT108" t="s">
        <v>98</v>
      </c>
      <c r="AU108">
        <v>2018</v>
      </c>
      <c r="AV108">
        <v>51</v>
      </c>
      <c r="AW108" t="s">
        <v>367</v>
      </c>
      <c r="AX108" t="s">
        <v>74</v>
      </c>
      <c r="AY108" t="s">
        <v>74</v>
      </c>
      <c r="AZ108" t="s">
        <v>74</v>
      </c>
      <c r="BA108" t="s">
        <v>74</v>
      </c>
      <c r="BB108">
        <v>2743</v>
      </c>
      <c r="BC108">
        <v>2757</v>
      </c>
      <c r="BD108" t="s">
        <v>74</v>
      </c>
      <c r="BE108" t="s">
        <v>2416</v>
      </c>
      <c r="BF108" t="str">
        <f>HYPERLINK("http://dx.doi.org/10.1007/s00382-017-4041-y","http://dx.doi.org/10.1007/s00382-017-4041-y")</f>
        <v>http://dx.doi.org/10.1007/s00382-017-4041-y</v>
      </c>
      <c r="BG108" t="s">
        <v>74</v>
      </c>
      <c r="BH108" t="s">
        <v>74</v>
      </c>
      <c r="BI108">
        <v>15</v>
      </c>
      <c r="BJ108" t="s">
        <v>369</v>
      </c>
      <c r="BK108" t="s">
        <v>101</v>
      </c>
      <c r="BL108" t="s">
        <v>369</v>
      </c>
      <c r="BM108" t="s">
        <v>370</v>
      </c>
      <c r="BN108" t="s">
        <v>74</v>
      </c>
      <c r="BO108" t="s">
        <v>2417</v>
      </c>
      <c r="BP108" t="s">
        <v>74</v>
      </c>
      <c r="BQ108" t="s">
        <v>74</v>
      </c>
      <c r="BR108" t="s">
        <v>104</v>
      </c>
      <c r="BS108" t="s">
        <v>2418</v>
      </c>
      <c r="BT108" t="str">
        <f>HYPERLINK("https%3A%2F%2Fwww.webofscience.com%2Fwos%2Fwoscc%2Ffull-record%2FWOS:000444947600021","View Full Record in Web of Science")</f>
        <v>View Full Record in Web of Science</v>
      </c>
    </row>
    <row r="109" spans="1:72" x14ac:dyDescent="0.15">
      <c r="A109" t="s">
        <v>72</v>
      </c>
      <c r="B109" t="s">
        <v>2419</v>
      </c>
      <c r="C109" t="s">
        <v>74</v>
      </c>
      <c r="D109" t="s">
        <v>74</v>
      </c>
      <c r="E109" t="s">
        <v>74</v>
      </c>
      <c r="F109" t="s">
        <v>2420</v>
      </c>
      <c r="G109" t="s">
        <v>74</v>
      </c>
      <c r="H109" t="s">
        <v>74</v>
      </c>
      <c r="I109" t="s">
        <v>2421</v>
      </c>
      <c r="J109" t="s">
        <v>2422</v>
      </c>
      <c r="K109" t="s">
        <v>74</v>
      </c>
      <c r="L109" t="s">
        <v>74</v>
      </c>
      <c r="M109" t="s">
        <v>78</v>
      </c>
      <c r="N109" t="s">
        <v>79</v>
      </c>
      <c r="O109" t="s">
        <v>74</v>
      </c>
      <c r="P109" t="s">
        <v>74</v>
      </c>
      <c r="Q109" t="s">
        <v>74</v>
      </c>
      <c r="R109" t="s">
        <v>74</v>
      </c>
      <c r="S109" t="s">
        <v>74</v>
      </c>
      <c r="T109" t="s">
        <v>2423</v>
      </c>
      <c r="U109" t="s">
        <v>2424</v>
      </c>
      <c r="V109" t="s">
        <v>2425</v>
      </c>
      <c r="W109" t="s">
        <v>2426</v>
      </c>
      <c r="X109" t="s">
        <v>2427</v>
      </c>
      <c r="Y109" t="s">
        <v>2428</v>
      </c>
      <c r="Z109" t="s">
        <v>2429</v>
      </c>
      <c r="AA109" t="s">
        <v>2430</v>
      </c>
      <c r="AB109" t="s">
        <v>2431</v>
      </c>
      <c r="AC109" t="s">
        <v>2432</v>
      </c>
      <c r="AD109" t="s">
        <v>2432</v>
      </c>
      <c r="AE109" t="s">
        <v>2433</v>
      </c>
      <c r="AF109" t="s">
        <v>74</v>
      </c>
      <c r="AG109">
        <v>46</v>
      </c>
      <c r="AH109">
        <v>22</v>
      </c>
      <c r="AI109">
        <v>26</v>
      </c>
      <c r="AJ109">
        <v>1</v>
      </c>
      <c r="AK109">
        <v>43</v>
      </c>
      <c r="AL109" t="s">
        <v>2434</v>
      </c>
      <c r="AM109" t="s">
        <v>704</v>
      </c>
      <c r="AN109" t="s">
        <v>2435</v>
      </c>
      <c r="AO109" t="s">
        <v>2436</v>
      </c>
      <c r="AP109" t="s">
        <v>2437</v>
      </c>
      <c r="AQ109" t="s">
        <v>74</v>
      </c>
      <c r="AR109" t="s">
        <v>2438</v>
      </c>
      <c r="AS109" t="s">
        <v>2439</v>
      </c>
      <c r="AT109" t="s">
        <v>98</v>
      </c>
      <c r="AU109">
        <v>2018</v>
      </c>
      <c r="AV109">
        <v>36</v>
      </c>
      <c r="AW109">
        <v>5</v>
      </c>
      <c r="AX109" t="s">
        <v>74</v>
      </c>
      <c r="AY109" t="s">
        <v>74</v>
      </c>
      <c r="AZ109" t="s">
        <v>74</v>
      </c>
      <c r="BA109" t="s">
        <v>74</v>
      </c>
      <c r="BB109">
        <v>905</v>
      </c>
      <c r="BC109">
        <v>925</v>
      </c>
      <c r="BD109" t="s">
        <v>74</v>
      </c>
      <c r="BE109" t="s">
        <v>2440</v>
      </c>
      <c r="BF109" t="str">
        <f>HYPERLINK("http://dx.doi.org/10.1177/0263775818766892","http://dx.doi.org/10.1177/0263775818766892")</f>
        <v>http://dx.doi.org/10.1177/0263775818766892</v>
      </c>
      <c r="BG109" t="s">
        <v>74</v>
      </c>
      <c r="BH109" t="s">
        <v>74</v>
      </c>
      <c r="BI109">
        <v>21</v>
      </c>
      <c r="BJ109" t="s">
        <v>2441</v>
      </c>
      <c r="BK109" t="s">
        <v>2020</v>
      </c>
      <c r="BL109" t="s">
        <v>2442</v>
      </c>
      <c r="BM109" t="s">
        <v>2443</v>
      </c>
      <c r="BN109" t="s">
        <v>74</v>
      </c>
      <c r="BO109" t="s">
        <v>2444</v>
      </c>
      <c r="BP109" t="s">
        <v>74</v>
      </c>
      <c r="BQ109" t="s">
        <v>74</v>
      </c>
      <c r="BR109" t="s">
        <v>104</v>
      </c>
      <c r="BS109" t="s">
        <v>2445</v>
      </c>
      <c r="BT109" t="str">
        <f>HYPERLINK("https%3A%2F%2Fwww.webofscience.com%2Fwos%2Fwoscc%2Ffull-record%2FWOS:000445460000007","View Full Record in Web of Science")</f>
        <v>View Full Record in Web of Science</v>
      </c>
    </row>
    <row r="110" spans="1:72" x14ac:dyDescent="0.15">
      <c r="A110" t="s">
        <v>72</v>
      </c>
      <c r="B110" t="s">
        <v>2446</v>
      </c>
      <c r="C110" t="s">
        <v>74</v>
      </c>
      <c r="D110" t="s">
        <v>74</v>
      </c>
      <c r="E110" t="s">
        <v>74</v>
      </c>
      <c r="F110" t="s">
        <v>2447</v>
      </c>
      <c r="G110" t="s">
        <v>74</v>
      </c>
      <c r="H110" t="s">
        <v>74</v>
      </c>
      <c r="I110" t="s">
        <v>2448</v>
      </c>
      <c r="J110" t="s">
        <v>2449</v>
      </c>
      <c r="K110" t="s">
        <v>74</v>
      </c>
      <c r="L110" t="s">
        <v>74</v>
      </c>
      <c r="M110" t="s">
        <v>78</v>
      </c>
      <c r="N110" t="s">
        <v>79</v>
      </c>
      <c r="O110" t="s">
        <v>74</v>
      </c>
      <c r="P110" t="s">
        <v>74</v>
      </c>
      <c r="Q110" t="s">
        <v>74</v>
      </c>
      <c r="R110" t="s">
        <v>74</v>
      </c>
      <c r="S110" t="s">
        <v>74</v>
      </c>
      <c r="T110" t="s">
        <v>2450</v>
      </c>
      <c r="U110" t="s">
        <v>2451</v>
      </c>
      <c r="V110" t="s">
        <v>2452</v>
      </c>
      <c r="W110" t="s">
        <v>2453</v>
      </c>
      <c r="X110" t="s">
        <v>2454</v>
      </c>
      <c r="Y110" t="s">
        <v>2455</v>
      </c>
      <c r="Z110" t="s">
        <v>2456</v>
      </c>
      <c r="AA110" t="s">
        <v>2457</v>
      </c>
      <c r="AB110" t="s">
        <v>74</v>
      </c>
      <c r="AC110" t="s">
        <v>2458</v>
      </c>
      <c r="AD110" t="s">
        <v>2459</v>
      </c>
      <c r="AE110" t="s">
        <v>2460</v>
      </c>
      <c r="AF110" t="s">
        <v>74</v>
      </c>
      <c r="AG110">
        <v>21</v>
      </c>
      <c r="AH110">
        <v>8</v>
      </c>
      <c r="AI110">
        <v>8</v>
      </c>
      <c r="AJ110">
        <v>2</v>
      </c>
      <c r="AK110">
        <v>22</v>
      </c>
      <c r="AL110" t="s">
        <v>430</v>
      </c>
      <c r="AM110" t="s">
        <v>286</v>
      </c>
      <c r="AN110" t="s">
        <v>431</v>
      </c>
      <c r="AO110" t="s">
        <v>2461</v>
      </c>
      <c r="AP110" t="s">
        <v>2462</v>
      </c>
      <c r="AQ110" t="s">
        <v>74</v>
      </c>
      <c r="AR110" t="s">
        <v>2463</v>
      </c>
      <c r="AS110" t="s">
        <v>2464</v>
      </c>
      <c r="AT110" t="s">
        <v>98</v>
      </c>
      <c r="AU110">
        <v>2018</v>
      </c>
      <c r="AV110">
        <v>27</v>
      </c>
      <c r="AW110" t="s">
        <v>74</v>
      </c>
      <c r="AX110" t="s">
        <v>74</v>
      </c>
      <c r="AY110" t="s">
        <v>74</v>
      </c>
      <c r="AZ110" t="s">
        <v>74</v>
      </c>
      <c r="BA110" t="s">
        <v>74</v>
      </c>
      <c r="BB110">
        <v>114</v>
      </c>
      <c r="BC110">
        <v>118</v>
      </c>
      <c r="BD110" t="s">
        <v>74</v>
      </c>
      <c r="BE110" t="s">
        <v>2465</v>
      </c>
      <c r="BF110" t="str">
        <f>HYPERLINK("http://dx.doi.org/10.1016/j.phytol.2018.07.013","http://dx.doi.org/10.1016/j.phytol.2018.07.013")</f>
        <v>http://dx.doi.org/10.1016/j.phytol.2018.07.013</v>
      </c>
      <c r="BG110" t="s">
        <v>74</v>
      </c>
      <c r="BH110" t="s">
        <v>74</v>
      </c>
      <c r="BI110">
        <v>5</v>
      </c>
      <c r="BJ110" t="s">
        <v>2466</v>
      </c>
      <c r="BK110" t="s">
        <v>101</v>
      </c>
      <c r="BL110" t="s">
        <v>2467</v>
      </c>
      <c r="BM110" t="s">
        <v>2468</v>
      </c>
      <c r="BN110" t="s">
        <v>74</v>
      </c>
      <c r="BO110" t="s">
        <v>74</v>
      </c>
      <c r="BP110" t="s">
        <v>74</v>
      </c>
      <c r="BQ110" t="s">
        <v>74</v>
      </c>
      <c r="BR110" t="s">
        <v>104</v>
      </c>
      <c r="BS110" t="s">
        <v>2469</v>
      </c>
      <c r="BT110" t="str">
        <f>HYPERLINK("https%3A%2F%2Fwww.webofscience.com%2Fwos%2Fwoscc%2Ffull-record%2FWOS:000445267500023","View Full Record in Web of Science")</f>
        <v>View Full Record in Web of Science</v>
      </c>
    </row>
    <row r="111" spans="1:72" x14ac:dyDescent="0.15">
      <c r="A111" t="s">
        <v>72</v>
      </c>
      <c r="B111" t="s">
        <v>2470</v>
      </c>
      <c r="C111" t="s">
        <v>74</v>
      </c>
      <c r="D111" t="s">
        <v>74</v>
      </c>
      <c r="E111" t="s">
        <v>74</v>
      </c>
      <c r="F111" t="s">
        <v>2471</v>
      </c>
      <c r="G111" t="s">
        <v>74</v>
      </c>
      <c r="H111" t="s">
        <v>74</v>
      </c>
      <c r="I111" t="s">
        <v>2472</v>
      </c>
      <c r="J111" t="s">
        <v>2473</v>
      </c>
      <c r="K111" t="s">
        <v>74</v>
      </c>
      <c r="L111" t="s">
        <v>74</v>
      </c>
      <c r="M111" t="s">
        <v>78</v>
      </c>
      <c r="N111" t="s">
        <v>79</v>
      </c>
      <c r="O111" t="s">
        <v>74</v>
      </c>
      <c r="P111" t="s">
        <v>74</v>
      </c>
      <c r="Q111" t="s">
        <v>74</v>
      </c>
      <c r="R111" t="s">
        <v>74</v>
      </c>
      <c r="S111" t="s">
        <v>74</v>
      </c>
      <c r="T111" t="s">
        <v>2474</v>
      </c>
      <c r="U111" t="s">
        <v>2475</v>
      </c>
      <c r="V111" t="s">
        <v>2476</v>
      </c>
      <c r="W111" t="s">
        <v>2477</v>
      </c>
      <c r="X111" t="s">
        <v>2478</v>
      </c>
      <c r="Y111" t="s">
        <v>2479</v>
      </c>
      <c r="Z111" t="s">
        <v>2480</v>
      </c>
      <c r="AA111" t="s">
        <v>2481</v>
      </c>
      <c r="AB111" t="s">
        <v>2482</v>
      </c>
      <c r="AC111" t="s">
        <v>2483</v>
      </c>
      <c r="AD111" t="s">
        <v>2484</v>
      </c>
      <c r="AE111" t="s">
        <v>2485</v>
      </c>
      <c r="AF111" t="s">
        <v>74</v>
      </c>
      <c r="AG111">
        <v>243</v>
      </c>
      <c r="AH111">
        <v>103</v>
      </c>
      <c r="AI111">
        <v>109</v>
      </c>
      <c r="AJ111">
        <v>5</v>
      </c>
      <c r="AK111">
        <v>70</v>
      </c>
      <c r="AL111" t="s">
        <v>2486</v>
      </c>
      <c r="AM111" t="s">
        <v>2487</v>
      </c>
      <c r="AN111" t="s">
        <v>2488</v>
      </c>
      <c r="AO111" t="s">
        <v>2489</v>
      </c>
      <c r="AP111" t="s">
        <v>2490</v>
      </c>
      <c r="AQ111" t="s">
        <v>74</v>
      </c>
      <c r="AR111" t="s">
        <v>2491</v>
      </c>
      <c r="AS111" t="s">
        <v>2492</v>
      </c>
      <c r="AT111" t="s">
        <v>98</v>
      </c>
      <c r="AU111">
        <v>2018</v>
      </c>
      <c r="AV111">
        <v>318</v>
      </c>
      <c r="AW111">
        <v>8</v>
      </c>
      <c r="AX111" t="s">
        <v>74</v>
      </c>
      <c r="AY111" t="s">
        <v>74</v>
      </c>
      <c r="AZ111" t="s">
        <v>74</v>
      </c>
      <c r="BA111" t="s">
        <v>74</v>
      </c>
      <c r="BB111">
        <v>799</v>
      </c>
      <c r="BC111">
        <v>860</v>
      </c>
      <c r="BD111" t="s">
        <v>74</v>
      </c>
      <c r="BE111" t="s">
        <v>2493</v>
      </c>
      <c r="BF111" t="str">
        <f>HYPERLINK("http://dx.doi.org/10.2475/08.2018.01","http://dx.doi.org/10.2475/08.2018.01")</f>
        <v>http://dx.doi.org/10.2475/08.2018.01</v>
      </c>
      <c r="BG111" t="s">
        <v>74</v>
      </c>
      <c r="BH111" t="s">
        <v>74</v>
      </c>
      <c r="BI111">
        <v>62</v>
      </c>
      <c r="BJ111" t="s">
        <v>182</v>
      </c>
      <c r="BK111" t="s">
        <v>101</v>
      </c>
      <c r="BL111" t="s">
        <v>183</v>
      </c>
      <c r="BM111" t="s">
        <v>2494</v>
      </c>
      <c r="BN111" t="s">
        <v>74</v>
      </c>
      <c r="BO111" t="s">
        <v>74</v>
      </c>
      <c r="BP111" t="s">
        <v>74</v>
      </c>
      <c r="BQ111" t="s">
        <v>74</v>
      </c>
      <c r="BR111" t="s">
        <v>104</v>
      </c>
      <c r="BS111" t="s">
        <v>2495</v>
      </c>
      <c r="BT111" t="str">
        <f>HYPERLINK("https%3A%2F%2Fwww.webofscience.com%2Fwos%2Fwoscc%2Ffull-record%2FWOS:000449050800001","View Full Record in Web of Science")</f>
        <v>View Full Record in Web of Science</v>
      </c>
    </row>
    <row r="112" spans="1:72" x14ac:dyDescent="0.15">
      <c r="A112" t="s">
        <v>72</v>
      </c>
      <c r="B112" t="s">
        <v>2496</v>
      </c>
      <c r="C112" t="s">
        <v>74</v>
      </c>
      <c r="D112" t="s">
        <v>74</v>
      </c>
      <c r="E112" t="s">
        <v>74</v>
      </c>
      <c r="F112" t="s">
        <v>2497</v>
      </c>
      <c r="G112" t="s">
        <v>74</v>
      </c>
      <c r="H112" t="s">
        <v>74</v>
      </c>
      <c r="I112" t="s">
        <v>2498</v>
      </c>
      <c r="J112" t="s">
        <v>244</v>
      </c>
      <c r="K112" t="s">
        <v>74</v>
      </c>
      <c r="L112" t="s">
        <v>74</v>
      </c>
      <c r="M112" t="s">
        <v>78</v>
      </c>
      <c r="N112" t="s">
        <v>2499</v>
      </c>
      <c r="O112" t="s">
        <v>74</v>
      </c>
      <c r="P112" t="s">
        <v>74</v>
      </c>
      <c r="Q112" t="s">
        <v>74</v>
      </c>
      <c r="R112" t="s">
        <v>74</v>
      </c>
      <c r="S112" t="s">
        <v>74</v>
      </c>
      <c r="T112" t="s">
        <v>74</v>
      </c>
      <c r="U112" t="s">
        <v>74</v>
      </c>
      <c r="V112" t="s">
        <v>74</v>
      </c>
      <c r="W112" t="s">
        <v>74</v>
      </c>
      <c r="X112" t="s">
        <v>74</v>
      </c>
      <c r="Y112" t="s">
        <v>74</v>
      </c>
      <c r="Z112" t="s">
        <v>74</v>
      </c>
      <c r="AA112" t="s">
        <v>1956</v>
      </c>
      <c r="AB112" t="s">
        <v>2500</v>
      </c>
      <c r="AC112" t="s">
        <v>2501</v>
      </c>
      <c r="AD112" t="s">
        <v>2502</v>
      </c>
      <c r="AE112" t="s">
        <v>74</v>
      </c>
      <c r="AF112" t="s">
        <v>74</v>
      </c>
      <c r="AG112">
        <v>0</v>
      </c>
      <c r="AH112">
        <v>5</v>
      </c>
      <c r="AI112">
        <v>5</v>
      </c>
      <c r="AJ112">
        <v>0</v>
      </c>
      <c r="AK112">
        <v>3</v>
      </c>
      <c r="AL112" t="s">
        <v>257</v>
      </c>
      <c r="AM112" t="s">
        <v>258</v>
      </c>
      <c r="AN112" t="s">
        <v>259</v>
      </c>
      <c r="AO112" t="s">
        <v>260</v>
      </c>
      <c r="AP112" t="s">
        <v>261</v>
      </c>
      <c r="AQ112" t="s">
        <v>74</v>
      </c>
      <c r="AR112" t="s">
        <v>262</v>
      </c>
      <c r="AS112" t="s">
        <v>263</v>
      </c>
      <c r="AT112" t="s">
        <v>98</v>
      </c>
      <c r="AU112">
        <v>2018</v>
      </c>
      <c r="AV112">
        <v>30</v>
      </c>
      <c r="AW112">
        <v>5</v>
      </c>
      <c r="AX112" t="s">
        <v>74</v>
      </c>
      <c r="AY112" t="s">
        <v>74</v>
      </c>
      <c r="AZ112" t="s">
        <v>74</v>
      </c>
      <c r="BA112" t="s">
        <v>74</v>
      </c>
      <c r="BB112">
        <v>269</v>
      </c>
      <c r="BC112">
        <v>269</v>
      </c>
      <c r="BD112" t="s">
        <v>74</v>
      </c>
      <c r="BE112" t="s">
        <v>2503</v>
      </c>
      <c r="BF112" t="str">
        <f>HYPERLINK("http://dx.doi.org/10.1017/S0954102018000330","http://dx.doi.org/10.1017/S0954102018000330")</f>
        <v>http://dx.doi.org/10.1017/S0954102018000330</v>
      </c>
      <c r="BG112" t="s">
        <v>74</v>
      </c>
      <c r="BH112" t="s">
        <v>74</v>
      </c>
      <c r="BI112">
        <v>1</v>
      </c>
      <c r="BJ112" t="s">
        <v>265</v>
      </c>
      <c r="BK112" t="s">
        <v>101</v>
      </c>
      <c r="BL112" t="s">
        <v>266</v>
      </c>
      <c r="BM112" t="s">
        <v>267</v>
      </c>
      <c r="BN112" t="s">
        <v>74</v>
      </c>
      <c r="BO112" t="s">
        <v>712</v>
      </c>
      <c r="BP112" t="s">
        <v>74</v>
      </c>
      <c r="BQ112" t="s">
        <v>74</v>
      </c>
      <c r="BR112" t="s">
        <v>104</v>
      </c>
      <c r="BS112" t="s">
        <v>2504</v>
      </c>
      <c r="BT112" t="str">
        <f>HYPERLINK("https%3A%2F%2Fwww.webofscience.com%2Fwos%2Fwoscc%2Ffull-record%2FWOS:000446442500001","View Full Record in Web of Science")</f>
        <v>View Full Record in Web of Science</v>
      </c>
    </row>
    <row r="113" spans="1:72" x14ac:dyDescent="0.15">
      <c r="A113" t="s">
        <v>72</v>
      </c>
      <c r="B113" t="s">
        <v>2505</v>
      </c>
      <c r="C113" t="s">
        <v>74</v>
      </c>
      <c r="D113" t="s">
        <v>74</v>
      </c>
      <c r="E113" t="s">
        <v>74</v>
      </c>
      <c r="F113" t="s">
        <v>2506</v>
      </c>
      <c r="G113" t="s">
        <v>74</v>
      </c>
      <c r="H113" t="s">
        <v>74</v>
      </c>
      <c r="I113" t="s">
        <v>2507</v>
      </c>
      <c r="J113" t="s">
        <v>244</v>
      </c>
      <c r="K113" t="s">
        <v>74</v>
      </c>
      <c r="L113" t="s">
        <v>74</v>
      </c>
      <c r="M113" t="s">
        <v>78</v>
      </c>
      <c r="N113" t="s">
        <v>79</v>
      </c>
      <c r="O113" t="s">
        <v>74</v>
      </c>
      <c r="P113" t="s">
        <v>74</v>
      </c>
      <c r="Q113" t="s">
        <v>74</v>
      </c>
      <c r="R113" t="s">
        <v>74</v>
      </c>
      <c r="S113" t="s">
        <v>74</v>
      </c>
      <c r="T113" t="s">
        <v>2508</v>
      </c>
      <c r="U113" t="s">
        <v>2509</v>
      </c>
      <c r="V113" t="s">
        <v>2510</v>
      </c>
      <c r="W113" t="s">
        <v>2511</v>
      </c>
      <c r="X113" t="s">
        <v>2512</v>
      </c>
      <c r="Y113" t="s">
        <v>2513</v>
      </c>
      <c r="Z113" t="s">
        <v>2514</v>
      </c>
      <c r="AA113" t="s">
        <v>2515</v>
      </c>
      <c r="AB113" t="s">
        <v>2516</v>
      </c>
      <c r="AC113" t="s">
        <v>2517</v>
      </c>
      <c r="AD113" t="s">
        <v>2518</v>
      </c>
      <c r="AE113" t="s">
        <v>2519</v>
      </c>
      <c r="AF113" t="s">
        <v>74</v>
      </c>
      <c r="AG113">
        <v>27</v>
      </c>
      <c r="AH113">
        <v>31</v>
      </c>
      <c r="AI113">
        <v>35</v>
      </c>
      <c r="AJ113">
        <v>0</v>
      </c>
      <c r="AK113">
        <v>23</v>
      </c>
      <c r="AL113" t="s">
        <v>257</v>
      </c>
      <c r="AM113" t="s">
        <v>258</v>
      </c>
      <c r="AN113" t="s">
        <v>259</v>
      </c>
      <c r="AO113" t="s">
        <v>260</v>
      </c>
      <c r="AP113" t="s">
        <v>261</v>
      </c>
      <c r="AQ113" t="s">
        <v>74</v>
      </c>
      <c r="AR113" t="s">
        <v>262</v>
      </c>
      <c r="AS113" t="s">
        <v>263</v>
      </c>
      <c r="AT113" t="s">
        <v>98</v>
      </c>
      <c r="AU113">
        <v>2018</v>
      </c>
      <c r="AV113">
        <v>30</v>
      </c>
      <c r="AW113">
        <v>5</v>
      </c>
      <c r="AX113" t="s">
        <v>74</v>
      </c>
      <c r="AY113" t="s">
        <v>74</v>
      </c>
      <c r="AZ113" t="s">
        <v>74</v>
      </c>
      <c r="BA113" t="s">
        <v>74</v>
      </c>
      <c r="BB113">
        <v>322</v>
      </c>
      <c r="BC113">
        <v>328</v>
      </c>
      <c r="BD113" t="s">
        <v>74</v>
      </c>
      <c r="BE113" t="s">
        <v>2520</v>
      </c>
      <c r="BF113" t="str">
        <f>HYPERLINK("http://dx.doi.org/10.1017/S0954102018000251","http://dx.doi.org/10.1017/S0954102018000251")</f>
        <v>http://dx.doi.org/10.1017/S0954102018000251</v>
      </c>
      <c r="BG113" t="s">
        <v>74</v>
      </c>
      <c r="BH113" t="s">
        <v>74</v>
      </c>
      <c r="BI113">
        <v>7</v>
      </c>
      <c r="BJ113" t="s">
        <v>265</v>
      </c>
      <c r="BK113" t="s">
        <v>101</v>
      </c>
      <c r="BL113" t="s">
        <v>266</v>
      </c>
      <c r="BM113" t="s">
        <v>267</v>
      </c>
      <c r="BN113" t="s">
        <v>74</v>
      </c>
      <c r="BO113" t="s">
        <v>1818</v>
      </c>
      <c r="BP113" t="s">
        <v>74</v>
      </c>
      <c r="BQ113" t="s">
        <v>74</v>
      </c>
      <c r="BR113" t="s">
        <v>104</v>
      </c>
      <c r="BS113" t="s">
        <v>2521</v>
      </c>
      <c r="BT113" t="str">
        <f>HYPERLINK("https%3A%2F%2Fwww.webofscience.com%2Fwos%2Fwoscc%2Ffull-record%2FWOS:000446442500007","View Full Record in Web of Science")</f>
        <v>View Full Record in Web of Science</v>
      </c>
    </row>
    <row r="114" spans="1:72" x14ac:dyDescent="0.15">
      <c r="A114" t="s">
        <v>72</v>
      </c>
      <c r="B114" t="s">
        <v>2522</v>
      </c>
      <c r="C114" t="s">
        <v>74</v>
      </c>
      <c r="D114" t="s">
        <v>74</v>
      </c>
      <c r="E114" t="s">
        <v>74</v>
      </c>
      <c r="F114" t="s">
        <v>2523</v>
      </c>
      <c r="G114" t="s">
        <v>74</v>
      </c>
      <c r="H114" t="s">
        <v>74</v>
      </c>
      <c r="I114" t="s">
        <v>2524</v>
      </c>
      <c r="J114" t="s">
        <v>2525</v>
      </c>
      <c r="K114" t="s">
        <v>74</v>
      </c>
      <c r="L114" t="s">
        <v>74</v>
      </c>
      <c r="M114" t="s">
        <v>78</v>
      </c>
      <c r="N114" t="s">
        <v>2499</v>
      </c>
      <c r="O114" t="s">
        <v>74</v>
      </c>
      <c r="P114" t="s">
        <v>74</v>
      </c>
      <c r="Q114" t="s">
        <v>74</v>
      </c>
      <c r="R114" t="s">
        <v>74</v>
      </c>
      <c r="S114" t="s">
        <v>74</v>
      </c>
      <c r="T114" t="s">
        <v>74</v>
      </c>
      <c r="U114" t="s">
        <v>74</v>
      </c>
      <c r="V114" t="s">
        <v>74</v>
      </c>
      <c r="W114" t="s">
        <v>2526</v>
      </c>
      <c r="X114" t="s">
        <v>74</v>
      </c>
      <c r="Y114" t="s">
        <v>2527</v>
      </c>
      <c r="Z114" t="s">
        <v>74</v>
      </c>
      <c r="AA114" t="s">
        <v>74</v>
      </c>
      <c r="AB114" t="s">
        <v>74</v>
      </c>
      <c r="AC114" t="s">
        <v>2528</v>
      </c>
      <c r="AD114" t="s">
        <v>2529</v>
      </c>
      <c r="AE114" t="s">
        <v>2530</v>
      </c>
      <c r="AF114" t="s">
        <v>74</v>
      </c>
      <c r="AG114">
        <v>14</v>
      </c>
      <c r="AH114">
        <v>2</v>
      </c>
      <c r="AI114">
        <v>2</v>
      </c>
      <c r="AJ114">
        <v>1</v>
      </c>
      <c r="AK114">
        <v>1</v>
      </c>
      <c r="AL114" t="s">
        <v>785</v>
      </c>
      <c r="AM114" t="s">
        <v>786</v>
      </c>
      <c r="AN114" t="s">
        <v>2531</v>
      </c>
      <c r="AO114" t="s">
        <v>2532</v>
      </c>
      <c r="AP114" t="s">
        <v>2533</v>
      </c>
      <c r="AQ114" t="s">
        <v>74</v>
      </c>
      <c r="AR114" t="s">
        <v>2534</v>
      </c>
      <c r="AS114" t="s">
        <v>2535</v>
      </c>
      <c r="AT114" t="s">
        <v>98</v>
      </c>
      <c r="AU114">
        <v>2018</v>
      </c>
      <c r="AV114">
        <v>99</v>
      </c>
      <c r="AW114">
        <v>10</v>
      </c>
      <c r="AX114" t="s">
        <v>74</v>
      </c>
      <c r="AY114" t="s">
        <v>74</v>
      </c>
      <c r="AZ114" t="s">
        <v>74</v>
      </c>
      <c r="BA114" t="s">
        <v>74</v>
      </c>
      <c r="BB114">
        <v>2139</v>
      </c>
      <c r="BC114" t="s">
        <v>1137</v>
      </c>
      <c r="BD114" t="s">
        <v>74</v>
      </c>
      <c r="BE114" t="s">
        <v>2536</v>
      </c>
      <c r="BF114" t="str">
        <f>HYPERLINK("http://dx.doi.org/10.1175/BAMS-D-17-0282.1","http://dx.doi.org/10.1175/BAMS-D-17-0282.1")</f>
        <v>http://dx.doi.org/10.1175/BAMS-D-17-0282.1</v>
      </c>
      <c r="BG114" t="s">
        <v>74</v>
      </c>
      <c r="BH114" t="s">
        <v>74</v>
      </c>
      <c r="BI114">
        <v>5</v>
      </c>
      <c r="BJ114" t="s">
        <v>369</v>
      </c>
      <c r="BK114" t="s">
        <v>101</v>
      </c>
      <c r="BL114" t="s">
        <v>369</v>
      </c>
      <c r="BM114" t="s">
        <v>2537</v>
      </c>
      <c r="BN114" t="s">
        <v>74</v>
      </c>
      <c r="BO114" t="s">
        <v>74</v>
      </c>
      <c r="BP114" t="s">
        <v>74</v>
      </c>
      <c r="BQ114" t="s">
        <v>74</v>
      </c>
      <c r="BR114" t="s">
        <v>104</v>
      </c>
      <c r="BS114" t="s">
        <v>2538</v>
      </c>
      <c r="BT114" t="str">
        <f>HYPERLINK("https%3A%2F%2Fwww.webofscience.com%2Fwos%2Fwoscc%2Ffull-record%2FWOS:000448507900011","View Full Record in Web of Science")</f>
        <v>View Full Record in Web of Science</v>
      </c>
    </row>
    <row r="115" spans="1:72" x14ac:dyDescent="0.15">
      <c r="A115" t="s">
        <v>72</v>
      </c>
      <c r="B115" t="s">
        <v>2539</v>
      </c>
      <c r="C115" t="s">
        <v>74</v>
      </c>
      <c r="D115" t="s">
        <v>74</v>
      </c>
      <c r="E115" t="s">
        <v>74</v>
      </c>
      <c r="F115" t="s">
        <v>2540</v>
      </c>
      <c r="G115" t="s">
        <v>74</v>
      </c>
      <c r="H115" t="s">
        <v>74</v>
      </c>
      <c r="I115" t="s">
        <v>2541</v>
      </c>
      <c r="J115" t="s">
        <v>2542</v>
      </c>
      <c r="K115" t="s">
        <v>74</v>
      </c>
      <c r="L115" t="s">
        <v>74</v>
      </c>
      <c r="M115" t="s">
        <v>78</v>
      </c>
      <c r="N115" t="s">
        <v>79</v>
      </c>
      <c r="O115" t="s">
        <v>74</v>
      </c>
      <c r="P115" t="s">
        <v>74</v>
      </c>
      <c r="Q115" t="s">
        <v>74</v>
      </c>
      <c r="R115" t="s">
        <v>74</v>
      </c>
      <c r="S115" t="s">
        <v>74</v>
      </c>
      <c r="T115" t="s">
        <v>2543</v>
      </c>
      <c r="U115" t="s">
        <v>2544</v>
      </c>
      <c r="V115" t="s">
        <v>2545</v>
      </c>
      <c r="W115" t="s">
        <v>2546</v>
      </c>
      <c r="X115" t="s">
        <v>2547</v>
      </c>
      <c r="Y115" t="s">
        <v>2548</v>
      </c>
      <c r="Z115" t="s">
        <v>2549</v>
      </c>
      <c r="AA115" t="s">
        <v>2550</v>
      </c>
      <c r="AB115" t="s">
        <v>2551</v>
      </c>
      <c r="AC115" t="s">
        <v>2552</v>
      </c>
      <c r="AD115" t="s">
        <v>2553</v>
      </c>
      <c r="AE115" t="s">
        <v>2554</v>
      </c>
      <c r="AF115" t="s">
        <v>74</v>
      </c>
      <c r="AG115">
        <v>45</v>
      </c>
      <c r="AH115">
        <v>123</v>
      </c>
      <c r="AI115">
        <v>130</v>
      </c>
      <c r="AJ115">
        <v>6</v>
      </c>
      <c r="AK115">
        <v>94</v>
      </c>
      <c r="AL115" t="s">
        <v>758</v>
      </c>
      <c r="AM115" t="s">
        <v>759</v>
      </c>
      <c r="AN115" t="s">
        <v>760</v>
      </c>
      <c r="AO115" t="s">
        <v>2555</v>
      </c>
      <c r="AP115" t="s">
        <v>2556</v>
      </c>
      <c r="AQ115" t="s">
        <v>74</v>
      </c>
      <c r="AR115" t="s">
        <v>2557</v>
      </c>
      <c r="AS115" t="s">
        <v>2558</v>
      </c>
      <c r="AT115" t="s">
        <v>98</v>
      </c>
      <c r="AU115">
        <v>2018</v>
      </c>
      <c r="AV115">
        <v>32</v>
      </c>
      <c r="AW115">
        <v>5</v>
      </c>
      <c r="AX115" t="s">
        <v>74</v>
      </c>
      <c r="AY115" t="s">
        <v>74</v>
      </c>
      <c r="AZ115" t="s">
        <v>74</v>
      </c>
      <c r="BA115" t="s">
        <v>74</v>
      </c>
      <c r="BB115">
        <v>1128</v>
      </c>
      <c r="BC115">
        <v>1138</v>
      </c>
      <c r="BD115" t="s">
        <v>74</v>
      </c>
      <c r="BE115" t="s">
        <v>2559</v>
      </c>
      <c r="BF115" t="str">
        <f>HYPERLINK("http://dx.doi.org/10.1111/cobi.13112","http://dx.doi.org/10.1111/cobi.13112")</f>
        <v>http://dx.doi.org/10.1111/cobi.13112</v>
      </c>
      <c r="BG115" t="s">
        <v>74</v>
      </c>
      <c r="BH115" t="s">
        <v>74</v>
      </c>
      <c r="BI115">
        <v>11</v>
      </c>
      <c r="BJ115" t="s">
        <v>2560</v>
      </c>
      <c r="BK115" t="s">
        <v>101</v>
      </c>
      <c r="BL115" t="s">
        <v>1210</v>
      </c>
      <c r="BM115" t="s">
        <v>2561</v>
      </c>
      <c r="BN115">
        <v>29578251</v>
      </c>
      <c r="BO115" t="s">
        <v>661</v>
      </c>
      <c r="BP115" t="s">
        <v>74</v>
      </c>
      <c r="BQ115" t="s">
        <v>74</v>
      </c>
      <c r="BR115" t="s">
        <v>104</v>
      </c>
      <c r="BS115" t="s">
        <v>2562</v>
      </c>
      <c r="BT115" t="str">
        <f>HYPERLINK("https%3A%2F%2Fwww.webofscience.com%2Fwos%2Fwoscc%2Ffull-record%2FWOS:000445181300015","View Full Record in Web of Science")</f>
        <v>View Full Record in Web of Science</v>
      </c>
    </row>
    <row r="116" spans="1:72" x14ac:dyDescent="0.15">
      <c r="A116" t="s">
        <v>72</v>
      </c>
      <c r="B116" t="s">
        <v>2563</v>
      </c>
      <c r="C116" t="s">
        <v>74</v>
      </c>
      <c r="D116" t="s">
        <v>74</v>
      </c>
      <c r="E116" t="s">
        <v>74</v>
      </c>
      <c r="F116" t="s">
        <v>2564</v>
      </c>
      <c r="G116" t="s">
        <v>74</v>
      </c>
      <c r="H116" t="s">
        <v>74</v>
      </c>
      <c r="I116" t="s">
        <v>2565</v>
      </c>
      <c r="J116" t="s">
        <v>2566</v>
      </c>
      <c r="K116" t="s">
        <v>74</v>
      </c>
      <c r="L116" t="s">
        <v>74</v>
      </c>
      <c r="M116" t="s">
        <v>78</v>
      </c>
      <c r="N116" t="s">
        <v>273</v>
      </c>
      <c r="O116" t="s">
        <v>74</v>
      </c>
      <c r="P116" t="s">
        <v>74</v>
      </c>
      <c r="Q116" t="s">
        <v>74</v>
      </c>
      <c r="R116" t="s">
        <v>74</v>
      </c>
      <c r="S116" t="s">
        <v>74</v>
      </c>
      <c r="T116" t="s">
        <v>74</v>
      </c>
      <c r="U116" t="s">
        <v>74</v>
      </c>
      <c r="V116" t="s">
        <v>2567</v>
      </c>
      <c r="W116" t="s">
        <v>2568</v>
      </c>
      <c r="X116" t="s">
        <v>2569</v>
      </c>
      <c r="Y116" t="s">
        <v>2570</v>
      </c>
      <c r="Z116" t="s">
        <v>2571</v>
      </c>
      <c r="AA116" t="s">
        <v>2572</v>
      </c>
      <c r="AB116" t="s">
        <v>2573</v>
      </c>
      <c r="AC116" t="s">
        <v>2574</v>
      </c>
      <c r="AD116" t="s">
        <v>2575</v>
      </c>
      <c r="AE116" t="s">
        <v>2576</v>
      </c>
      <c r="AF116" t="s">
        <v>74</v>
      </c>
      <c r="AG116">
        <v>48</v>
      </c>
      <c r="AH116">
        <v>36</v>
      </c>
      <c r="AI116">
        <v>39</v>
      </c>
      <c r="AJ116">
        <v>1</v>
      </c>
      <c r="AK116">
        <v>6</v>
      </c>
      <c r="AL116" t="s">
        <v>285</v>
      </c>
      <c r="AM116" t="s">
        <v>286</v>
      </c>
      <c r="AN116" t="s">
        <v>287</v>
      </c>
      <c r="AO116" t="s">
        <v>2577</v>
      </c>
      <c r="AP116" t="s">
        <v>74</v>
      </c>
      <c r="AQ116" t="s">
        <v>74</v>
      </c>
      <c r="AR116" t="s">
        <v>2578</v>
      </c>
      <c r="AS116" t="s">
        <v>2579</v>
      </c>
      <c r="AT116" t="s">
        <v>98</v>
      </c>
      <c r="AU116">
        <v>2018</v>
      </c>
      <c r="AV116">
        <v>5</v>
      </c>
      <c r="AW116" t="s">
        <v>74</v>
      </c>
      <c r="AX116" t="s">
        <v>74</v>
      </c>
      <c r="AY116" t="s">
        <v>74</v>
      </c>
      <c r="AZ116" t="s">
        <v>155</v>
      </c>
      <c r="BA116" t="s">
        <v>74</v>
      </c>
      <c r="BB116">
        <v>14</v>
      </c>
      <c r="BC116">
        <v>18</v>
      </c>
      <c r="BD116" t="s">
        <v>74</v>
      </c>
      <c r="BE116" t="s">
        <v>2580</v>
      </c>
      <c r="BF116" t="str">
        <f>HYPERLINK("http://dx.doi.org/10.1016/j.coesh.2018.03.007","http://dx.doi.org/10.1016/j.coesh.2018.03.007")</f>
        <v>http://dx.doi.org/10.1016/j.coesh.2018.03.007</v>
      </c>
      <c r="BG116" t="s">
        <v>74</v>
      </c>
      <c r="BH116" t="s">
        <v>74</v>
      </c>
      <c r="BI116">
        <v>5</v>
      </c>
      <c r="BJ116" t="s">
        <v>2581</v>
      </c>
      <c r="BK116" t="s">
        <v>126</v>
      </c>
      <c r="BL116" t="s">
        <v>2582</v>
      </c>
      <c r="BM116" t="s">
        <v>2583</v>
      </c>
      <c r="BN116" t="s">
        <v>74</v>
      </c>
      <c r="BO116" t="s">
        <v>740</v>
      </c>
      <c r="BP116" t="s">
        <v>74</v>
      </c>
      <c r="BQ116" t="s">
        <v>74</v>
      </c>
      <c r="BR116" t="s">
        <v>104</v>
      </c>
      <c r="BS116" t="s">
        <v>2584</v>
      </c>
      <c r="BT116" t="str">
        <f>HYPERLINK("https%3A%2F%2Fwww.webofscience.com%2Fwos%2Fwoscc%2Ffull-record%2FWOS:000538797600003","View Full Record in Web of Science")</f>
        <v>View Full Record in Web of Science</v>
      </c>
    </row>
    <row r="117" spans="1:72" x14ac:dyDescent="0.15">
      <c r="A117" t="s">
        <v>72</v>
      </c>
      <c r="B117" t="s">
        <v>2585</v>
      </c>
      <c r="C117" t="s">
        <v>74</v>
      </c>
      <c r="D117" t="s">
        <v>74</v>
      </c>
      <c r="E117" t="s">
        <v>74</v>
      </c>
      <c r="F117" t="s">
        <v>2586</v>
      </c>
      <c r="G117" t="s">
        <v>74</v>
      </c>
      <c r="H117" t="s">
        <v>74</v>
      </c>
      <c r="I117" t="s">
        <v>2587</v>
      </c>
      <c r="J117" t="s">
        <v>132</v>
      </c>
      <c r="K117" t="s">
        <v>74</v>
      </c>
      <c r="L117" t="s">
        <v>74</v>
      </c>
      <c r="M117" t="s">
        <v>78</v>
      </c>
      <c r="N117" t="s">
        <v>133</v>
      </c>
      <c r="O117" t="s">
        <v>134</v>
      </c>
      <c r="P117" t="s">
        <v>135</v>
      </c>
      <c r="Q117" t="s">
        <v>136</v>
      </c>
      <c r="R117" t="s">
        <v>74</v>
      </c>
      <c r="S117" t="s">
        <v>137</v>
      </c>
      <c r="T117" t="s">
        <v>2588</v>
      </c>
      <c r="U117" t="s">
        <v>2589</v>
      </c>
      <c r="V117" t="s">
        <v>2590</v>
      </c>
      <c r="W117" t="s">
        <v>2591</v>
      </c>
      <c r="X117" t="s">
        <v>881</v>
      </c>
      <c r="Y117" t="s">
        <v>2592</v>
      </c>
      <c r="Z117" t="s">
        <v>2593</v>
      </c>
      <c r="AA117" t="s">
        <v>2594</v>
      </c>
      <c r="AB117" t="s">
        <v>2595</v>
      </c>
      <c r="AC117" t="s">
        <v>2596</v>
      </c>
      <c r="AD117" t="s">
        <v>2597</v>
      </c>
      <c r="AE117" t="s">
        <v>2598</v>
      </c>
      <c r="AF117" t="s">
        <v>74</v>
      </c>
      <c r="AG117">
        <v>120</v>
      </c>
      <c r="AH117">
        <v>18</v>
      </c>
      <c r="AI117">
        <v>19</v>
      </c>
      <c r="AJ117">
        <v>2</v>
      </c>
      <c r="AK117">
        <v>19</v>
      </c>
      <c r="AL117" t="s">
        <v>149</v>
      </c>
      <c r="AM117" t="s">
        <v>93</v>
      </c>
      <c r="AN117" t="s">
        <v>150</v>
      </c>
      <c r="AO117" t="s">
        <v>151</v>
      </c>
      <c r="AP117" t="s">
        <v>152</v>
      </c>
      <c r="AQ117" t="s">
        <v>74</v>
      </c>
      <c r="AR117" t="s">
        <v>153</v>
      </c>
      <c r="AS117" t="s">
        <v>154</v>
      </c>
      <c r="AT117" t="s">
        <v>98</v>
      </c>
      <c r="AU117">
        <v>2018</v>
      </c>
      <c r="AV117">
        <v>156</v>
      </c>
      <c r="AW117" t="s">
        <v>74</v>
      </c>
      <c r="AX117" t="s">
        <v>74</v>
      </c>
      <c r="AY117" t="s">
        <v>74</v>
      </c>
      <c r="AZ117" t="s">
        <v>155</v>
      </c>
      <c r="BA117" t="s">
        <v>74</v>
      </c>
      <c r="BB117">
        <v>4</v>
      </c>
      <c r="BC117">
        <v>18</v>
      </c>
      <c r="BD117" t="s">
        <v>74</v>
      </c>
      <c r="BE117" t="s">
        <v>2599</v>
      </c>
      <c r="BF117" t="str">
        <f>HYPERLINK("http://dx.doi.org/10.1016/j.dsr2.2017.12.015","http://dx.doi.org/10.1016/j.dsr2.2017.12.015")</f>
        <v>http://dx.doi.org/10.1016/j.dsr2.2017.12.015</v>
      </c>
      <c r="BG117" t="s">
        <v>74</v>
      </c>
      <c r="BH117" t="s">
        <v>74</v>
      </c>
      <c r="BI117">
        <v>15</v>
      </c>
      <c r="BJ117" t="s">
        <v>157</v>
      </c>
      <c r="BK117" t="s">
        <v>158</v>
      </c>
      <c r="BL117" t="s">
        <v>157</v>
      </c>
      <c r="BM117" t="s">
        <v>159</v>
      </c>
      <c r="BN117" t="s">
        <v>74</v>
      </c>
      <c r="BO117" t="s">
        <v>74</v>
      </c>
      <c r="BP117" t="s">
        <v>74</v>
      </c>
      <c r="BQ117" t="s">
        <v>74</v>
      </c>
      <c r="BR117" t="s">
        <v>104</v>
      </c>
      <c r="BS117" t="s">
        <v>2600</v>
      </c>
      <c r="BT117" t="str">
        <f>HYPERLINK("https%3A%2F%2Fwww.webofscience.com%2Fwos%2Fwoscc%2Ffull-record%2FWOS:000454184300002","View Full Record in Web of Science")</f>
        <v>View Full Record in Web of Science</v>
      </c>
    </row>
    <row r="118" spans="1:72" x14ac:dyDescent="0.15">
      <c r="A118" t="s">
        <v>72</v>
      </c>
      <c r="B118" t="s">
        <v>2601</v>
      </c>
      <c r="C118" t="s">
        <v>74</v>
      </c>
      <c r="D118" t="s">
        <v>74</v>
      </c>
      <c r="E118" t="s">
        <v>74</v>
      </c>
      <c r="F118" t="s">
        <v>2602</v>
      </c>
      <c r="G118" t="s">
        <v>74</v>
      </c>
      <c r="H118" t="s">
        <v>74</v>
      </c>
      <c r="I118" t="s">
        <v>2603</v>
      </c>
      <c r="J118" t="s">
        <v>517</v>
      </c>
      <c r="K118" t="s">
        <v>74</v>
      </c>
      <c r="L118" t="s">
        <v>74</v>
      </c>
      <c r="M118" t="s">
        <v>78</v>
      </c>
      <c r="N118" t="s">
        <v>79</v>
      </c>
      <c r="O118" t="s">
        <v>74</v>
      </c>
      <c r="P118" t="s">
        <v>74</v>
      </c>
      <c r="Q118" t="s">
        <v>74</v>
      </c>
      <c r="R118" t="s">
        <v>74</v>
      </c>
      <c r="S118" t="s">
        <v>74</v>
      </c>
      <c r="T118" t="s">
        <v>2604</v>
      </c>
      <c r="U118" t="s">
        <v>2605</v>
      </c>
      <c r="V118" t="s">
        <v>2606</v>
      </c>
      <c r="W118" t="s">
        <v>2607</v>
      </c>
      <c r="X118" t="s">
        <v>2608</v>
      </c>
      <c r="Y118" t="s">
        <v>2609</v>
      </c>
      <c r="Z118" t="s">
        <v>2610</v>
      </c>
      <c r="AA118" t="s">
        <v>2611</v>
      </c>
      <c r="AB118" t="s">
        <v>2612</v>
      </c>
      <c r="AC118" t="s">
        <v>2613</v>
      </c>
      <c r="AD118" t="s">
        <v>2614</v>
      </c>
      <c r="AE118" t="s">
        <v>2615</v>
      </c>
      <c r="AF118" t="s">
        <v>74</v>
      </c>
      <c r="AG118">
        <v>539</v>
      </c>
      <c r="AH118">
        <v>57</v>
      </c>
      <c r="AI118">
        <v>58</v>
      </c>
      <c r="AJ118">
        <v>2</v>
      </c>
      <c r="AK118">
        <v>30</v>
      </c>
      <c r="AL118" t="s">
        <v>285</v>
      </c>
      <c r="AM118" t="s">
        <v>286</v>
      </c>
      <c r="AN118" t="s">
        <v>287</v>
      </c>
      <c r="AO118" t="s">
        <v>529</v>
      </c>
      <c r="AP118" t="s">
        <v>530</v>
      </c>
      <c r="AQ118" t="s">
        <v>74</v>
      </c>
      <c r="AR118" t="s">
        <v>531</v>
      </c>
      <c r="AS118" t="s">
        <v>532</v>
      </c>
      <c r="AT118" t="s">
        <v>98</v>
      </c>
      <c r="AU118">
        <v>2018</v>
      </c>
      <c r="AV118">
        <v>185</v>
      </c>
      <c r="AW118" t="s">
        <v>74</v>
      </c>
      <c r="AX118" t="s">
        <v>74</v>
      </c>
      <c r="AY118" t="s">
        <v>74</v>
      </c>
      <c r="AZ118" t="s">
        <v>74</v>
      </c>
      <c r="BA118" t="s">
        <v>74</v>
      </c>
      <c r="BB118">
        <v>397</v>
      </c>
      <c r="BC118">
        <v>436</v>
      </c>
      <c r="BD118" t="s">
        <v>74</v>
      </c>
      <c r="BE118" t="s">
        <v>2616</v>
      </c>
      <c r="BF118" t="str">
        <f>HYPERLINK("http://dx.doi.org/10.1016/j.earscirev.2018.06.018","http://dx.doi.org/10.1016/j.earscirev.2018.06.018")</f>
        <v>http://dx.doi.org/10.1016/j.earscirev.2018.06.018</v>
      </c>
      <c r="BG118" t="s">
        <v>74</v>
      </c>
      <c r="BH118" t="s">
        <v>74</v>
      </c>
      <c r="BI118">
        <v>40</v>
      </c>
      <c r="BJ118" t="s">
        <v>182</v>
      </c>
      <c r="BK118" t="s">
        <v>101</v>
      </c>
      <c r="BL118" t="s">
        <v>183</v>
      </c>
      <c r="BM118" t="s">
        <v>534</v>
      </c>
      <c r="BN118" t="s">
        <v>74</v>
      </c>
      <c r="BO118" t="s">
        <v>1142</v>
      </c>
      <c r="BP118" t="s">
        <v>74</v>
      </c>
      <c r="BQ118" t="s">
        <v>74</v>
      </c>
      <c r="BR118" t="s">
        <v>104</v>
      </c>
      <c r="BS118" t="s">
        <v>2617</v>
      </c>
      <c r="BT118" t="str">
        <f>HYPERLINK("https%3A%2F%2Fwww.webofscience.com%2Fwos%2Fwoscc%2Ffull-record%2FWOS:000448493500020","View Full Record in Web of Science")</f>
        <v>View Full Record in Web of Science</v>
      </c>
    </row>
    <row r="119" spans="1:72" x14ac:dyDescent="0.15">
      <c r="A119" t="s">
        <v>72</v>
      </c>
      <c r="B119" t="s">
        <v>2618</v>
      </c>
      <c r="C119" t="s">
        <v>74</v>
      </c>
      <c r="D119" t="s">
        <v>74</v>
      </c>
      <c r="E119" t="s">
        <v>74</v>
      </c>
      <c r="F119" t="s">
        <v>2619</v>
      </c>
      <c r="G119" t="s">
        <v>74</v>
      </c>
      <c r="H119" t="s">
        <v>74</v>
      </c>
      <c r="I119" t="s">
        <v>2620</v>
      </c>
      <c r="J119" t="s">
        <v>1482</v>
      </c>
      <c r="K119" t="s">
        <v>74</v>
      </c>
      <c r="L119" t="s">
        <v>74</v>
      </c>
      <c r="M119" t="s">
        <v>78</v>
      </c>
      <c r="N119" t="s">
        <v>79</v>
      </c>
      <c r="O119" t="s">
        <v>74</v>
      </c>
      <c r="P119" t="s">
        <v>74</v>
      </c>
      <c r="Q119" t="s">
        <v>74</v>
      </c>
      <c r="R119" t="s">
        <v>74</v>
      </c>
      <c r="S119" t="s">
        <v>74</v>
      </c>
      <c r="T119" t="s">
        <v>2621</v>
      </c>
      <c r="U119" t="s">
        <v>2622</v>
      </c>
      <c r="V119" t="s">
        <v>2623</v>
      </c>
      <c r="W119" t="s">
        <v>2624</v>
      </c>
      <c r="X119" t="s">
        <v>2625</v>
      </c>
      <c r="Y119" t="s">
        <v>2626</v>
      </c>
      <c r="Z119" t="s">
        <v>2627</v>
      </c>
      <c r="AA119" t="s">
        <v>74</v>
      </c>
      <c r="AB119" t="s">
        <v>74</v>
      </c>
      <c r="AC119" t="s">
        <v>2628</v>
      </c>
      <c r="AD119" t="s">
        <v>2629</v>
      </c>
      <c r="AE119" t="s">
        <v>2630</v>
      </c>
      <c r="AF119" t="s">
        <v>74</v>
      </c>
      <c r="AG119">
        <v>96</v>
      </c>
      <c r="AH119">
        <v>20</v>
      </c>
      <c r="AI119">
        <v>25</v>
      </c>
      <c r="AJ119">
        <v>3</v>
      </c>
      <c r="AK119">
        <v>41</v>
      </c>
      <c r="AL119" t="s">
        <v>758</v>
      </c>
      <c r="AM119" t="s">
        <v>759</v>
      </c>
      <c r="AN119" t="s">
        <v>760</v>
      </c>
      <c r="AO119" t="s">
        <v>1495</v>
      </c>
      <c r="AP119" t="s">
        <v>74</v>
      </c>
      <c r="AQ119" t="s">
        <v>74</v>
      </c>
      <c r="AR119" t="s">
        <v>1496</v>
      </c>
      <c r="AS119" t="s">
        <v>1497</v>
      </c>
      <c r="AT119" t="s">
        <v>98</v>
      </c>
      <c r="AU119">
        <v>2018</v>
      </c>
      <c r="AV119">
        <v>8</v>
      </c>
      <c r="AW119">
        <v>19</v>
      </c>
      <c r="AX119" t="s">
        <v>74</v>
      </c>
      <c r="AY119" t="s">
        <v>74</v>
      </c>
      <c r="AZ119" t="s">
        <v>74</v>
      </c>
      <c r="BA119" t="s">
        <v>74</v>
      </c>
      <c r="BB119">
        <v>9764</v>
      </c>
      <c r="BC119">
        <v>9778</v>
      </c>
      <c r="BD119" t="s">
        <v>74</v>
      </c>
      <c r="BE119" t="s">
        <v>2631</v>
      </c>
      <c r="BF119" t="str">
        <f>HYPERLINK("http://dx.doi.org/10.1002/ece3.4445","http://dx.doi.org/10.1002/ece3.4445")</f>
        <v>http://dx.doi.org/10.1002/ece3.4445</v>
      </c>
      <c r="BG119" t="s">
        <v>74</v>
      </c>
      <c r="BH119" t="s">
        <v>74</v>
      </c>
      <c r="BI119">
        <v>15</v>
      </c>
      <c r="BJ119" t="s">
        <v>1499</v>
      </c>
      <c r="BK119" t="s">
        <v>101</v>
      </c>
      <c r="BL119" t="s">
        <v>1500</v>
      </c>
      <c r="BM119" t="s">
        <v>1501</v>
      </c>
      <c r="BN119">
        <v>30386573</v>
      </c>
      <c r="BO119" t="s">
        <v>439</v>
      </c>
      <c r="BP119" t="s">
        <v>74</v>
      </c>
      <c r="BQ119" t="s">
        <v>74</v>
      </c>
      <c r="BR119" t="s">
        <v>104</v>
      </c>
      <c r="BS119" t="s">
        <v>2632</v>
      </c>
      <c r="BT119" t="str">
        <f>HYPERLINK("https%3A%2F%2Fwww.webofscience.com%2Fwos%2Fwoscc%2Ffull-record%2FWOS:000448803000017","View Full Record in Web of Science")</f>
        <v>View Full Record in Web of Science</v>
      </c>
    </row>
    <row r="120" spans="1:72" x14ac:dyDescent="0.15">
      <c r="A120" t="s">
        <v>72</v>
      </c>
      <c r="B120" t="s">
        <v>2633</v>
      </c>
      <c r="C120" t="s">
        <v>74</v>
      </c>
      <c r="D120" t="s">
        <v>74</v>
      </c>
      <c r="E120" t="s">
        <v>74</v>
      </c>
      <c r="F120" t="s">
        <v>2634</v>
      </c>
      <c r="G120" t="s">
        <v>74</v>
      </c>
      <c r="H120" t="s">
        <v>74</v>
      </c>
      <c r="I120" t="s">
        <v>2635</v>
      </c>
      <c r="J120" t="s">
        <v>1507</v>
      </c>
      <c r="K120" t="s">
        <v>74</v>
      </c>
      <c r="L120" t="s">
        <v>74</v>
      </c>
      <c r="M120" t="s">
        <v>78</v>
      </c>
      <c r="N120" t="s">
        <v>79</v>
      </c>
      <c r="O120" t="s">
        <v>74</v>
      </c>
      <c r="P120" t="s">
        <v>74</v>
      </c>
      <c r="Q120" t="s">
        <v>74</v>
      </c>
      <c r="R120" t="s">
        <v>74</v>
      </c>
      <c r="S120" t="s">
        <v>74</v>
      </c>
      <c r="T120" t="s">
        <v>2636</v>
      </c>
      <c r="U120" t="s">
        <v>2637</v>
      </c>
      <c r="V120" t="s">
        <v>2638</v>
      </c>
      <c r="W120" t="s">
        <v>2639</v>
      </c>
      <c r="X120" t="s">
        <v>2640</v>
      </c>
      <c r="Y120" t="s">
        <v>2641</v>
      </c>
      <c r="Z120" t="s">
        <v>2642</v>
      </c>
      <c r="AA120" t="s">
        <v>74</v>
      </c>
      <c r="AB120" t="s">
        <v>2643</v>
      </c>
      <c r="AC120" t="s">
        <v>2644</v>
      </c>
      <c r="AD120" t="s">
        <v>2644</v>
      </c>
      <c r="AE120" t="s">
        <v>2645</v>
      </c>
      <c r="AF120" t="s">
        <v>74</v>
      </c>
      <c r="AG120">
        <v>59</v>
      </c>
      <c r="AH120">
        <v>18</v>
      </c>
      <c r="AI120">
        <v>19</v>
      </c>
      <c r="AJ120">
        <v>1</v>
      </c>
      <c r="AK120">
        <v>4</v>
      </c>
      <c r="AL120" t="s">
        <v>1053</v>
      </c>
      <c r="AM120" t="s">
        <v>1054</v>
      </c>
      <c r="AN120" t="s">
        <v>1055</v>
      </c>
      <c r="AO120" t="s">
        <v>74</v>
      </c>
      <c r="AP120" t="s">
        <v>1520</v>
      </c>
      <c r="AQ120" t="s">
        <v>74</v>
      </c>
      <c r="AR120" t="s">
        <v>1507</v>
      </c>
      <c r="AS120" t="s">
        <v>1521</v>
      </c>
      <c r="AT120" t="s">
        <v>98</v>
      </c>
      <c r="AU120">
        <v>2018</v>
      </c>
      <c r="AV120">
        <v>8</v>
      </c>
      <c r="AW120">
        <v>10</v>
      </c>
      <c r="AX120" t="s">
        <v>74</v>
      </c>
      <c r="AY120" t="s">
        <v>74</v>
      </c>
      <c r="AZ120" t="s">
        <v>74</v>
      </c>
      <c r="BA120" t="s">
        <v>74</v>
      </c>
      <c r="BB120" t="s">
        <v>74</v>
      </c>
      <c r="BC120" t="s">
        <v>74</v>
      </c>
      <c r="BD120">
        <v>355</v>
      </c>
      <c r="BE120" t="s">
        <v>2646</v>
      </c>
      <c r="BF120" t="str">
        <f>HYPERLINK("http://dx.doi.org/10.3390/geosciences8100355","http://dx.doi.org/10.3390/geosciences8100355")</f>
        <v>http://dx.doi.org/10.3390/geosciences8100355</v>
      </c>
      <c r="BG120" t="s">
        <v>74</v>
      </c>
      <c r="BH120" t="s">
        <v>74</v>
      </c>
      <c r="BI120">
        <v>18</v>
      </c>
      <c r="BJ120" t="s">
        <v>182</v>
      </c>
      <c r="BK120" t="s">
        <v>126</v>
      </c>
      <c r="BL120" t="s">
        <v>183</v>
      </c>
      <c r="BM120" t="s">
        <v>1523</v>
      </c>
      <c r="BN120" t="s">
        <v>74</v>
      </c>
      <c r="BO120" t="s">
        <v>2647</v>
      </c>
      <c r="BP120" t="s">
        <v>74</v>
      </c>
      <c r="BQ120" t="s">
        <v>74</v>
      </c>
      <c r="BR120" t="s">
        <v>104</v>
      </c>
      <c r="BS120" t="s">
        <v>2648</v>
      </c>
      <c r="BT120" t="str">
        <f>HYPERLINK("https%3A%2F%2Fwww.webofscience.com%2Fwos%2Fwoscc%2Ffull-record%2FWOS:000448548800001","View Full Record in Web of Science")</f>
        <v>View Full Record in Web of Science</v>
      </c>
    </row>
    <row r="121" spans="1:72" x14ac:dyDescent="0.15">
      <c r="A121" t="s">
        <v>72</v>
      </c>
      <c r="B121" t="s">
        <v>2649</v>
      </c>
      <c r="C121" t="s">
        <v>74</v>
      </c>
      <c r="D121" t="s">
        <v>74</v>
      </c>
      <c r="E121" t="s">
        <v>74</v>
      </c>
      <c r="F121" t="s">
        <v>2650</v>
      </c>
      <c r="G121" t="s">
        <v>74</v>
      </c>
      <c r="H121" t="s">
        <v>74</v>
      </c>
      <c r="I121" t="s">
        <v>2651</v>
      </c>
      <c r="J121" t="s">
        <v>2652</v>
      </c>
      <c r="K121" t="s">
        <v>74</v>
      </c>
      <c r="L121" t="s">
        <v>74</v>
      </c>
      <c r="M121" t="s">
        <v>78</v>
      </c>
      <c r="N121" t="s">
        <v>79</v>
      </c>
      <c r="O121" t="s">
        <v>74</v>
      </c>
      <c r="P121" t="s">
        <v>74</v>
      </c>
      <c r="Q121" t="s">
        <v>74</v>
      </c>
      <c r="R121" t="s">
        <v>74</v>
      </c>
      <c r="S121" t="s">
        <v>74</v>
      </c>
      <c r="T121" t="s">
        <v>2653</v>
      </c>
      <c r="U121" t="s">
        <v>2654</v>
      </c>
      <c r="V121" t="s">
        <v>2655</v>
      </c>
      <c r="W121" t="s">
        <v>2656</v>
      </c>
      <c r="X121" t="s">
        <v>2657</v>
      </c>
      <c r="Y121" t="s">
        <v>2658</v>
      </c>
      <c r="Z121" t="s">
        <v>2659</v>
      </c>
      <c r="AA121" t="s">
        <v>2660</v>
      </c>
      <c r="AB121" t="s">
        <v>2661</v>
      </c>
      <c r="AC121" t="s">
        <v>2662</v>
      </c>
      <c r="AD121" t="s">
        <v>2663</v>
      </c>
      <c r="AE121" t="s">
        <v>2664</v>
      </c>
      <c r="AF121" t="s">
        <v>74</v>
      </c>
      <c r="AG121">
        <v>120</v>
      </c>
      <c r="AH121">
        <v>30</v>
      </c>
      <c r="AI121">
        <v>37</v>
      </c>
      <c r="AJ121">
        <v>8</v>
      </c>
      <c r="AK121">
        <v>67</v>
      </c>
      <c r="AL121" t="s">
        <v>758</v>
      </c>
      <c r="AM121" t="s">
        <v>759</v>
      </c>
      <c r="AN121" t="s">
        <v>760</v>
      </c>
      <c r="AO121" t="s">
        <v>2665</v>
      </c>
      <c r="AP121" t="s">
        <v>2666</v>
      </c>
      <c r="AQ121" t="s">
        <v>74</v>
      </c>
      <c r="AR121" t="s">
        <v>2667</v>
      </c>
      <c r="AS121" t="s">
        <v>2668</v>
      </c>
      <c r="AT121" t="s">
        <v>98</v>
      </c>
      <c r="AU121">
        <v>2018</v>
      </c>
      <c r="AV121">
        <v>24</v>
      </c>
      <c r="AW121">
        <v>10</v>
      </c>
      <c r="AX121" t="s">
        <v>74</v>
      </c>
      <c r="AY121" t="s">
        <v>74</v>
      </c>
      <c r="AZ121" t="s">
        <v>74</v>
      </c>
      <c r="BA121" t="s">
        <v>74</v>
      </c>
      <c r="BB121">
        <v>4667</v>
      </c>
      <c r="BC121">
        <v>4681</v>
      </c>
      <c r="BD121" t="s">
        <v>74</v>
      </c>
      <c r="BE121" t="s">
        <v>2669</v>
      </c>
      <c r="BF121" t="str">
        <f>HYPERLINK("http://dx.doi.org/10.1111/gcb.14392","http://dx.doi.org/10.1111/gcb.14392")</f>
        <v>http://dx.doi.org/10.1111/gcb.14392</v>
      </c>
      <c r="BG121" t="s">
        <v>74</v>
      </c>
      <c r="BH121" t="s">
        <v>74</v>
      </c>
      <c r="BI121">
        <v>15</v>
      </c>
      <c r="BJ121" t="s">
        <v>2560</v>
      </c>
      <c r="BK121" t="s">
        <v>101</v>
      </c>
      <c r="BL121" t="s">
        <v>1210</v>
      </c>
      <c r="BM121" t="s">
        <v>2670</v>
      </c>
      <c r="BN121">
        <v>29999582</v>
      </c>
      <c r="BO121" t="s">
        <v>346</v>
      </c>
      <c r="BP121" t="s">
        <v>74</v>
      </c>
      <c r="BQ121" t="s">
        <v>74</v>
      </c>
      <c r="BR121" t="s">
        <v>104</v>
      </c>
      <c r="BS121" t="s">
        <v>2671</v>
      </c>
      <c r="BT121" t="str">
        <f>HYPERLINK("https%3A%2F%2Fwww.webofscience.com%2Fwos%2Fwoscc%2Ffull-record%2FWOS:000445728800017","View Full Record in Web of Science")</f>
        <v>View Full Record in Web of Science</v>
      </c>
    </row>
    <row r="122" spans="1:72" x14ac:dyDescent="0.15">
      <c r="A122" t="s">
        <v>72</v>
      </c>
      <c r="B122" t="s">
        <v>2672</v>
      </c>
      <c r="C122" t="s">
        <v>74</v>
      </c>
      <c r="D122" t="s">
        <v>74</v>
      </c>
      <c r="E122" t="s">
        <v>74</v>
      </c>
      <c r="F122" t="s">
        <v>2673</v>
      </c>
      <c r="G122" t="s">
        <v>74</v>
      </c>
      <c r="H122" t="s">
        <v>74</v>
      </c>
      <c r="I122" t="s">
        <v>2674</v>
      </c>
      <c r="J122" t="s">
        <v>798</v>
      </c>
      <c r="K122" t="s">
        <v>74</v>
      </c>
      <c r="L122" t="s">
        <v>74</v>
      </c>
      <c r="M122" t="s">
        <v>78</v>
      </c>
      <c r="N122" t="s">
        <v>79</v>
      </c>
      <c r="O122" t="s">
        <v>74</v>
      </c>
      <c r="P122" t="s">
        <v>74</v>
      </c>
      <c r="Q122" t="s">
        <v>74</v>
      </c>
      <c r="R122" t="s">
        <v>74</v>
      </c>
      <c r="S122" t="s">
        <v>74</v>
      </c>
      <c r="T122" t="s">
        <v>2675</v>
      </c>
      <c r="U122" t="s">
        <v>2676</v>
      </c>
      <c r="V122" t="s">
        <v>2677</v>
      </c>
      <c r="W122" t="s">
        <v>2678</v>
      </c>
      <c r="X122" t="s">
        <v>2679</v>
      </c>
      <c r="Y122" t="s">
        <v>2680</v>
      </c>
      <c r="Z122" t="s">
        <v>2681</v>
      </c>
      <c r="AA122" t="s">
        <v>2682</v>
      </c>
      <c r="AB122" t="s">
        <v>2683</v>
      </c>
      <c r="AC122" t="s">
        <v>2684</v>
      </c>
      <c r="AD122" t="s">
        <v>2685</v>
      </c>
      <c r="AE122" t="s">
        <v>2686</v>
      </c>
      <c r="AF122" t="s">
        <v>74</v>
      </c>
      <c r="AG122">
        <v>38</v>
      </c>
      <c r="AH122">
        <v>13</v>
      </c>
      <c r="AI122">
        <v>13</v>
      </c>
      <c r="AJ122">
        <v>1</v>
      </c>
      <c r="AK122">
        <v>9</v>
      </c>
      <c r="AL122" t="s">
        <v>503</v>
      </c>
      <c r="AM122" t="s">
        <v>504</v>
      </c>
      <c r="AN122" t="s">
        <v>505</v>
      </c>
      <c r="AO122" t="s">
        <v>811</v>
      </c>
      <c r="AP122" t="s">
        <v>812</v>
      </c>
      <c r="AQ122" t="s">
        <v>74</v>
      </c>
      <c r="AR122" t="s">
        <v>813</v>
      </c>
      <c r="AS122" t="s">
        <v>814</v>
      </c>
      <c r="AT122" t="s">
        <v>98</v>
      </c>
      <c r="AU122">
        <v>2018</v>
      </c>
      <c r="AV122">
        <v>123</v>
      </c>
      <c r="AW122">
        <v>10</v>
      </c>
      <c r="AX122" t="s">
        <v>74</v>
      </c>
      <c r="AY122" t="s">
        <v>74</v>
      </c>
      <c r="AZ122" t="s">
        <v>74</v>
      </c>
      <c r="BA122" t="s">
        <v>74</v>
      </c>
      <c r="BB122">
        <v>7599</v>
      </c>
      <c r="BC122">
        <v>7617</v>
      </c>
      <c r="BD122" t="s">
        <v>74</v>
      </c>
      <c r="BE122" t="s">
        <v>2687</v>
      </c>
      <c r="BF122" t="str">
        <f>HYPERLINK("http://dx.doi.org/10.1029/2018JC014275","http://dx.doi.org/10.1029/2018JC014275")</f>
        <v>http://dx.doi.org/10.1029/2018JC014275</v>
      </c>
      <c r="BG122" t="s">
        <v>74</v>
      </c>
      <c r="BH122" t="s">
        <v>74</v>
      </c>
      <c r="BI122">
        <v>19</v>
      </c>
      <c r="BJ122" t="s">
        <v>157</v>
      </c>
      <c r="BK122" t="s">
        <v>101</v>
      </c>
      <c r="BL122" t="s">
        <v>157</v>
      </c>
      <c r="BM122" t="s">
        <v>816</v>
      </c>
      <c r="BN122" t="s">
        <v>74</v>
      </c>
      <c r="BO122" t="s">
        <v>1818</v>
      </c>
      <c r="BP122" t="s">
        <v>74</v>
      </c>
      <c r="BQ122" t="s">
        <v>74</v>
      </c>
      <c r="BR122" t="s">
        <v>104</v>
      </c>
      <c r="BS122" t="s">
        <v>2688</v>
      </c>
      <c r="BT122" t="str">
        <f>HYPERLINK("https%3A%2F%2Fwww.webofscience.com%2Fwos%2Fwoscc%2Ffull-record%2FWOS:000451274900036","View Full Record in Web of Science")</f>
        <v>View Full Record in Web of Science</v>
      </c>
    </row>
    <row r="123" spans="1:72" x14ac:dyDescent="0.15">
      <c r="A123" t="s">
        <v>72</v>
      </c>
      <c r="B123" t="s">
        <v>2689</v>
      </c>
      <c r="C123" t="s">
        <v>74</v>
      </c>
      <c r="D123" t="s">
        <v>74</v>
      </c>
      <c r="E123" t="s">
        <v>74</v>
      </c>
      <c r="F123" t="s">
        <v>2690</v>
      </c>
      <c r="G123" t="s">
        <v>74</v>
      </c>
      <c r="H123" t="s">
        <v>74</v>
      </c>
      <c r="I123" t="s">
        <v>2691</v>
      </c>
      <c r="J123" t="s">
        <v>2692</v>
      </c>
      <c r="K123" t="s">
        <v>74</v>
      </c>
      <c r="L123" t="s">
        <v>74</v>
      </c>
      <c r="M123" t="s">
        <v>78</v>
      </c>
      <c r="N123" t="s">
        <v>79</v>
      </c>
      <c r="O123" t="s">
        <v>74</v>
      </c>
      <c r="P123" t="s">
        <v>74</v>
      </c>
      <c r="Q123" t="s">
        <v>74</v>
      </c>
      <c r="R123" t="s">
        <v>74</v>
      </c>
      <c r="S123" t="s">
        <v>74</v>
      </c>
      <c r="T123" t="s">
        <v>2693</v>
      </c>
      <c r="U123" t="s">
        <v>2694</v>
      </c>
      <c r="V123" t="s">
        <v>2695</v>
      </c>
      <c r="W123" t="s">
        <v>2696</v>
      </c>
      <c r="X123" t="s">
        <v>2697</v>
      </c>
      <c r="Y123" t="s">
        <v>2698</v>
      </c>
      <c r="Z123" t="s">
        <v>2699</v>
      </c>
      <c r="AA123" t="s">
        <v>2700</v>
      </c>
      <c r="AB123" t="s">
        <v>2701</v>
      </c>
      <c r="AC123" t="s">
        <v>2702</v>
      </c>
      <c r="AD123" t="s">
        <v>2703</v>
      </c>
      <c r="AE123" t="s">
        <v>2704</v>
      </c>
      <c r="AF123" t="s">
        <v>74</v>
      </c>
      <c r="AG123">
        <v>106</v>
      </c>
      <c r="AH123">
        <v>15</v>
      </c>
      <c r="AI123">
        <v>17</v>
      </c>
      <c r="AJ123">
        <v>1</v>
      </c>
      <c r="AK123">
        <v>23</v>
      </c>
      <c r="AL123" t="s">
        <v>2705</v>
      </c>
      <c r="AM123" t="s">
        <v>2706</v>
      </c>
      <c r="AN123" t="s">
        <v>2707</v>
      </c>
      <c r="AO123" t="s">
        <v>2708</v>
      </c>
      <c r="AP123" t="s">
        <v>2709</v>
      </c>
      <c r="AQ123" t="s">
        <v>74</v>
      </c>
      <c r="AR123" t="s">
        <v>2710</v>
      </c>
      <c r="AS123" t="s">
        <v>2711</v>
      </c>
      <c r="AT123" t="s">
        <v>98</v>
      </c>
      <c r="AU123">
        <v>2018</v>
      </c>
      <c r="AV123">
        <v>127</v>
      </c>
      <c r="AW123" t="s">
        <v>74</v>
      </c>
      <c r="AX123" t="s">
        <v>74</v>
      </c>
      <c r="AY123" t="s">
        <v>74</v>
      </c>
      <c r="AZ123" t="s">
        <v>74</v>
      </c>
      <c r="BA123" t="s">
        <v>74</v>
      </c>
      <c r="BB123">
        <v>626</v>
      </c>
      <c r="BC123">
        <v>637</v>
      </c>
      <c r="BD123" t="s">
        <v>74</v>
      </c>
      <c r="BE123" t="s">
        <v>2712</v>
      </c>
      <c r="BF123" t="str">
        <f>HYPERLINK("http://dx.doi.org/10.1016/j.ympev.2018.06.009","http://dx.doi.org/10.1016/j.ympev.2018.06.009")</f>
        <v>http://dx.doi.org/10.1016/j.ympev.2018.06.009</v>
      </c>
      <c r="BG123" t="s">
        <v>74</v>
      </c>
      <c r="BH123" t="s">
        <v>74</v>
      </c>
      <c r="BI123">
        <v>12</v>
      </c>
      <c r="BJ123" t="s">
        <v>1086</v>
      </c>
      <c r="BK123" t="s">
        <v>101</v>
      </c>
      <c r="BL123" t="s">
        <v>1086</v>
      </c>
      <c r="BM123" t="s">
        <v>2713</v>
      </c>
      <c r="BN123">
        <v>29913310</v>
      </c>
      <c r="BO123" t="s">
        <v>74</v>
      </c>
      <c r="BP123" t="s">
        <v>74</v>
      </c>
      <c r="BQ123" t="s">
        <v>74</v>
      </c>
      <c r="BR123" t="s">
        <v>104</v>
      </c>
      <c r="BS123" t="s">
        <v>2714</v>
      </c>
      <c r="BT123" t="str">
        <f>HYPERLINK("https%3A%2F%2Fwww.webofscience.com%2Fwos%2Fwoscc%2Ffull-record%2FWOS:000446021300055","View Full Record in Web of Science")</f>
        <v>View Full Record in Web of Science</v>
      </c>
    </row>
    <row r="124" spans="1:72" x14ac:dyDescent="0.15">
      <c r="A124" t="s">
        <v>72</v>
      </c>
      <c r="B124" t="s">
        <v>2715</v>
      </c>
      <c r="C124" t="s">
        <v>74</v>
      </c>
      <c r="D124" t="s">
        <v>74</v>
      </c>
      <c r="E124" t="s">
        <v>74</v>
      </c>
      <c r="F124" t="s">
        <v>2716</v>
      </c>
      <c r="G124" t="s">
        <v>74</v>
      </c>
      <c r="H124" t="s">
        <v>74</v>
      </c>
      <c r="I124" t="s">
        <v>2717</v>
      </c>
      <c r="J124" t="s">
        <v>1118</v>
      </c>
      <c r="K124" t="s">
        <v>74</v>
      </c>
      <c r="L124" t="s">
        <v>74</v>
      </c>
      <c r="M124" t="s">
        <v>78</v>
      </c>
      <c r="N124" t="s">
        <v>2499</v>
      </c>
      <c r="O124" t="s">
        <v>74</v>
      </c>
      <c r="P124" t="s">
        <v>74</v>
      </c>
      <c r="Q124" t="s">
        <v>74</v>
      </c>
      <c r="R124" t="s">
        <v>74</v>
      </c>
      <c r="S124" t="s">
        <v>74</v>
      </c>
      <c r="T124" t="s">
        <v>74</v>
      </c>
      <c r="U124" t="s">
        <v>2718</v>
      </c>
      <c r="V124" t="s">
        <v>74</v>
      </c>
      <c r="W124" t="s">
        <v>2719</v>
      </c>
      <c r="X124" t="s">
        <v>2720</v>
      </c>
      <c r="Y124" t="s">
        <v>2721</v>
      </c>
      <c r="Z124" t="s">
        <v>2722</v>
      </c>
      <c r="AA124" t="s">
        <v>2723</v>
      </c>
      <c r="AB124" t="s">
        <v>2724</v>
      </c>
      <c r="AC124" t="s">
        <v>2725</v>
      </c>
      <c r="AD124" t="s">
        <v>2726</v>
      </c>
      <c r="AE124" t="s">
        <v>2727</v>
      </c>
      <c r="AF124" t="s">
        <v>74</v>
      </c>
      <c r="AG124">
        <v>19</v>
      </c>
      <c r="AH124">
        <v>8</v>
      </c>
      <c r="AI124">
        <v>8</v>
      </c>
      <c r="AJ124">
        <v>1</v>
      </c>
      <c r="AK124">
        <v>16</v>
      </c>
      <c r="AL124" t="s">
        <v>1159</v>
      </c>
      <c r="AM124" t="s">
        <v>704</v>
      </c>
      <c r="AN124" t="s">
        <v>2728</v>
      </c>
      <c r="AO124" t="s">
        <v>1133</v>
      </c>
      <c r="AP124" t="s">
        <v>1134</v>
      </c>
      <c r="AQ124" t="s">
        <v>74</v>
      </c>
      <c r="AR124" t="s">
        <v>1135</v>
      </c>
      <c r="AS124" t="s">
        <v>1136</v>
      </c>
      <c r="AT124" t="s">
        <v>98</v>
      </c>
      <c r="AU124">
        <v>2018</v>
      </c>
      <c r="AV124">
        <v>8</v>
      </c>
      <c r="AW124">
        <v>10</v>
      </c>
      <c r="AX124" t="s">
        <v>74</v>
      </c>
      <c r="AY124" t="s">
        <v>74</v>
      </c>
      <c r="AZ124" t="s">
        <v>74</v>
      </c>
      <c r="BA124" t="s">
        <v>74</v>
      </c>
      <c r="BB124">
        <v>848</v>
      </c>
      <c r="BC124">
        <v>851</v>
      </c>
      <c r="BD124" t="s">
        <v>74</v>
      </c>
      <c r="BE124" t="s">
        <v>2729</v>
      </c>
      <c r="BF124" t="str">
        <f>HYPERLINK("http://dx.doi.org/10.1038/s41558-018-0290-y","http://dx.doi.org/10.1038/s41558-018-0290-y")</f>
        <v>http://dx.doi.org/10.1038/s41558-018-0290-y</v>
      </c>
      <c r="BG124" t="s">
        <v>74</v>
      </c>
      <c r="BH124" t="s">
        <v>74</v>
      </c>
      <c r="BI124">
        <v>5</v>
      </c>
      <c r="BJ124" t="s">
        <v>1139</v>
      </c>
      <c r="BK124" t="s">
        <v>1140</v>
      </c>
      <c r="BL124" t="s">
        <v>318</v>
      </c>
      <c r="BM124" t="s">
        <v>1141</v>
      </c>
      <c r="BN124" t="s">
        <v>74</v>
      </c>
      <c r="BO124" t="s">
        <v>74</v>
      </c>
      <c r="BP124" t="s">
        <v>74</v>
      </c>
      <c r="BQ124" t="s">
        <v>74</v>
      </c>
      <c r="BR124" t="s">
        <v>104</v>
      </c>
      <c r="BS124" t="s">
        <v>2730</v>
      </c>
      <c r="BT124" t="str">
        <f>HYPERLINK("https%3A%2F%2Fwww.webofscience.com%2Fwos%2Fwoscc%2Ffull-record%2FWOS:000445927700005","View Full Record in Web of Science")</f>
        <v>View Full Record in Web of Science</v>
      </c>
    </row>
    <row r="125" spans="1:72" x14ac:dyDescent="0.15">
      <c r="A125" t="s">
        <v>72</v>
      </c>
      <c r="B125" t="s">
        <v>2731</v>
      </c>
      <c r="C125" t="s">
        <v>74</v>
      </c>
      <c r="D125" t="s">
        <v>74</v>
      </c>
      <c r="E125" t="s">
        <v>74</v>
      </c>
      <c r="F125" t="s">
        <v>2732</v>
      </c>
      <c r="G125" t="s">
        <v>74</v>
      </c>
      <c r="H125" t="s">
        <v>74</v>
      </c>
      <c r="I125" t="s">
        <v>2733</v>
      </c>
      <c r="J125" t="s">
        <v>1118</v>
      </c>
      <c r="K125" t="s">
        <v>74</v>
      </c>
      <c r="L125" t="s">
        <v>74</v>
      </c>
      <c r="M125" t="s">
        <v>78</v>
      </c>
      <c r="N125" t="s">
        <v>79</v>
      </c>
      <c r="O125" t="s">
        <v>74</v>
      </c>
      <c r="P125" t="s">
        <v>74</v>
      </c>
      <c r="Q125" t="s">
        <v>74</v>
      </c>
      <c r="R125" t="s">
        <v>74</v>
      </c>
      <c r="S125" t="s">
        <v>74</v>
      </c>
      <c r="T125" t="s">
        <v>74</v>
      </c>
      <c r="U125" t="s">
        <v>2734</v>
      </c>
      <c r="V125" t="s">
        <v>2735</v>
      </c>
      <c r="W125" t="s">
        <v>2736</v>
      </c>
      <c r="X125" t="s">
        <v>2737</v>
      </c>
      <c r="Y125" t="s">
        <v>2738</v>
      </c>
      <c r="Z125" t="s">
        <v>2739</v>
      </c>
      <c r="AA125" t="s">
        <v>2740</v>
      </c>
      <c r="AB125" t="s">
        <v>2741</v>
      </c>
      <c r="AC125" t="s">
        <v>2742</v>
      </c>
      <c r="AD125" t="s">
        <v>2743</v>
      </c>
      <c r="AE125" t="s">
        <v>2744</v>
      </c>
      <c r="AF125" t="s">
        <v>74</v>
      </c>
      <c r="AG125">
        <v>57</v>
      </c>
      <c r="AH125">
        <v>88</v>
      </c>
      <c r="AI125">
        <v>91</v>
      </c>
      <c r="AJ125">
        <v>4</v>
      </c>
      <c r="AK125">
        <v>71</v>
      </c>
      <c r="AL125" t="s">
        <v>1159</v>
      </c>
      <c r="AM125" t="s">
        <v>704</v>
      </c>
      <c r="AN125" t="s">
        <v>2728</v>
      </c>
      <c r="AO125" t="s">
        <v>1133</v>
      </c>
      <c r="AP125" t="s">
        <v>1134</v>
      </c>
      <c r="AQ125" t="s">
        <v>74</v>
      </c>
      <c r="AR125" t="s">
        <v>1135</v>
      </c>
      <c r="AS125" t="s">
        <v>1136</v>
      </c>
      <c r="AT125" t="s">
        <v>98</v>
      </c>
      <c r="AU125">
        <v>2018</v>
      </c>
      <c r="AV125">
        <v>8</v>
      </c>
      <c r="AW125">
        <v>10</v>
      </c>
      <c r="AX125" t="s">
        <v>74</v>
      </c>
      <c r="AY125" t="s">
        <v>74</v>
      </c>
      <c r="AZ125" t="s">
        <v>74</v>
      </c>
      <c r="BA125" t="s">
        <v>74</v>
      </c>
      <c r="BB125">
        <v>879</v>
      </c>
      <c r="BC125" t="s">
        <v>1137</v>
      </c>
      <c r="BD125" t="s">
        <v>74</v>
      </c>
      <c r="BE125" t="s">
        <v>2745</v>
      </c>
      <c r="BF125" t="str">
        <f>HYPERLINK("http://dx.doi.org/10.1038/s41558-018-0280-0","http://dx.doi.org/10.1038/s41558-018-0280-0")</f>
        <v>http://dx.doi.org/10.1038/s41558-018-0280-0</v>
      </c>
      <c r="BG125" t="s">
        <v>74</v>
      </c>
      <c r="BH125" t="s">
        <v>74</v>
      </c>
      <c r="BI125">
        <v>8</v>
      </c>
      <c r="BJ125" t="s">
        <v>1139</v>
      </c>
      <c r="BK125" t="s">
        <v>1140</v>
      </c>
      <c r="BL125" t="s">
        <v>318</v>
      </c>
      <c r="BM125" t="s">
        <v>1141</v>
      </c>
      <c r="BN125" t="s">
        <v>74</v>
      </c>
      <c r="BO125" t="s">
        <v>535</v>
      </c>
      <c r="BP125" t="s">
        <v>74</v>
      </c>
      <c r="BQ125" t="s">
        <v>74</v>
      </c>
      <c r="BR125" t="s">
        <v>104</v>
      </c>
      <c r="BS125" t="s">
        <v>2746</v>
      </c>
      <c r="BT125" t="str">
        <f>HYPERLINK("https%3A%2F%2Fwww.webofscience.com%2Fwos%2Fwoscc%2Ffull-record%2FWOS:000445927700018","View Full Record in Web of Science")</f>
        <v>View Full Record in Web of Science</v>
      </c>
    </row>
    <row r="126" spans="1:72" x14ac:dyDescent="0.15">
      <c r="A126" t="s">
        <v>72</v>
      </c>
      <c r="B126" t="s">
        <v>2747</v>
      </c>
      <c r="C126" t="s">
        <v>74</v>
      </c>
      <c r="D126" t="s">
        <v>74</v>
      </c>
      <c r="E126" t="s">
        <v>74</v>
      </c>
      <c r="F126" t="s">
        <v>2748</v>
      </c>
      <c r="G126" t="s">
        <v>74</v>
      </c>
      <c r="H126" t="s">
        <v>74</v>
      </c>
      <c r="I126" t="s">
        <v>2749</v>
      </c>
      <c r="J126" t="s">
        <v>2750</v>
      </c>
      <c r="K126" t="s">
        <v>74</v>
      </c>
      <c r="L126" t="s">
        <v>74</v>
      </c>
      <c r="M126" t="s">
        <v>78</v>
      </c>
      <c r="N126" t="s">
        <v>79</v>
      </c>
      <c r="O126" t="s">
        <v>74</v>
      </c>
      <c r="P126" t="s">
        <v>74</v>
      </c>
      <c r="Q126" t="s">
        <v>74</v>
      </c>
      <c r="R126" t="s">
        <v>74</v>
      </c>
      <c r="S126" t="s">
        <v>74</v>
      </c>
      <c r="T126" t="s">
        <v>2751</v>
      </c>
      <c r="U126" t="s">
        <v>2752</v>
      </c>
      <c r="V126" t="s">
        <v>2753</v>
      </c>
      <c r="W126" t="s">
        <v>2754</v>
      </c>
      <c r="X126" t="s">
        <v>2755</v>
      </c>
      <c r="Y126" t="s">
        <v>2756</v>
      </c>
      <c r="Z126" t="s">
        <v>2757</v>
      </c>
      <c r="AA126" t="s">
        <v>2758</v>
      </c>
      <c r="AB126" t="s">
        <v>2759</v>
      </c>
      <c r="AC126" t="s">
        <v>74</v>
      </c>
      <c r="AD126" t="s">
        <v>74</v>
      </c>
      <c r="AE126" t="s">
        <v>74</v>
      </c>
      <c r="AF126" t="s">
        <v>74</v>
      </c>
      <c r="AG126">
        <v>74</v>
      </c>
      <c r="AH126">
        <v>352</v>
      </c>
      <c r="AI126">
        <v>365</v>
      </c>
      <c r="AJ126">
        <v>8</v>
      </c>
      <c r="AK126">
        <v>45</v>
      </c>
      <c r="AL126" t="s">
        <v>201</v>
      </c>
      <c r="AM126" t="s">
        <v>93</v>
      </c>
      <c r="AN126" t="s">
        <v>202</v>
      </c>
      <c r="AO126" t="s">
        <v>2760</v>
      </c>
      <c r="AP126" t="s">
        <v>2761</v>
      </c>
      <c r="AQ126" t="s">
        <v>74</v>
      </c>
      <c r="AR126" t="s">
        <v>2762</v>
      </c>
      <c r="AS126" t="s">
        <v>2763</v>
      </c>
      <c r="AT126" t="s">
        <v>98</v>
      </c>
      <c r="AU126">
        <v>2018</v>
      </c>
      <c r="AV126">
        <v>130</v>
      </c>
      <c r="AW126" t="s">
        <v>74</v>
      </c>
      <c r="AX126" t="s">
        <v>74</v>
      </c>
      <c r="AY126" t="s">
        <v>74</v>
      </c>
      <c r="AZ126" t="s">
        <v>74</v>
      </c>
      <c r="BA126" t="s">
        <v>74</v>
      </c>
      <c r="BB126">
        <v>79</v>
      </c>
      <c r="BC126">
        <v>139</v>
      </c>
      <c r="BD126" t="s">
        <v>74</v>
      </c>
      <c r="BE126" t="s">
        <v>2764</v>
      </c>
      <c r="BF126" t="str">
        <f>HYPERLINK("http://dx.doi.org/10.1016/j.ocemod.2018.07.002","http://dx.doi.org/10.1016/j.ocemod.2018.07.002")</f>
        <v>http://dx.doi.org/10.1016/j.ocemod.2018.07.002</v>
      </c>
      <c r="BG126" t="s">
        <v>74</v>
      </c>
      <c r="BH126" t="s">
        <v>74</v>
      </c>
      <c r="BI126">
        <v>61</v>
      </c>
      <c r="BJ126" t="s">
        <v>2765</v>
      </c>
      <c r="BK126" t="s">
        <v>101</v>
      </c>
      <c r="BL126" t="s">
        <v>2765</v>
      </c>
      <c r="BM126" t="s">
        <v>2766</v>
      </c>
      <c r="BN126" t="s">
        <v>74</v>
      </c>
      <c r="BO126" t="s">
        <v>2444</v>
      </c>
      <c r="BP126" t="s">
        <v>1167</v>
      </c>
      <c r="BQ126" t="s">
        <v>1168</v>
      </c>
      <c r="BR126" t="s">
        <v>104</v>
      </c>
      <c r="BS126" t="s">
        <v>2767</v>
      </c>
      <c r="BT126" t="str">
        <f>HYPERLINK("https%3A%2F%2Fwww.webofscience.com%2Fwos%2Fwoscc%2Ffull-record%2FWOS:000445228500007","View Full Record in Web of Science")</f>
        <v>View Full Record in Web of Science</v>
      </c>
    </row>
    <row r="127" spans="1:72" x14ac:dyDescent="0.15">
      <c r="A127" t="s">
        <v>72</v>
      </c>
      <c r="B127" t="s">
        <v>2768</v>
      </c>
      <c r="C127" t="s">
        <v>74</v>
      </c>
      <c r="D127" t="s">
        <v>74</v>
      </c>
      <c r="E127" t="s">
        <v>74</v>
      </c>
      <c r="F127" t="s">
        <v>2769</v>
      </c>
      <c r="G127" t="s">
        <v>74</v>
      </c>
      <c r="H127" t="s">
        <v>74</v>
      </c>
      <c r="I127" t="s">
        <v>2770</v>
      </c>
      <c r="J127" t="s">
        <v>1192</v>
      </c>
      <c r="K127" t="s">
        <v>74</v>
      </c>
      <c r="L127" t="s">
        <v>74</v>
      </c>
      <c r="M127" t="s">
        <v>78</v>
      </c>
      <c r="N127" t="s">
        <v>79</v>
      </c>
      <c r="O127" t="s">
        <v>74</v>
      </c>
      <c r="P127" t="s">
        <v>74</v>
      </c>
      <c r="Q127" t="s">
        <v>74</v>
      </c>
      <c r="R127" t="s">
        <v>74</v>
      </c>
      <c r="S127" t="s">
        <v>74</v>
      </c>
      <c r="T127" t="s">
        <v>2771</v>
      </c>
      <c r="U127" t="s">
        <v>2772</v>
      </c>
      <c r="V127" t="s">
        <v>2773</v>
      </c>
      <c r="W127" t="s">
        <v>2774</v>
      </c>
      <c r="X127" t="s">
        <v>2775</v>
      </c>
      <c r="Y127" t="s">
        <v>2776</v>
      </c>
      <c r="Z127" t="s">
        <v>2777</v>
      </c>
      <c r="AA127" t="s">
        <v>2778</v>
      </c>
      <c r="AB127" t="s">
        <v>2779</v>
      </c>
      <c r="AC127" t="s">
        <v>2780</v>
      </c>
      <c r="AD127" t="s">
        <v>2780</v>
      </c>
      <c r="AE127" t="s">
        <v>2781</v>
      </c>
      <c r="AF127" t="s">
        <v>74</v>
      </c>
      <c r="AG127">
        <v>65</v>
      </c>
      <c r="AH127">
        <v>1</v>
      </c>
      <c r="AI127">
        <v>1</v>
      </c>
      <c r="AJ127">
        <v>2</v>
      </c>
      <c r="AK127">
        <v>30</v>
      </c>
      <c r="AL127" t="s">
        <v>337</v>
      </c>
      <c r="AM127" t="s">
        <v>258</v>
      </c>
      <c r="AN127" t="s">
        <v>387</v>
      </c>
      <c r="AO127" t="s">
        <v>1204</v>
      </c>
      <c r="AP127" t="s">
        <v>1205</v>
      </c>
      <c r="AQ127" t="s">
        <v>74</v>
      </c>
      <c r="AR127" t="s">
        <v>1206</v>
      </c>
      <c r="AS127" t="s">
        <v>1207</v>
      </c>
      <c r="AT127" t="s">
        <v>98</v>
      </c>
      <c r="AU127">
        <v>2018</v>
      </c>
      <c r="AV127">
        <v>41</v>
      </c>
      <c r="AW127">
        <v>10</v>
      </c>
      <c r="AX127" t="s">
        <v>74</v>
      </c>
      <c r="AY127" t="s">
        <v>74</v>
      </c>
      <c r="AZ127" t="s">
        <v>74</v>
      </c>
      <c r="BA127" t="s">
        <v>74</v>
      </c>
      <c r="BB127">
        <v>1923</v>
      </c>
      <c r="BC127">
        <v>1935</v>
      </c>
      <c r="BD127" t="s">
        <v>74</v>
      </c>
      <c r="BE127" t="s">
        <v>2782</v>
      </c>
      <c r="BF127" t="str">
        <f>HYPERLINK("http://dx.doi.org/10.1007/s00300-018-2332-3","http://dx.doi.org/10.1007/s00300-018-2332-3")</f>
        <v>http://dx.doi.org/10.1007/s00300-018-2332-3</v>
      </c>
      <c r="BG127" t="s">
        <v>74</v>
      </c>
      <c r="BH127" t="s">
        <v>74</v>
      </c>
      <c r="BI127">
        <v>13</v>
      </c>
      <c r="BJ127" t="s">
        <v>1209</v>
      </c>
      <c r="BK127" t="s">
        <v>101</v>
      </c>
      <c r="BL127" t="s">
        <v>1210</v>
      </c>
      <c r="BM127" t="s">
        <v>1211</v>
      </c>
      <c r="BN127" t="s">
        <v>74</v>
      </c>
      <c r="BO127" t="s">
        <v>74</v>
      </c>
      <c r="BP127" t="s">
        <v>74</v>
      </c>
      <c r="BQ127" t="s">
        <v>74</v>
      </c>
      <c r="BR127" t="s">
        <v>104</v>
      </c>
      <c r="BS127" t="s">
        <v>2783</v>
      </c>
      <c r="BT127" t="str">
        <f>HYPERLINK("https%3A%2F%2Fwww.webofscience.com%2Fwos%2Fwoscc%2Ffull-record%2FWOS:000445212100002","View Full Record in Web of Science")</f>
        <v>View Full Record in Web of Science</v>
      </c>
    </row>
    <row r="128" spans="1:72" x14ac:dyDescent="0.15">
      <c r="A128" t="s">
        <v>72</v>
      </c>
      <c r="B128" t="s">
        <v>2784</v>
      </c>
      <c r="C128" t="s">
        <v>74</v>
      </c>
      <c r="D128" t="s">
        <v>74</v>
      </c>
      <c r="E128" t="s">
        <v>74</v>
      </c>
      <c r="F128" t="s">
        <v>2785</v>
      </c>
      <c r="G128" t="s">
        <v>74</v>
      </c>
      <c r="H128" t="s">
        <v>74</v>
      </c>
      <c r="I128" t="s">
        <v>2786</v>
      </c>
      <c r="J128" t="s">
        <v>1192</v>
      </c>
      <c r="K128" t="s">
        <v>74</v>
      </c>
      <c r="L128" t="s">
        <v>74</v>
      </c>
      <c r="M128" t="s">
        <v>78</v>
      </c>
      <c r="N128" t="s">
        <v>79</v>
      </c>
      <c r="O128" t="s">
        <v>74</v>
      </c>
      <c r="P128" t="s">
        <v>74</v>
      </c>
      <c r="Q128" t="s">
        <v>74</v>
      </c>
      <c r="R128" t="s">
        <v>74</v>
      </c>
      <c r="S128" t="s">
        <v>74</v>
      </c>
      <c r="T128" t="s">
        <v>2787</v>
      </c>
      <c r="U128" t="s">
        <v>2788</v>
      </c>
      <c r="V128" t="s">
        <v>2789</v>
      </c>
      <c r="W128" t="s">
        <v>2790</v>
      </c>
      <c r="X128" t="s">
        <v>2791</v>
      </c>
      <c r="Y128" t="s">
        <v>2792</v>
      </c>
      <c r="Z128" t="s">
        <v>2793</v>
      </c>
      <c r="AA128" t="s">
        <v>2794</v>
      </c>
      <c r="AB128" t="s">
        <v>2795</v>
      </c>
      <c r="AC128" t="s">
        <v>2796</v>
      </c>
      <c r="AD128" t="s">
        <v>2797</v>
      </c>
      <c r="AE128" t="s">
        <v>2798</v>
      </c>
      <c r="AF128" t="s">
        <v>74</v>
      </c>
      <c r="AG128">
        <v>67</v>
      </c>
      <c r="AH128">
        <v>20</v>
      </c>
      <c r="AI128">
        <v>20</v>
      </c>
      <c r="AJ128">
        <v>0</v>
      </c>
      <c r="AK128">
        <v>21</v>
      </c>
      <c r="AL128" t="s">
        <v>337</v>
      </c>
      <c r="AM128" t="s">
        <v>258</v>
      </c>
      <c r="AN128" t="s">
        <v>387</v>
      </c>
      <c r="AO128" t="s">
        <v>1204</v>
      </c>
      <c r="AP128" t="s">
        <v>1205</v>
      </c>
      <c r="AQ128" t="s">
        <v>74</v>
      </c>
      <c r="AR128" t="s">
        <v>1206</v>
      </c>
      <c r="AS128" t="s">
        <v>1207</v>
      </c>
      <c r="AT128" t="s">
        <v>98</v>
      </c>
      <c r="AU128">
        <v>2018</v>
      </c>
      <c r="AV128">
        <v>41</v>
      </c>
      <c r="AW128">
        <v>10</v>
      </c>
      <c r="AX128" t="s">
        <v>74</v>
      </c>
      <c r="AY128" t="s">
        <v>74</v>
      </c>
      <c r="AZ128" t="s">
        <v>74</v>
      </c>
      <c r="BA128" t="s">
        <v>74</v>
      </c>
      <c r="BB128">
        <v>1973</v>
      </c>
      <c r="BC128">
        <v>1982</v>
      </c>
      <c r="BD128" t="s">
        <v>74</v>
      </c>
      <c r="BE128" t="s">
        <v>2799</v>
      </c>
      <c r="BF128" t="str">
        <f>HYPERLINK("http://dx.doi.org/10.1007/s00300-018-2336-z","http://dx.doi.org/10.1007/s00300-018-2336-z")</f>
        <v>http://dx.doi.org/10.1007/s00300-018-2336-z</v>
      </c>
      <c r="BG128" t="s">
        <v>74</v>
      </c>
      <c r="BH128" t="s">
        <v>74</v>
      </c>
      <c r="BI128">
        <v>10</v>
      </c>
      <c r="BJ128" t="s">
        <v>1209</v>
      </c>
      <c r="BK128" t="s">
        <v>101</v>
      </c>
      <c r="BL128" t="s">
        <v>1210</v>
      </c>
      <c r="BM128" t="s">
        <v>1211</v>
      </c>
      <c r="BN128" t="s">
        <v>74</v>
      </c>
      <c r="BO128" t="s">
        <v>74</v>
      </c>
      <c r="BP128" t="s">
        <v>74</v>
      </c>
      <c r="BQ128" t="s">
        <v>74</v>
      </c>
      <c r="BR128" t="s">
        <v>104</v>
      </c>
      <c r="BS128" t="s">
        <v>2800</v>
      </c>
      <c r="BT128" t="str">
        <f>HYPERLINK("https%3A%2F%2Fwww.webofscience.com%2Fwos%2Fwoscc%2Ffull-record%2FWOS:000445212100006","View Full Record in Web of Science")</f>
        <v>View Full Record in Web of Science</v>
      </c>
    </row>
    <row r="129" spans="1:72" x14ac:dyDescent="0.15">
      <c r="A129" t="s">
        <v>72</v>
      </c>
      <c r="B129" t="s">
        <v>2801</v>
      </c>
      <c r="C129" t="s">
        <v>74</v>
      </c>
      <c r="D129" t="s">
        <v>74</v>
      </c>
      <c r="E129" t="s">
        <v>74</v>
      </c>
      <c r="F129" t="s">
        <v>2802</v>
      </c>
      <c r="G129" t="s">
        <v>74</v>
      </c>
      <c r="H129" t="s">
        <v>74</v>
      </c>
      <c r="I129" t="s">
        <v>2803</v>
      </c>
      <c r="J129" t="s">
        <v>2804</v>
      </c>
      <c r="K129" t="s">
        <v>74</v>
      </c>
      <c r="L129" t="s">
        <v>74</v>
      </c>
      <c r="M129" t="s">
        <v>78</v>
      </c>
      <c r="N129" t="s">
        <v>79</v>
      </c>
      <c r="O129" t="s">
        <v>74</v>
      </c>
      <c r="P129" t="s">
        <v>74</v>
      </c>
      <c r="Q129" t="s">
        <v>74</v>
      </c>
      <c r="R129" t="s">
        <v>74</v>
      </c>
      <c r="S129" t="s">
        <v>74</v>
      </c>
      <c r="T129" t="s">
        <v>2805</v>
      </c>
      <c r="U129" t="s">
        <v>2806</v>
      </c>
      <c r="V129" t="s">
        <v>2807</v>
      </c>
      <c r="W129" t="s">
        <v>2808</v>
      </c>
      <c r="X129" t="s">
        <v>2809</v>
      </c>
      <c r="Y129" t="s">
        <v>2810</v>
      </c>
      <c r="Z129" t="s">
        <v>2811</v>
      </c>
      <c r="AA129" t="s">
        <v>2812</v>
      </c>
      <c r="AB129" t="s">
        <v>2813</v>
      </c>
      <c r="AC129" t="s">
        <v>2814</v>
      </c>
      <c r="AD129" t="s">
        <v>2814</v>
      </c>
      <c r="AE129" t="s">
        <v>2815</v>
      </c>
      <c r="AF129" t="s">
        <v>74</v>
      </c>
      <c r="AG129">
        <v>65</v>
      </c>
      <c r="AH129">
        <v>8</v>
      </c>
      <c r="AI129">
        <v>8</v>
      </c>
      <c r="AJ129">
        <v>0</v>
      </c>
      <c r="AK129">
        <v>6</v>
      </c>
      <c r="AL129" t="s">
        <v>1053</v>
      </c>
      <c r="AM129" t="s">
        <v>1054</v>
      </c>
      <c r="AN129" t="s">
        <v>1055</v>
      </c>
      <c r="AO129" t="s">
        <v>74</v>
      </c>
      <c r="AP129" t="s">
        <v>2816</v>
      </c>
      <c r="AQ129" t="s">
        <v>74</v>
      </c>
      <c r="AR129" t="s">
        <v>2817</v>
      </c>
      <c r="AS129" t="s">
        <v>2818</v>
      </c>
      <c r="AT129" t="s">
        <v>98</v>
      </c>
      <c r="AU129">
        <v>2018</v>
      </c>
      <c r="AV129">
        <v>10</v>
      </c>
      <c r="AW129">
        <v>10</v>
      </c>
      <c r="AX129" t="s">
        <v>74</v>
      </c>
      <c r="AY129" t="s">
        <v>74</v>
      </c>
      <c r="AZ129" t="s">
        <v>74</v>
      </c>
      <c r="BA129" t="s">
        <v>74</v>
      </c>
      <c r="BB129" t="s">
        <v>74</v>
      </c>
      <c r="BC129" t="s">
        <v>74</v>
      </c>
      <c r="BD129">
        <v>1608</v>
      </c>
      <c r="BE129" t="s">
        <v>2819</v>
      </c>
      <c r="BF129" t="str">
        <f>HYPERLINK("http://dx.doi.org/10.3390/rs10101608","http://dx.doi.org/10.3390/rs10101608")</f>
        <v>http://dx.doi.org/10.3390/rs10101608</v>
      </c>
      <c r="BG129" t="s">
        <v>74</v>
      </c>
      <c r="BH129" t="s">
        <v>74</v>
      </c>
      <c r="BI129">
        <v>27</v>
      </c>
      <c r="BJ129" t="s">
        <v>2820</v>
      </c>
      <c r="BK129" t="s">
        <v>101</v>
      </c>
      <c r="BL129" t="s">
        <v>2821</v>
      </c>
      <c r="BM129" t="s">
        <v>2822</v>
      </c>
      <c r="BN129" t="s">
        <v>74</v>
      </c>
      <c r="BO129" t="s">
        <v>1524</v>
      </c>
      <c r="BP129" t="s">
        <v>74</v>
      </c>
      <c r="BQ129" t="s">
        <v>74</v>
      </c>
      <c r="BR129" t="s">
        <v>104</v>
      </c>
      <c r="BS129" t="s">
        <v>2823</v>
      </c>
      <c r="BT129" t="str">
        <f>HYPERLINK("https%3A%2F%2Fwww.webofscience.com%2Fwos%2Fwoscc%2Ffull-record%2FWOS:000448555800108","View Full Record in Web of Science")</f>
        <v>View Full Record in Web of Science</v>
      </c>
    </row>
    <row r="130" spans="1:72" x14ac:dyDescent="0.15">
      <c r="A130" t="s">
        <v>72</v>
      </c>
      <c r="B130" t="s">
        <v>2824</v>
      </c>
      <c r="C130" t="s">
        <v>74</v>
      </c>
      <c r="D130" t="s">
        <v>74</v>
      </c>
      <c r="E130" t="s">
        <v>74</v>
      </c>
      <c r="F130" t="s">
        <v>2825</v>
      </c>
      <c r="G130" t="s">
        <v>74</v>
      </c>
      <c r="H130" t="s">
        <v>74</v>
      </c>
      <c r="I130" t="s">
        <v>2826</v>
      </c>
      <c r="J130" t="s">
        <v>109</v>
      </c>
      <c r="K130" t="s">
        <v>74</v>
      </c>
      <c r="L130" t="s">
        <v>74</v>
      </c>
      <c r="M130" t="s">
        <v>110</v>
      </c>
      <c r="N130" t="s">
        <v>2499</v>
      </c>
      <c r="O130" t="s">
        <v>74</v>
      </c>
      <c r="P130" t="s">
        <v>74</v>
      </c>
      <c r="Q130" t="s">
        <v>74</v>
      </c>
      <c r="R130" t="s">
        <v>74</v>
      </c>
      <c r="S130" t="s">
        <v>74</v>
      </c>
      <c r="T130" t="s">
        <v>74</v>
      </c>
      <c r="U130" t="s">
        <v>74</v>
      </c>
      <c r="V130" t="s">
        <v>74</v>
      </c>
      <c r="W130" t="s">
        <v>2827</v>
      </c>
      <c r="X130" t="s">
        <v>2828</v>
      </c>
      <c r="Y130" t="s">
        <v>2829</v>
      </c>
      <c r="Z130" t="s">
        <v>2830</v>
      </c>
      <c r="AA130" t="s">
        <v>74</v>
      </c>
      <c r="AB130" t="s">
        <v>74</v>
      </c>
      <c r="AC130" t="s">
        <v>74</v>
      </c>
      <c r="AD130" t="s">
        <v>74</v>
      </c>
      <c r="AE130" t="s">
        <v>74</v>
      </c>
      <c r="AF130" t="s">
        <v>74</v>
      </c>
      <c r="AG130">
        <v>0</v>
      </c>
      <c r="AH130">
        <v>0</v>
      </c>
      <c r="AI130">
        <v>0</v>
      </c>
      <c r="AJ130">
        <v>0</v>
      </c>
      <c r="AK130">
        <v>0</v>
      </c>
      <c r="AL130" t="s">
        <v>118</v>
      </c>
      <c r="AM130" t="s">
        <v>119</v>
      </c>
      <c r="AN130" t="s">
        <v>120</v>
      </c>
      <c r="AO130" t="s">
        <v>121</v>
      </c>
      <c r="AP130" t="s">
        <v>74</v>
      </c>
      <c r="AQ130" t="s">
        <v>74</v>
      </c>
      <c r="AR130" t="s">
        <v>122</v>
      </c>
      <c r="AS130" t="s">
        <v>123</v>
      </c>
      <c r="AT130" t="s">
        <v>124</v>
      </c>
      <c r="AU130">
        <v>2018</v>
      </c>
      <c r="AV130">
        <v>9</v>
      </c>
      <c r="AW130">
        <v>4</v>
      </c>
      <c r="AX130" t="s">
        <v>74</v>
      </c>
      <c r="AY130" t="s">
        <v>74</v>
      </c>
      <c r="AZ130" t="s">
        <v>74</v>
      </c>
      <c r="BA130" t="s">
        <v>74</v>
      </c>
      <c r="BB130">
        <v>80</v>
      </c>
      <c r="BC130">
        <v>85</v>
      </c>
      <c r="BD130" t="s">
        <v>74</v>
      </c>
      <c r="BE130" t="s">
        <v>74</v>
      </c>
      <c r="BF130" t="s">
        <v>74</v>
      </c>
      <c r="BG130" t="s">
        <v>74</v>
      </c>
      <c r="BH130" t="s">
        <v>74</v>
      </c>
      <c r="BI130">
        <v>6</v>
      </c>
      <c r="BJ130" t="s">
        <v>125</v>
      </c>
      <c r="BK130" t="s">
        <v>126</v>
      </c>
      <c r="BL130" t="s">
        <v>125</v>
      </c>
      <c r="BM130" t="s">
        <v>127</v>
      </c>
      <c r="BN130" t="s">
        <v>74</v>
      </c>
      <c r="BO130" t="s">
        <v>74</v>
      </c>
      <c r="BP130" t="s">
        <v>74</v>
      </c>
      <c r="BQ130" t="s">
        <v>74</v>
      </c>
      <c r="BR130" t="s">
        <v>104</v>
      </c>
      <c r="BS130" t="s">
        <v>2831</v>
      </c>
      <c r="BT130" t="str">
        <f>HYPERLINK("https%3A%2F%2Fwww.webofscience.com%2Fwos%2Fwoscc%2Ffull-record%2FWOS:000454551000002","View Full Record in Web of Science")</f>
        <v>View Full Record in Web of Science</v>
      </c>
    </row>
    <row r="131" spans="1:72" x14ac:dyDescent="0.15">
      <c r="A131" t="s">
        <v>72</v>
      </c>
      <c r="B131" t="s">
        <v>2832</v>
      </c>
      <c r="C131" t="s">
        <v>74</v>
      </c>
      <c r="D131" t="s">
        <v>74</v>
      </c>
      <c r="E131" t="s">
        <v>74</v>
      </c>
      <c r="F131" t="s">
        <v>2833</v>
      </c>
      <c r="G131" t="s">
        <v>74</v>
      </c>
      <c r="H131" t="s">
        <v>74</v>
      </c>
      <c r="I131" t="s">
        <v>2834</v>
      </c>
      <c r="J131" t="s">
        <v>2835</v>
      </c>
      <c r="K131" t="s">
        <v>74</v>
      </c>
      <c r="L131" t="s">
        <v>74</v>
      </c>
      <c r="M131" t="s">
        <v>78</v>
      </c>
      <c r="N131" t="s">
        <v>79</v>
      </c>
      <c r="O131" t="s">
        <v>74</v>
      </c>
      <c r="P131" t="s">
        <v>74</v>
      </c>
      <c r="Q131" t="s">
        <v>74</v>
      </c>
      <c r="R131" t="s">
        <v>74</v>
      </c>
      <c r="S131" t="s">
        <v>74</v>
      </c>
      <c r="T131" t="s">
        <v>2836</v>
      </c>
      <c r="U131" t="s">
        <v>2837</v>
      </c>
      <c r="V131" t="s">
        <v>2838</v>
      </c>
      <c r="W131" t="s">
        <v>2839</v>
      </c>
      <c r="X131" t="s">
        <v>2840</v>
      </c>
      <c r="Y131" t="s">
        <v>2841</v>
      </c>
      <c r="Z131" t="s">
        <v>2842</v>
      </c>
      <c r="AA131" t="s">
        <v>2843</v>
      </c>
      <c r="AB131" t="s">
        <v>2844</v>
      </c>
      <c r="AC131" t="s">
        <v>2845</v>
      </c>
      <c r="AD131" t="s">
        <v>2846</v>
      </c>
      <c r="AE131" t="s">
        <v>2847</v>
      </c>
      <c r="AF131" t="s">
        <v>74</v>
      </c>
      <c r="AG131">
        <v>43</v>
      </c>
      <c r="AH131">
        <v>37</v>
      </c>
      <c r="AI131">
        <v>40</v>
      </c>
      <c r="AJ131">
        <v>1</v>
      </c>
      <c r="AK131">
        <v>31</v>
      </c>
      <c r="AL131" t="s">
        <v>201</v>
      </c>
      <c r="AM131" t="s">
        <v>93</v>
      </c>
      <c r="AN131" t="s">
        <v>202</v>
      </c>
      <c r="AO131" t="s">
        <v>2848</v>
      </c>
      <c r="AP131" t="s">
        <v>2849</v>
      </c>
      <c r="AQ131" t="s">
        <v>74</v>
      </c>
      <c r="AR131" t="s">
        <v>2850</v>
      </c>
      <c r="AS131" t="s">
        <v>2851</v>
      </c>
      <c r="AT131" t="s">
        <v>98</v>
      </c>
      <c r="AU131">
        <v>2018</v>
      </c>
      <c r="AV131">
        <v>79</v>
      </c>
      <c r="AW131" t="s">
        <v>74</v>
      </c>
      <c r="AX131" t="s">
        <v>74</v>
      </c>
      <c r="AY131" t="s">
        <v>74</v>
      </c>
      <c r="AZ131" t="s">
        <v>74</v>
      </c>
      <c r="BA131" t="s">
        <v>74</v>
      </c>
      <c r="BB131">
        <v>20</v>
      </c>
      <c r="BC131">
        <v>35</v>
      </c>
      <c r="BD131" t="s">
        <v>74</v>
      </c>
      <c r="BE131" t="s">
        <v>2852</v>
      </c>
      <c r="BF131" t="str">
        <f>HYPERLINK("http://dx.doi.org/10.1016/j.apor.2018.07.001","http://dx.doi.org/10.1016/j.apor.2018.07.001")</f>
        <v>http://dx.doi.org/10.1016/j.apor.2018.07.001</v>
      </c>
      <c r="BG131" t="s">
        <v>74</v>
      </c>
      <c r="BH131" t="s">
        <v>74</v>
      </c>
      <c r="BI131">
        <v>16</v>
      </c>
      <c r="BJ131" t="s">
        <v>2853</v>
      </c>
      <c r="BK131" t="s">
        <v>101</v>
      </c>
      <c r="BL131" t="s">
        <v>2854</v>
      </c>
      <c r="BM131" t="s">
        <v>2855</v>
      </c>
      <c r="BN131" t="s">
        <v>74</v>
      </c>
      <c r="BO131" t="s">
        <v>74</v>
      </c>
      <c r="BP131" t="s">
        <v>74</v>
      </c>
      <c r="BQ131" t="s">
        <v>74</v>
      </c>
      <c r="BR131" t="s">
        <v>104</v>
      </c>
      <c r="BS131" t="s">
        <v>2856</v>
      </c>
      <c r="BT131" t="str">
        <f>HYPERLINK("https%3A%2F%2Fwww.webofscience.com%2Fwos%2Fwoscc%2Ffull-record%2FWOS:000444933000003","View Full Record in Web of Science")</f>
        <v>View Full Record in Web of Science</v>
      </c>
    </row>
    <row r="132" spans="1:72" x14ac:dyDescent="0.15">
      <c r="A132" t="s">
        <v>72</v>
      </c>
      <c r="B132" t="s">
        <v>2857</v>
      </c>
      <c r="C132" t="s">
        <v>74</v>
      </c>
      <c r="D132" t="s">
        <v>74</v>
      </c>
      <c r="E132" t="s">
        <v>74</v>
      </c>
      <c r="F132" t="s">
        <v>2858</v>
      </c>
      <c r="G132" t="s">
        <v>74</v>
      </c>
      <c r="H132" t="s">
        <v>74</v>
      </c>
      <c r="I132" t="s">
        <v>2859</v>
      </c>
      <c r="J132" t="s">
        <v>2860</v>
      </c>
      <c r="K132" t="s">
        <v>74</v>
      </c>
      <c r="L132" t="s">
        <v>74</v>
      </c>
      <c r="M132" t="s">
        <v>78</v>
      </c>
      <c r="N132" t="s">
        <v>79</v>
      </c>
      <c r="O132" t="s">
        <v>74</v>
      </c>
      <c r="P132" t="s">
        <v>74</v>
      </c>
      <c r="Q132" t="s">
        <v>74</v>
      </c>
      <c r="R132" t="s">
        <v>74</v>
      </c>
      <c r="S132" t="s">
        <v>74</v>
      </c>
      <c r="T132" t="s">
        <v>2861</v>
      </c>
      <c r="U132" t="s">
        <v>2862</v>
      </c>
      <c r="V132" t="s">
        <v>2863</v>
      </c>
      <c r="W132" t="s">
        <v>2864</v>
      </c>
      <c r="X132" t="s">
        <v>2865</v>
      </c>
      <c r="Y132" t="s">
        <v>2866</v>
      </c>
      <c r="Z132" t="s">
        <v>2867</v>
      </c>
      <c r="AA132" t="s">
        <v>2868</v>
      </c>
      <c r="AB132" t="s">
        <v>2869</v>
      </c>
      <c r="AC132" t="s">
        <v>2870</v>
      </c>
      <c r="AD132" t="s">
        <v>2871</v>
      </c>
      <c r="AE132" t="s">
        <v>2872</v>
      </c>
      <c r="AF132" t="s">
        <v>74</v>
      </c>
      <c r="AG132">
        <v>50</v>
      </c>
      <c r="AH132">
        <v>8</v>
      </c>
      <c r="AI132">
        <v>10</v>
      </c>
      <c r="AJ132">
        <v>0</v>
      </c>
      <c r="AK132">
        <v>19</v>
      </c>
      <c r="AL132" t="s">
        <v>337</v>
      </c>
      <c r="AM132" t="s">
        <v>258</v>
      </c>
      <c r="AN132" t="s">
        <v>387</v>
      </c>
      <c r="AO132" t="s">
        <v>2873</v>
      </c>
      <c r="AP132" t="s">
        <v>2874</v>
      </c>
      <c r="AQ132" t="s">
        <v>74</v>
      </c>
      <c r="AR132" t="s">
        <v>2875</v>
      </c>
      <c r="AS132" t="s">
        <v>2876</v>
      </c>
      <c r="AT132" t="s">
        <v>98</v>
      </c>
      <c r="AU132">
        <v>2018</v>
      </c>
      <c r="AV132">
        <v>148</v>
      </c>
      <c r="AW132">
        <v>10</v>
      </c>
      <c r="AX132" t="s">
        <v>74</v>
      </c>
      <c r="AY132" t="s">
        <v>74</v>
      </c>
      <c r="AZ132" t="s">
        <v>74</v>
      </c>
      <c r="BA132" t="s">
        <v>74</v>
      </c>
      <c r="BB132">
        <v>3223</v>
      </c>
      <c r="BC132">
        <v>3235</v>
      </c>
      <c r="BD132" t="s">
        <v>74</v>
      </c>
      <c r="BE132" t="s">
        <v>2877</v>
      </c>
      <c r="BF132" t="str">
        <f>HYPERLINK("http://dx.doi.org/10.1007/s10562-018-2504-3","http://dx.doi.org/10.1007/s10562-018-2504-3")</f>
        <v>http://dx.doi.org/10.1007/s10562-018-2504-3</v>
      </c>
      <c r="BG132" t="s">
        <v>74</v>
      </c>
      <c r="BH132" t="s">
        <v>74</v>
      </c>
      <c r="BI132">
        <v>13</v>
      </c>
      <c r="BJ132" t="s">
        <v>2878</v>
      </c>
      <c r="BK132" t="s">
        <v>101</v>
      </c>
      <c r="BL132" t="s">
        <v>2879</v>
      </c>
      <c r="BM132" t="s">
        <v>2880</v>
      </c>
      <c r="BN132" t="s">
        <v>74</v>
      </c>
      <c r="BO132" t="s">
        <v>74</v>
      </c>
      <c r="BP132" t="s">
        <v>74</v>
      </c>
      <c r="BQ132" t="s">
        <v>74</v>
      </c>
      <c r="BR132" t="s">
        <v>104</v>
      </c>
      <c r="BS132" t="s">
        <v>2881</v>
      </c>
      <c r="BT132" t="str">
        <f>HYPERLINK("https%3A%2F%2Fwww.webofscience.com%2Fwos%2Fwoscc%2Ffull-record%2FWOS:000444375300029","View Full Record in Web of Science")</f>
        <v>View Full Record in Web of Science</v>
      </c>
    </row>
    <row r="133" spans="1:72" x14ac:dyDescent="0.15">
      <c r="A133" t="s">
        <v>72</v>
      </c>
      <c r="B133" t="s">
        <v>2882</v>
      </c>
      <c r="C133" t="s">
        <v>74</v>
      </c>
      <c r="D133" t="s">
        <v>74</v>
      </c>
      <c r="E133" t="s">
        <v>74</v>
      </c>
      <c r="F133" t="s">
        <v>2883</v>
      </c>
      <c r="G133" t="s">
        <v>74</v>
      </c>
      <c r="H133" t="s">
        <v>74</v>
      </c>
      <c r="I133" t="s">
        <v>2884</v>
      </c>
      <c r="J133" t="s">
        <v>2885</v>
      </c>
      <c r="K133" t="s">
        <v>74</v>
      </c>
      <c r="L133" t="s">
        <v>74</v>
      </c>
      <c r="M133" t="s">
        <v>78</v>
      </c>
      <c r="N133" t="s">
        <v>79</v>
      </c>
      <c r="O133" t="s">
        <v>74</v>
      </c>
      <c r="P133" t="s">
        <v>74</v>
      </c>
      <c r="Q133" t="s">
        <v>74</v>
      </c>
      <c r="R133" t="s">
        <v>74</v>
      </c>
      <c r="S133" t="s">
        <v>74</v>
      </c>
      <c r="T133" t="s">
        <v>2886</v>
      </c>
      <c r="U133" t="s">
        <v>2887</v>
      </c>
      <c r="V133" t="s">
        <v>2888</v>
      </c>
      <c r="W133" t="s">
        <v>2889</v>
      </c>
      <c r="X133" t="s">
        <v>2890</v>
      </c>
      <c r="Y133" t="s">
        <v>2891</v>
      </c>
      <c r="Z133" t="s">
        <v>2892</v>
      </c>
      <c r="AA133" t="s">
        <v>2893</v>
      </c>
      <c r="AB133" t="s">
        <v>2894</v>
      </c>
      <c r="AC133" t="s">
        <v>2895</v>
      </c>
      <c r="AD133" t="s">
        <v>2896</v>
      </c>
      <c r="AE133" t="s">
        <v>2897</v>
      </c>
      <c r="AF133" t="s">
        <v>74</v>
      </c>
      <c r="AG133">
        <v>59</v>
      </c>
      <c r="AH133">
        <v>18</v>
      </c>
      <c r="AI133">
        <v>20</v>
      </c>
      <c r="AJ133">
        <v>7</v>
      </c>
      <c r="AK133">
        <v>60</v>
      </c>
      <c r="AL133" t="s">
        <v>2898</v>
      </c>
      <c r="AM133" t="s">
        <v>2899</v>
      </c>
      <c r="AN133" t="s">
        <v>2900</v>
      </c>
      <c r="AO133" t="s">
        <v>2901</v>
      </c>
      <c r="AP133" t="s">
        <v>2902</v>
      </c>
      <c r="AQ133" t="s">
        <v>74</v>
      </c>
      <c r="AR133" t="s">
        <v>2903</v>
      </c>
      <c r="AS133" t="s">
        <v>2904</v>
      </c>
      <c r="AT133" t="s">
        <v>98</v>
      </c>
      <c r="AU133">
        <v>2018</v>
      </c>
      <c r="AV133">
        <v>192</v>
      </c>
      <c r="AW133">
        <v>4</v>
      </c>
      <c r="AX133" t="s">
        <v>74</v>
      </c>
      <c r="AY133" t="s">
        <v>74</v>
      </c>
      <c r="AZ133" t="s">
        <v>74</v>
      </c>
      <c r="BA133" t="s">
        <v>74</v>
      </c>
      <c r="BB133" t="s">
        <v>2905</v>
      </c>
      <c r="BC133" t="s">
        <v>2906</v>
      </c>
      <c r="BD133" t="s">
        <v>74</v>
      </c>
      <c r="BE133" t="s">
        <v>2907</v>
      </c>
      <c r="BF133" t="str">
        <f>HYPERLINK("http://dx.doi.org/10.1086/698655","http://dx.doi.org/10.1086/698655")</f>
        <v>http://dx.doi.org/10.1086/698655</v>
      </c>
      <c r="BG133" t="s">
        <v>74</v>
      </c>
      <c r="BH133" t="s">
        <v>74</v>
      </c>
      <c r="BI133">
        <v>13</v>
      </c>
      <c r="BJ133" t="s">
        <v>1499</v>
      </c>
      <c r="BK133" t="s">
        <v>101</v>
      </c>
      <c r="BL133" t="s">
        <v>1500</v>
      </c>
      <c r="BM133" t="s">
        <v>2908</v>
      </c>
      <c r="BN133">
        <v>30205032</v>
      </c>
      <c r="BO133" t="s">
        <v>2909</v>
      </c>
      <c r="BP133" t="s">
        <v>74</v>
      </c>
      <c r="BQ133" t="s">
        <v>74</v>
      </c>
      <c r="BR133" t="s">
        <v>104</v>
      </c>
      <c r="BS133" t="s">
        <v>2910</v>
      </c>
      <c r="BT133" t="str">
        <f>HYPERLINK("https%3A%2F%2Fwww.webofscience.com%2Fwos%2Fwoscc%2Ffull-record%2FWOS:000444262900002","View Full Record in Web of Science")</f>
        <v>View Full Record in Web of Science</v>
      </c>
    </row>
    <row r="134" spans="1:72" x14ac:dyDescent="0.15">
      <c r="A134" t="s">
        <v>72</v>
      </c>
      <c r="B134" t="s">
        <v>2911</v>
      </c>
      <c r="C134" t="s">
        <v>74</v>
      </c>
      <c r="D134" t="s">
        <v>74</v>
      </c>
      <c r="E134" t="s">
        <v>74</v>
      </c>
      <c r="F134" t="s">
        <v>2912</v>
      </c>
      <c r="G134" t="s">
        <v>74</v>
      </c>
      <c r="H134" t="s">
        <v>74</v>
      </c>
      <c r="I134" t="s">
        <v>2913</v>
      </c>
      <c r="J134" t="s">
        <v>2914</v>
      </c>
      <c r="K134" t="s">
        <v>74</v>
      </c>
      <c r="L134" t="s">
        <v>74</v>
      </c>
      <c r="M134" t="s">
        <v>78</v>
      </c>
      <c r="N134" t="s">
        <v>79</v>
      </c>
      <c r="O134" t="s">
        <v>74</v>
      </c>
      <c r="P134" t="s">
        <v>74</v>
      </c>
      <c r="Q134" t="s">
        <v>74</v>
      </c>
      <c r="R134" t="s">
        <v>74</v>
      </c>
      <c r="S134" t="s">
        <v>74</v>
      </c>
      <c r="T134" t="s">
        <v>2915</v>
      </c>
      <c r="U134" t="s">
        <v>2916</v>
      </c>
      <c r="V134" t="s">
        <v>2917</v>
      </c>
      <c r="W134" t="s">
        <v>2918</v>
      </c>
      <c r="X134" t="s">
        <v>2919</v>
      </c>
      <c r="Y134" t="s">
        <v>2920</v>
      </c>
      <c r="Z134" t="s">
        <v>2921</v>
      </c>
      <c r="AA134" t="s">
        <v>2922</v>
      </c>
      <c r="AB134" t="s">
        <v>2923</v>
      </c>
      <c r="AC134" t="s">
        <v>2924</v>
      </c>
      <c r="AD134" t="s">
        <v>2925</v>
      </c>
      <c r="AE134" t="s">
        <v>2926</v>
      </c>
      <c r="AF134" t="s">
        <v>74</v>
      </c>
      <c r="AG134">
        <v>52</v>
      </c>
      <c r="AH134">
        <v>8</v>
      </c>
      <c r="AI134">
        <v>9</v>
      </c>
      <c r="AJ134">
        <v>0</v>
      </c>
      <c r="AK134">
        <v>10</v>
      </c>
      <c r="AL134" t="s">
        <v>337</v>
      </c>
      <c r="AM134" t="s">
        <v>912</v>
      </c>
      <c r="AN134" t="s">
        <v>913</v>
      </c>
      <c r="AO134" t="s">
        <v>2927</v>
      </c>
      <c r="AP134" t="s">
        <v>2928</v>
      </c>
      <c r="AQ134" t="s">
        <v>74</v>
      </c>
      <c r="AR134" t="s">
        <v>2914</v>
      </c>
      <c r="AS134" t="s">
        <v>2929</v>
      </c>
      <c r="AT134" t="s">
        <v>98</v>
      </c>
      <c r="AU134">
        <v>2018</v>
      </c>
      <c r="AV134">
        <v>31</v>
      </c>
      <c r="AW134">
        <v>5</v>
      </c>
      <c r="AX134" t="s">
        <v>74</v>
      </c>
      <c r="AY134" t="s">
        <v>74</v>
      </c>
      <c r="AZ134" t="s">
        <v>74</v>
      </c>
      <c r="BA134" t="s">
        <v>74</v>
      </c>
      <c r="BB134">
        <v>759</v>
      </c>
      <c r="BC134">
        <v>770</v>
      </c>
      <c r="BD134" t="s">
        <v>74</v>
      </c>
      <c r="BE134" t="s">
        <v>2930</v>
      </c>
      <c r="BF134" t="str">
        <f>HYPERLINK("http://dx.doi.org/10.1007/s10534-018-0119-1","http://dx.doi.org/10.1007/s10534-018-0119-1")</f>
        <v>http://dx.doi.org/10.1007/s10534-018-0119-1</v>
      </c>
      <c r="BG134" t="s">
        <v>74</v>
      </c>
      <c r="BH134" t="s">
        <v>74</v>
      </c>
      <c r="BI134">
        <v>12</v>
      </c>
      <c r="BJ134" t="s">
        <v>2931</v>
      </c>
      <c r="BK134" t="s">
        <v>101</v>
      </c>
      <c r="BL134" t="s">
        <v>2931</v>
      </c>
      <c r="BM134" t="s">
        <v>2932</v>
      </c>
      <c r="BN134">
        <v>29946993</v>
      </c>
      <c r="BO134" t="s">
        <v>74</v>
      </c>
      <c r="BP134" t="s">
        <v>74</v>
      </c>
      <c r="BQ134" t="s">
        <v>74</v>
      </c>
      <c r="BR134" t="s">
        <v>104</v>
      </c>
      <c r="BS134" t="s">
        <v>2933</v>
      </c>
      <c r="BT134" t="str">
        <f>HYPERLINK("https%3A%2F%2Fwww.webofscience.com%2Fwos%2Fwoscc%2Ffull-record%2FWOS:000444144000006","View Full Record in Web of Science")</f>
        <v>View Full Record in Web of Science</v>
      </c>
    </row>
    <row r="135" spans="1:72" x14ac:dyDescent="0.15">
      <c r="A135" t="s">
        <v>72</v>
      </c>
      <c r="B135" t="s">
        <v>2934</v>
      </c>
      <c r="C135" t="s">
        <v>74</v>
      </c>
      <c r="D135" t="s">
        <v>74</v>
      </c>
      <c r="E135" t="s">
        <v>74</v>
      </c>
      <c r="F135" t="s">
        <v>2935</v>
      </c>
      <c r="G135" t="s">
        <v>74</v>
      </c>
      <c r="H135" t="s">
        <v>74</v>
      </c>
      <c r="I135" t="s">
        <v>2936</v>
      </c>
      <c r="J135" t="s">
        <v>466</v>
      </c>
      <c r="K135" t="s">
        <v>74</v>
      </c>
      <c r="L135" t="s">
        <v>74</v>
      </c>
      <c r="M135" t="s">
        <v>78</v>
      </c>
      <c r="N135" t="s">
        <v>79</v>
      </c>
      <c r="O135" t="s">
        <v>74</v>
      </c>
      <c r="P135" t="s">
        <v>74</v>
      </c>
      <c r="Q135" t="s">
        <v>74</v>
      </c>
      <c r="R135" t="s">
        <v>74</v>
      </c>
      <c r="S135" t="s">
        <v>74</v>
      </c>
      <c r="T135" t="s">
        <v>2937</v>
      </c>
      <c r="U135" t="s">
        <v>2938</v>
      </c>
      <c r="V135" t="s">
        <v>2939</v>
      </c>
      <c r="W135" t="s">
        <v>2940</v>
      </c>
      <c r="X135" t="s">
        <v>2941</v>
      </c>
      <c r="Y135" t="s">
        <v>2942</v>
      </c>
      <c r="Z135" t="s">
        <v>2943</v>
      </c>
      <c r="AA135" t="s">
        <v>74</v>
      </c>
      <c r="AB135" t="s">
        <v>2944</v>
      </c>
      <c r="AC135" t="s">
        <v>2945</v>
      </c>
      <c r="AD135" t="s">
        <v>2946</v>
      </c>
      <c r="AE135" t="s">
        <v>2947</v>
      </c>
      <c r="AF135" t="s">
        <v>74</v>
      </c>
      <c r="AG135">
        <v>64</v>
      </c>
      <c r="AH135">
        <v>29</v>
      </c>
      <c r="AI135">
        <v>38</v>
      </c>
      <c r="AJ135">
        <v>0</v>
      </c>
      <c r="AK135">
        <v>78</v>
      </c>
      <c r="AL135" t="s">
        <v>285</v>
      </c>
      <c r="AM135" t="s">
        <v>286</v>
      </c>
      <c r="AN135" t="s">
        <v>287</v>
      </c>
      <c r="AO135" t="s">
        <v>479</v>
      </c>
      <c r="AP135" t="s">
        <v>480</v>
      </c>
      <c r="AQ135" t="s">
        <v>74</v>
      </c>
      <c r="AR135" t="s">
        <v>481</v>
      </c>
      <c r="AS135" t="s">
        <v>482</v>
      </c>
      <c r="AT135" t="s">
        <v>291</v>
      </c>
      <c r="AU135">
        <v>2018</v>
      </c>
      <c r="AV135">
        <v>499</v>
      </c>
      <c r="AW135" t="s">
        <v>74</v>
      </c>
      <c r="AX135" t="s">
        <v>74</v>
      </c>
      <c r="AY135" t="s">
        <v>74</v>
      </c>
      <c r="AZ135" t="s">
        <v>74</v>
      </c>
      <c r="BA135" t="s">
        <v>74</v>
      </c>
      <c r="BB135">
        <v>185</v>
      </c>
      <c r="BC135">
        <v>196</v>
      </c>
      <c r="BD135" t="s">
        <v>74</v>
      </c>
      <c r="BE135" t="s">
        <v>2948</v>
      </c>
      <c r="BF135" t="str">
        <f>HYPERLINK("http://dx.doi.org/10.1016/j.epsl.2018.07.025","http://dx.doi.org/10.1016/j.epsl.2018.07.025")</f>
        <v>http://dx.doi.org/10.1016/j.epsl.2018.07.025</v>
      </c>
      <c r="BG135" t="s">
        <v>74</v>
      </c>
      <c r="BH135" t="s">
        <v>74</v>
      </c>
      <c r="BI135">
        <v>12</v>
      </c>
      <c r="BJ135" t="s">
        <v>484</v>
      </c>
      <c r="BK135" t="s">
        <v>101</v>
      </c>
      <c r="BL135" t="s">
        <v>484</v>
      </c>
      <c r="BM135" t="s">
        <v>485</v>
      </c>
      <c r="BN135" t="s">
        <v>74</v>
      </c>
      <c r="BO135" t="s">
        <v>74</v>
      </c>
      <c r="BP135" t="s">
        <v>74</v>
      </c>
      <c r="BQ135" t="s">
        <v>74</v>
      </c>
      <c r="BR135" t="s">
        <v>104</v>
      </c>
      <c r="BS135" t="s">
        <v>2949</v>
      </c>
      <c r="BT135" t="str">
        <f>HYPERLINK("https%3A%2F%2Fwww.webofscience.com%2Fwos%2Fwoscc%2Ffull-record%2FWOS:000444359800016","View Full Record in Web of Science")</f>
        <v>View Full Record in Web of Science</v>
      </c>
    </row>
    <row r="136" spans="1:72" x14ac:dyDescent="0.15">
      <c r="A136" t="s">
        <v>72</v>
      </c>
      <c r="B136" t="s">
        <v>2950</v>
      </c>
      <c r="C136" t="s">
        <v>74</v>
      </c>
      <c r="D136" t="s">
        <v>74</v>
      </c>
      <c r="E136" t="s">
        <v>74</v>
      </c>
      <c r="F136" t="s">
        <v>2951</v>
      </c>
      <c r="G136" t="s">
        <v>74</v>
      </c>
      <c r="H136" t="s">
        <v>74</v>
      </c>
      <c r="I136" t="s">
        <v>2952</v>
      </c>
      <c r="J136" t="s">
        <v>2953</v>
      </c>
      <c r="K136" t="s">
        <v>74</v>
      </c>
      <c r="L136" t="s">
        <v>74</v>
      </c>
      <c r="M136" t="s">
        <v>78</v>
      </c>
      <c r="N136" t="s">
        <v>79</v>
      </c>
      <c r="O136" t="s">
        <v>74</v>
      </c>
      <c r="P136" t="s">
        <v>74</v>
      </c>
      <c r="Q136" t="s">
        <v>74</v>
      </c>
      <c r="R136" t="s">
        <v>74</v>
      </c>
      <c r="S136" t="s">
        <v>74</v>
      </c>
      <c r="T136" t="s">
        <v>2954</v>
      </c>
      <c r="U136" t="s">
        <v>2955</v>
      </c>
      <c r="V136" t="s">
        <v>2956</v>
      </c>
      <c r="W136" t="s">
        <v>2957</v>
      </c>
      <c r="X136" t="s">
        <v>2958</v>
      </c>
      <c r="Y136" t="s">
        <v>2959</v>
      </c>
      <c r="Z136" t="s">
        <v>2960</v>
      </c>
      <c r="AA136" t="s">
        <v>2961</v>
      </c>
      <c r="AB136" t="s">
        <v>2962</v>
      </c>
      <c r="AC136" t="s">
        <v>2963</v>
      </c>
      <c r="AD136" t="s">
        <v>2964</v>
      </c>
      <c r="AE136" t="s">
        <v>2965</v>
      </c>
      <c r="AF136" t="s">
        <v>74</v>
      </c>
      <c r="AG136">
        <v>102</v>
      </c>
      <c r="AH136">
        <v>24</v>
      </c>
      <c r="AI136">
        <v>25</v>
      </c>
      <c r="AJ136">
        <v>1</v>
      </c>
      <c r="AK136">
        <v>49</v>
      </c>
      <c r="AL136" t="s">
        <v>676</v>
      </c>
      <c r="AM136" t="s">
        <v>677</v>
      </c>
      <c r="AN136" t="s">
        <v>678</v>
      </c>
      <c r="AO136" t="s">
        <v>2966</v>
      </c>
      <c r="AP136" t="s">
        <v>2967</v>
      </c>
      <c r="AQ136" t="s">
        <v>74</v>
      </c>
      <c r="AR136" t="s">
        <v>2968</v>
      </c>
      <c r="AS136" t="s">
        <v>2969</v>
      </c>
      <c r="AT136" t="s">
        <v>98</v>
      </c>
      <c r="AU136">
        <v>2018</v>
      </c>
      <c r="AV136">
        <v>40</v>
      </c>
      <c r="AW136">
        <v>10</v>
      </c>
      <c r="AX136" t="s">
        <v>74</v>
      </c>
      <c r="AY136" t="s">
        <v>74</v>
      </c>
      <c r="AZ136" t="s">
        <v>74</v>
      </c>
      <c r="BA136" t="s">
        <v>74</v>
      </c>
      <c r="BB136" t="s">
        <v>74</v>
      </c>
      <c r="BC136" t="s">
        <v>74</v>
      </c>
      <c r="BD136">
        <v>177</v>
      </c>
      <c r="BE136" t="s">
        <v>2970</v>
      </c>
      <c r="BF136" t="str">
        <f>HYPERLINK("http://dx.doi.org/10.1007/s11738-018-2751-3","http://dx.doi.org/10.1007/s11738-018-2751-3")</f>
        <v>http://dx.doi.org/10.1007/s11738-018-2751-3</v>
      </c>
      <c r="BG136" t="s">
        <v>74</v>
      </c>
      <c r="BH136" t="s">
        <v>74</v>
      </c>
      <c r="BI136">
        <v>19</v>
      </c>
      <c r="BJ136" t="s">
        <v>237</v>
      </c>
      <c r="BK136" t="s">
        <v>101</v>
      </c>
      <c r="BL136" t="s">
        <v>237</v>
      </c>
      <c r="BM136" t="s">
        <v>2971</v>
      </c>
      <c r="BN136" t="s">
        <v>74</v>
      </c>
      <c r="BO136" t="s">
        <v>74</v>
      </c>
      <c r="BP136" t="s">
        <v>74</v>
      </c>
      <c r="BQ136" t="s">
        <v>74</v>
      </c>
      <c r="BR136" t="s">
        <v>104</v>
      </c>
      <c r="BS136" t="s">
        <v>2972</v>
      </c>
      <c r="BT136" t="str">
        <f>HYPERLINK("https%3A%2F%2Fwww.webofscience.com%2Fwos%2Fwoscc%2Ffull-record%2FWOS:000444010700001","View Full Record in Web of Science")</f>
        <v>View Full Record in Web of Science</v>
      </c>
    </row>
    <row r="137" spans="1:72" x14ac:dyDescent="0.15">
      <c r="A137" t="s">
        <v>72</v>
      </c>
      <c r="B137" t="s">
        <v>2973</v>
      </c>
      <c r="C137" t="s">
        <v>74</v>
      </c>
      <c r="D137" t="s">
        <v>74</v>
      </c>
      <c r="E137" t="s">
        <v>74</v>
      </c>
      <c r="F137" t="s">
        <v>2974</v>
      </c>
      <c r="G137" t="s">
        <v>74</v>
      </c>
      <c r="H137" t="s">
        <v>74</v>
      </c>
      <c r="I137" t="s">
        <v>2975</v>
      </c>
      <c r="J137" t="s">
        <v>1613</v>
      </c>
      <c r="K137" t="s">
        <v>74</v>
      </c>
      <c r="L137" t="s">
        <v>74</v>
      </c>
      <c r="M137" t="s">
        <v>78</v>
      </c>
      <c r="N137" t="s">
        <v>79</v>
      </c>
      <c r="O137" t="s">
        <v>74</v>
      </c>
      <c r="P137" t="s">
        <v>74</v>
      </c>
      <c r="Q137" t="s">
        <v>74</v>
      </c>
      <c r="R137" t="s">
        <v>74</v>
      </c>
      <c r="S137" t="s">
        <v>74</v>
      </c>
      <c r="T137" t="s">
        <v>74</v>
      </c>
      <c r="U137" t="s">
        <v>2976</v>
      </c>
      <c r="V137" t="s">
        <v>2977</v>
      </c>
      <c r="W137" t="s">
        <v>2978</v>
      </c>
      <c r="X137" t="s">
        <v>2979</v>
      </c>
      <c r="Y137" t="s">
        <v>2980</v>
      </c>
      <c r="Z137" t="s">
        <v>2981</v>
      </c>
      <c r="AA137" t="s">
        <v>2982</v>
      </c>
      <c r="AB137" t="s">
        <v>2983</v>
      </c>
      <c r="AC137" t="s">
        <v>2984</v>
      </c>
      <c r="AD137" t="s">
        <v>2985</v>
      </c>
      <c r="AE137" t="s">
        <v>2986</v>
      </c>
      <c r="AF137" t="s">
        <v>74</v>
      </c>
      <c r="AG137">
        <v>76</v>
      </c>
      <c r="AH137">
        <v>14</v>
      </c>
      <c r="AI137">
        <v>14</v>
      </c>
      <c r="AJ137">
        <v>0</v>
      </c>
      <c r="AK137">
        <v>35</v>
      </c>
      <c r="AL137" t="s">
        <v>676</v>
      </c>
      <c r="AM137" t="s">
        <v>677</v>
      </c>
      <c r="AN137" t="s">
        <v>678</v>
      </c>
      <c r="AO137" t="s">
        <v>1625</v>
      </c>
      <c r="AP137" t="s">
        <v>1626</v>
      </c>
      <c r="AQ137" t="s">
        <v>74</v>
      </c>
      <c r="AR137" t="s">
        <v>1627</v>
      </c>
      <c r="AS137" t="s">
        <v>1628</v>
      </c>
      <c r="AT137" t="s">
        <v>98</v>
      </c>
      <c r="AU137">
        <v>2018</v>
      </c>
      <c r="AV137">
        <v>165</v>
      </c>
      <c r="AW137">
        <v>10</v>
      </c>
      <c r="AX137" t="s">
        <v>74</v>
      </c>
      <c r="AY137" t="s">
        <v>74</v>
      </c>
      <c r="AZ137" t="s">
        <v>74</v>
      </c>
      <c r="BA137" t="s">
        <v>74</v>
      </c>
      <c r="BB137" t="s">
        <v>74</v>
      </c>
      <c r="BC137" t="s">
        <v>74</v>
      </c>
      <c r="BD137">
        <v>152</v>
      </c>
      <c r="BE137" t="s">
        <v>2987</v>
      </c>
      <c r="BF137" t="str">
        <f>HYPERLINK("http://dx.doi.org/10.1007/s00227-018-3408-x","http://dx.doi.org/10.1007/s00227-018-3408-x")</f>
        <v>http://dx.doi.org/10.1007/s00227-018-3408-x</v>
      </c>
      <c r="BG137" t="s">
        <v>74</v>
      </c>
      <c r="BH137" t="s">
        <v>74</v>
      </c>
      <c r="BI137">
        <v>15</v>
      </c>
      <c r="BJ137" t="s">
        <v>1630</v>
      </c>
      <c r="BK137" t="s">
        <v>101</v>
      </c>
      <c r="BL137" t="s">
        <v>1630</v>
      </c>
      <c r="BM137" t="s">
        <v>2988</v>
      </c>
      <c r="BN137">
        <v>30220735</v>
      </c>
      <c r="BO137" t="s">
        <v>2989</v>
      </c>
      <c r="BP137" t="s">
        <v>74</v>
      </c>
      <c r="BQ137" t="s">
        <v>74</v>
      </c>
      <c r="BR137" t="s">
        <v>104</v>
      </c>
      <c r="BS137" t="s">
        <v>2990</v>
      </c>
      <c r="BT137" t="str">
        <f>HYPERLINK("https%3A%2F%2Fwww.webofscience.com%2Fwos%2Fwoscc%2Ffull-record%2FWOS:000444003900001","View Full Record in Web of Science")</f>
        <v>View Full Record in Web of Science</v>
      </c>
    </row>
    <row r="138" spans="1:72" x14ac:dyDescent="0.15">
      <c r="A138" t="s">
        <v>72</v>
      </c>
      <c r="B138" t="s">
        <v>2991</v>
      </c>
      <c r="C138" t="s">
        <v>74</v>
      </c>
      <c r="D138" t="s">
        <v>74</v>
      </c>
      <c r="E138" t="s">
        <v>74</v>
      </c>
      <c r="F138" t="s">
        <v>2992</v>
      </c>
      <c r="G138" t="s">
        <v>74</v>
      </c>
      <c r="H138" t="s">
        <v>74</v>
      </c>
      <c r="I138" t="s">
        <v>2993</v>
      </c>
      <c r="J138" t="s">
        <v>2994</v>
      </c>
      <c r="K138" t="s">
        <v>74</v>
      </c>
      <c r="L138" t="s">
        <v>74</v>
      </c>
      <c r="M138" t="s">
        <v>78</v>
      </c>
      <c r="N138" t="s">
        <v>79</v>
      </c>
      <c r="O138" t="s">
        <v>74</v>
      </c>
      <c r="P138" t="s">
        <v>74</v>
      </c>
      <c r="Q138" t="s">
        <v>74</v>
      </c>
      <c r="R138" t="s">
        <v>74</v>
      </c>
      <c r="S138" t="s">
        <v>74</v>
      </c>
      <c r="T138" t="s">
        <v>2995</v>
      </c>
      <c r="U138" t="s">
        <v>2996</v>
      </c>
      <c r="V138" t="s">
        <v>2997</v>
      </c>
      <c r="W138" t="s">
        <v>2998</v>
      </c>
      <c r="X138" t="s">
        <v>2999</v>
      </c>
      <c r="Y138" t="s">
        <v>3000</v>
      </c>
      <c r="Z138" t="s">
        <v>3001</v>
      </c>
      <c r="AA138" t="s">
        <v>3002</v>
      </c>
      <c r="AB138" t="s">
        <v>3003</v>
      </c>
      <c r="AC138" t="s">
        <v>74</v>
      </c>
      <c r="AD138" t="s">
        <v>74</v>
      </c>
      <c r="AE138" t="s">
        <v>74</v>
      </c>
      <c r="AF138" t="s">
        <v>74</v>
      </c>
      <c r="AG138">
        <v>44</v>
      </c>
      <c r="AH138">
        <v>11</v>
      </c>
      <c r="AI138">
        <v>12</v>
      </c>
      <c r="AJ138">
        <v>3</v>
      </c>
      <c r="AK138">
        <v>26</v>
      </c>
      <c r="AL138" t="s">
        <v>758</v>
      </c>
      <c r="AM138" t="s">
        <v>759</v>
      </c>
      <c r="AN138" t="s">
        <v>760</v>
      </c>
      <c r="AO138" t="s">
        <v>3004</v>
      </c>
      <c r="AP138" t="s">
        <v>3005</v>
      </c>
      <c r="AQ138" t="s">
        <v>74</v>
      </c>
      <c r="AR138" t="s">
        <v>3006</v>
      </c>
      <c r="AS138" t="s">
        <v>3007</v>
      </c>
      <c r="AT138" t="s">
        <v>98</v>
      </c>
      <c r="AU138">
        <v>2018</v>
      </c>
      <c r="AV138">
        <v>49</v>
      </c>
      <c r="AW138">
        <v>10</v>
      </c>
      <c r="AX138" t="s">
        <v>74</v>
      </c>
      <c r="AY138" t="s">
        <v>74</v>
      </c>
      <c r="AZ138" t="s">
        <v>74</v>
      </c>
      <c r="BA138" t="s">
        <v>74</v>
      </c>
      <c r="BB138">
        <v>3289</v>
      </c>
      <c r="BC138">
        <v>3295</v>
      </c>
      <c r="BD138" t="s">
        <v>74</v>
      </c>
      <c r="BE138" t="s">
        <v>3008</v>
      </c>
      <c r="BF138" t="str">
        <f>HYPERLINK("http://dx.doi.org/10.1111/are.13792","http://dx.doi.org/10.1111/are.13792")</f>
        <v>http://dx.doi.org/10.1111/are.13792</v>
      </c>
      <c r="BG138" t="s">
        <v>74</v>
      </c>
      <c r="BH138" t="s">
        <v>74</v>
      </c>
      <c r="BI138">
        <v>7</v>
      </c>
      <c r="BJ138" t="s">
        <v>3009</v>
      </c>
      <c r="BK138" t="s">
        <v>101</v>
      </c>
      <c r="BL138" t="s">
        <v>3009</v>
      </c>
      <c r="BM138" t="s">
        <v>3010</v>
      </c>
      <c r="BN138" t="s">
        <v>74</v>
      </c>
      <c r="BO138" t="s">
        <v>1584</v>
      </c>
      <c r="BP138" t="s">
        <v>74</v>
      </c>
      <c r="BQ138" t="s">
        <v>74</v>
      </c>
      <c r="BR138" t="s">
        <v>104</v>
      </c>
      <c r="BS138" t="s">
        <v>3011</v>
      </c>
      <c r="BT138" t="str">
        <f>HYPERLINK("https%3A%2F%2Fwww.webofscience.com%2Fwos%2Fwoscc%2Ffull-record%2FWOS:000443545100005","View Full Record in Web of Science")</f>
        <v>View Full Record in Web of Science</v>
      </c>
    </row>
    <row r="139" spans="1:72" x14ac:dyDescent="0.15">
      <c r="A139" t="s">
        <v>72</v>
      </c>
      <c r="B139" t="s">
        <v>3012</v>
      </c>
      <c r="C139" t="s">
        <v>74</v>
      </c>
      <c r="D139" t="s">
        <v>74</v>
      </c>
      <c r="E139" t="s">
        <v>74</v>
      </c>
      <c r="F139" t="s">
        <v>3013</v>
      </c>
      <c r="G139" t="s">
        <v>74</v>
      </c>
      <c r="H139" t="s">
        <v>74</v>
      </c>
      <c r="I139" t="s">
        <v>3014</v>
      </c>
      <c r="J139" t="s">
        <v>773</v>
      </c>
      <c r="K139" t="s">
        <v>74</v>
      </c>
      <c r="L139" t="s">
        <v>74</v>
      </c>
      <c r="M139" t="s">
        <v>78</v>
      </c>
      <c r="N139" t="s">
        <v>79</v>
      </c>
      <c r="O139" t="s">
        <v>74</v>
      </c>
      <c r="P139" t="s">
        <v>74</v>
      </c>
      <c r="Q139" t="s">
        <v>74</v>
      </c>
      <c r="R139" t="s">
        <v>74</v>
      </c>
      <c r="S139" t="s">
        <v>74</v>
      </c>
      <c r="T139" t="s">
        <v>74</v>
      </c>
      <c r="U139" t="s">
        <v>3015</v>
      </c>
      <c r="V139" t="s">
        <v>3016</v>
      </c>
      <c r="W139" t="s">
        <v>3017</v>
      </c>
      <c r="X139" t="s">
        <v>3018</v>
      </c>
      <c r="Y139" t="s">
        <v>3019</v>
      </c>
      <c r="Z139" t="s">
        <v>3020</v>
      </c>
      <c r="AA139" t="s">
        <v>74</v>
      </c>
      <c r="AB139" t="s">
        <v>3021</v>
      </c>
      <c r="AC139" t="s">
        <v>3022</v>
      </c>
      <c r="AD139" t="s">
        <v>3022</v>
      </c>
      <c r="AE139" t="s">
        <v>3023</v>
      </c>
      <c r="AF139" t="s">
        <v>74</v>
      </c>
      <c r="AG139">
        <v>66</v>
      </c>
      <c r="AH139">
        <v>39</v>
      </c>
      <c r="AI139">
        <v>43</v>
      </c>
      <c r="AJ139">
        <v>3</v>
      </c>
      <c r="AK139">
        <v>19</v>
      </c>
      <c r="AL139" t="s">
        <v>785</v>
      </c>
      <c r="AM139" t="s">
        <v>786</v>
      </c>
      <c r="AN139" t="s">
        <v>787</v>
      </c>
      <c r="AO139" t="s">
        <v>788</v>
      </c>
      <c r="AP139" t="s">
        <v>789</v>
      </c>
      <c r="AQ139" t="s">
        <v>74</v>
      </c>
      <c r="AR139" t="s">
        <v>790</v>
      </c>
      <c r="AS139" t="s">
        <v>791</v>
      </c>
      <c r="AT139" t="s">
        <v>98</v>
      </c>
      <c r="AU139">
        <v>2018</v>
      </c>
      <c r="AV139">
        <v>31</v>
      </c>
      <c r="AW139">
        <v>19</v>
      </c>
      <c r="AX139" t="s">
        <v>74</v>
      </c>
      <c r="AY139" t="s">
        <v>74</v>
      </c>
      <c r="AZ139" t="s">
        <v>74</v>
      </c>
      <c r="BA139" t="s">
        <v>74</v>
      </c>
      <c r="BB139">
        <v>7969</v>
      </c>
      <c r="BC139">
        <v>7984</v>
      </c>
      <c r="BD139" t="s">
        <v>74</v>
      </c>
      <c r="BE139" t="s">
        <v>3024</v>
      </c>
      <c r="BF139" t="str">
        <f>HYPERLINK("http://dx.doi.org/10.1175/JCLI-D-17-0859.1","http://dx.doi.org/10.1175/JCLI-D-17-0859.1")</f>
        <v>http://dx.doi.org/10.1175/JCLI-D-17-0859.1</v>
      </c>
      <c r="BG139" t="s">
        <v>74</v>
      </c>
      <c r="BH139" t="s">
        <v>74</v>
      </c>
      <c r="BI139">
        <v>16</v>
      </c>
      <c r="BJ139" t="s">
        <v>369</v>
      </c>
      <c r="BK139" t="s">
        <v>101</v>
      </c>
      <c r="BL139" t="s">
        <v>369</v>
      </c>
      <c r="BM139" t="s">
        <v>3025</v>
      </c>
      <c r="BN139" t="s">
        <v>74</v>
      </c>
      <c r="BO139" t="s">
        <v>3026</v>
      </c>
      <c r="BP139" t="s">
        <v>74</v>
      </c>
      <c r="BQ139" t="s">
        <v>74</v>
      </c>
      <c r="BR139" t="s">
        <v>104</v>
      </c>
      <c r="BS139" t="s">
        <v>3027</v>
      </c>
      <c r="BT139" t="str">
        <f>HYPERLINK("https%3A%2F%2Fwww.webofscience.com%2Fwos%2Fwoscc%2Ffull-record%2FWOS:000442564100002","View Full Record in Web of Science")</f>
        <v>View Full Record in Web of Science</v>
      </c>
    </row>
    <row r="140" spans="1:72" x14ac:dyDescent="0.15">
      <c r="A140" t="s">
        <v>72</v>
      </c>
      <c r="B140" t="s">
        <v>3028</v>
      </c>
      <c r="C140" t="s">
        <v>74</v>
      </c>
      <c r="D140" t="s">
        <v>74</v>
      </c>
      <c r="E140" t="s">
        <v>74</v>
      </c>
      <c r="F140" t="s">
        <v>3029</v>
      </c>
      <c r="G140" t="s">
        <v>74</v>
      </c>
      <c r="H140" t="s">
        <v>74</v>
      </c>
      <c r="I140" t="s">
        <v>3030</v>
      </c>
      <c r="J140" t="s">
        <v>773</v>
      </c>
      <c r="K140" t="s">
        <v>74</v>
      </c>
      <c r="L140" t="s">
        <v>74</v>
      </c>
      <c r="M140" t="s">
        <v>78</v>
      </c>
      <c r="N140" t="s">
        <v>79</v>
      </c>
      <c r="O140" t="s">
        <v>74</v>
      </c>
      <c r="P140" t="s">
        <v>74</v>
      </c>
      <c r="Q140" t="s">
        <v>74</v>
      </c>
      <c r="R140" t="s">
        <v>74</v>
      </c>
      <c r="S140" t="s">
        <v>74</v>
      </c>
      <c r="T140" t="s">
        <v>74</v>
      </c>
      <c r="U140" t="s">
        <v>3031</v>
      </c>
      <c r="V140" t="s">
        <v>3032</v>
      </c>
      <c r="W140" t="s">
        <v>3033</v>
      </c>
      <c r="X140" t="s">
        <v>3034</v>
      </c>
      <c r="Y140" t="s">
        <v>3035</v>
      </c>
      <c r="Z140" t="s">
        <v>3036</v>
      </c>
      <c r="AA140" t="s">
        <v>74</v>
      </c>
      <c r="AB140" t="s">
        <v>3037</v>
      </c>
      <c r="AC140" t="s">
        <v>3038</v>
      </c>
      <c r="AD140" t="s">
        <v>3039</v>
      </c>
      <c r="AE140" t="s">
        <v>3040</v>
      </c>
      <c r="AF140" t="s">
        <v>74</v>
      </c>
      <c r="AG140">
        <v>88</v>
      </c>
      <c r="AH140">
        <v>16</v>
      </c>
      <c r="AI140">
        <v>16</v>
      </c>
      <c r="AJ140">
        <v>1</v>
      </c>
      <c r="AK140">
        <v>10</v>
      </c>
      <c r="AL140" t="s">
        <v>785</v>
      </c>
      <c r="AM140" t="s">
        <v>786</v>
      </c>
      <c r="AN140" t="s">
        <v>787</v>
      </c>
      <c r="AO140" t="s">
        <v>788</v>
      </c>
      <c r="AP140" t="s">
        <v>789</v>
      </c>
      <c r="AQ140" t="s">
        <v>74</v>
      </c>
      <c r="AR140" t="s">
        <v>790</v>
      </c>
      <c r="AS140" t="s">
        <v>791</v>
      </c>
      <c r="AT140" t="s">
        <v>98</v>
      </c>
      <c r="AU140">
        <v>2018</v>
      </c>
      <c r="AV140">
        <v>31</v>
      </c>
      <c r="AW140">
        <v>19</v>
      </c>
      <c r="AX140" t="s">
        <v>74</v>
      </c>
      <c r="AY140" t="s">
        <v>74</v>
      </c>
      <c r="AZ140" t="s">
        <v>74</v>
      </c>
      <c r="BA140" t="s">
        <v>74</v>
      </c>
      <c r="BB140">
        <v>8059</v>
      </c>
      <c r="BC140">
        <v>8079</v>
      </c>
      <c r="BD140" t="s">
        <v>74</v>
      </c>
      <c r="BE140" t="s">
        <v>3041</v>
      </c>
      <c r="BF140" t="str">
        <f>HYPERLINK("http://dx.doi.org/10.1175/JCLI-D-17-0769.1","http://dx.doi.org/10.1175/JCLI-D-17-0769.1")</f>
        <v>http://dx.doi.org/10.1175/JCLI-D-17-0769.1</v>
      </c>
      <c r="BG140" t="s">
        <v>74</v>
      </c>
      <c r="BH140" t="s">
        <v>74</v>
      </c>
      <c r="BI140">
        <v>21</v>
      </c>
      <c r="BJ140" t="s">
        <v>369</v>
      </c>
      <c r="BK140" t="s">
        <v>101</v>
      </c>
      <c r="BL140" t="s">
        <v>369</v>
      </c>
      <c r="BM140" t="s">
        <v>3042</v>
      </c>
      <c r="BN140" t="s">
        <v>74</v>
      </c>
      <c r="BO140" t="s">
        <v>3043</v>
      </c>
      <c r="BP140" t="s">
        <v>74</v>
      </c>
      <c r="BQ140" t="s">
        <v>74</v>
      </c>
      <c r="BR140" t="s">
        <v>104</v>
      </c>
      <c r="BS140" t="s">
        <v>3044</v>
      </c>
      <c r="BT140" t="str">
        <f>HYPERLINK("https%3A%2F%2Fwww.webofscience.com%2Fwos%2Fwoscc%2Ffull-record%2FWOS:000442845400001","View Full Record in Web of Science")</f>
        <v>View Full Record in Web of Science</v>
      </c>
    </row>
    <row r="141" spans="1:72" x14ac:dyDescent="0.15">
      <c r="A141" t="s">
        <v>72</v>
      </c>
      <c r="B141" t="s">
        <v>3045</v>
      </c>
      <c r="C141" t="s">
        <v>74</v>
      </c>
      <c r="D141" t="s">
        <v>74</v>
      </c>
      <c r="E141" t="s">
        <v>74</v>
      </c>
      <c r="F141" t="s">
        <v>3046</v>
      </c>
      <c r="G141" t="s">
        <v>74</v>
      </c>
      <c r="H141" t="s">
        <v>74</v>
      </c>
      <c r="I141" t="s">
        <v>3047</v>
      </c>
      <c r="J141" t="s">
        <v>666</v>
      </c>
      <c r="K141" t="s">
        <v>74</v>
      </c>
      <c r="L141" t="s">
        <v>74</v>
      </c>
      <c r="M141" t="s">
        <v>78</v>
      </c>
      <c r="N141" t="s">
        <v>79</v>
      </c>
      <c r="O141" t="s">
        <v>74</v>
      </c>
      <c r="P141" t="s">
        <v>74</v>
      </c>
      <c r="Q141" t="s">
        <v>74</v>
      </c>
      <c r="R141" t="s">
        <v>74</v>
      </c>
      <c r="S141" t="s">
        <v>74</v>
      </c>
      <c r="T141" t="s">
        <v>3048</v>
      </c>
      <c r="U141" t="s">
        <v>3049</v>
      </c>
      <c r="V141" t="s">
        <v>3050</v>
      </c>
      <c r="W141" t="s">
        <v>3051</v>
      </c>
      <c r="X141" t="s">
        <v>3052</v>
      </c>
      <c r="Y141" t="s">
        <v>3053</v>
      </c>
      <c r="Z141" t="s">
        <v>3054</v>
      </c>
      <c r="AA141" t="s">
        <v>3055</v>
      </c>
      <c r="AB141" t="s">
        <v>3056</v>
      </c>
      <c r="AC141" t="s">
        <v>3057</v>
      </c>
      <c r="AD141" t="s">
        <v>3058</v>
      </c>
      <c r="AE141" t="s">
        <v>3059</v>
      </c>
      <c r="AF141" t="s">
        <v>74</v>
      </c>
      <c r="AG141">
        <v>23</v>
      </c>
      <c r="AH141">
        <v>32</v>
      </c>
      <c r="AI141">
        <v>38</v>
      </c>
      <c r="AJ141">
        <v>0</v>
      </c>
      <c r="AK141">
        <v>30</v>
      </c>
      <c r="AL141" t="s">
        <v>676</v>
      </c>
      <c r="AM141" t="s">
        <v>677</v>
      </c>
      <c r="AN141" t="s">
        <v>678</v>
      </c>
      <c r="AO141" t="s">
        <v>679</v>
      </c>
      <c r="AP141" t="s">
        <v>680</v>
      </c>
      <c r="AQ141" t="s">
        <v>74</v>
      </c>
      <c r="AR141" t="s">
        <v>681</v>
      </c>
      <c r="AS141" t="s">
        <v>682</v>
      </c>
      <c r="AT141" t="s">
        <v>98</v>
      </c>
      <c r="AU141">
        <v>2018</v>
      </c>
      <c r="AV141">
        <v>22</v>
      </c>
      <c r="AW141">
        <v>4</v>
      </c>
      <c r="AX141" t="s">
        <v>74</v>
      </c>
      <c r="AY141" t="s">
        <v>74</v>
      </c>
      <c r="AZ141" t="s">
        <v>74</v>
      </c>
      <c r="BA141" t="s">
        <v>74</v>
      </c>
      <c r="BB141" t="s">
        <v>74</v>
      </c>
      <c r="BC141" t="s">
        <v>74</v>
      </c>
      <c r="BD141">
        <v>104</v>
      </c>
      <c r="BE141" t="s">
        <v>3060</v>
      </c>
      <c r="BF141" t="str">
        <f>HYPERLINK("http://dx.doi.org/10.1007/s10291-018-0770-6","http://dx.doi.org/10.1007/s10291-018-0770-6")</f>
        <v>http://dx.doi.org/10.1007/s10291-018-0770-6</v>
      </c>
      <c r="BG141" t="s">
        <v>74</v>
      </c>
      <c r="BH141" t="s">
        <v>74</v>
      </c>
      <c r="BI141">
        <v>12</v>
      </c>
      <c r="BJ141" t="s">
        <v>684</v>
      </c>
      <c r="BK141" t="s">
        <v>101</v>
      </c>
      <c r="BL141" t="s">
        <v>684</v>
      </c>
      <c r="BM141" t="s">
        <v>3061</v>
      </c>
      <c r="BN141" t="s">
        <v>74</v>
      </c>
      <c r="BO141" t="s">
        <v>74</v>
      </c>
      <c r="BP141" t="s">
        <v>74</v>
      </c>
      <c r="BQ141" t="s">
        <v>74</v>
      </c>
      <c r="BR141" t="s">
        <v>104</v>
      </c>
      <c r="BS141" t="s">
        <v>3062</v>
      </c>
      <c r="BT141" t="str">
        <f>HYPERLINK("https%3A%2F%2Fwww.webofscience.com%2Fwos%2Fwoscc%2Ffull-record%2FWOS:000440331300001","View Full Record in Web of Science")</f>
        <v>View Full Record in Web of Science</v>
      </c>
    </row>
    <row r="142" spans="1:72" x14ac:dyDescent="0.15">
      <c r="A142" t="s">
        <v>72</v>
      </c>
      <c r="B142" t="s">
        <v>3063</v>
      </c>
      <c r="C142" t="s">
        <v>74</v>
      </c>
      <c r="D142" t="s">
        <v>74</v>
      </c>
      <c r="E142" t="s">
        <v>74</v>
      </c>
      <c r="F142" t="s">
        <v>3064</v>
      </c>
      <c r="G142" t="s">
        <v>74</v>
      </c>
      <c r="H142" t="s">
        <v>74</v>
      </c>
      <c r="I142" t="s">
        <v>3065</v>
      </c>
      <c r="J142" t="s">
        <v>3066</v>
      </c>
      <c r="K142" t="s">
        <v>74</v>
      </c>
      <c r="L142" t="s">
        <v>74</v>
      </c>
      <c r="M142" t="s">
        <v>78</v>
      </c>
      <c r="N142" t="s">
        <v>79</v>
      </c>
      <c r="O142" t="s">
        <v>74</v>
      </c>
      <c r="P142" t="s">
        <v>74</v>
      </c>
      <c r="Q142" t="s">
        <v>74</v>
      </c>
      <c r="R142" t="s">
        <v>74</v>
      </c>
      <c r="S142" t="s">
        <v>74</v>
      </c>
      <c r="T142" t="s">
        <v>3067</v>
      </c>
      <c r="U142" t="s">
        <v>3068</v>
      </c>
      <c r="V142" t="s">
        <v>3069</v>
      </c>
      <c r="W142" t="s">
        <v>3070</v>
      </c>
      <c r="X142" t="s">
        <v>3071</v>
      </c>
      <c r="Y142" t="s">
        <v>3072</v>
      </c>
      <c r="Z142" t="s">
        <v>3073</v>
      </c>
      <c r="AA142" t="s">
        <v>3074</v>
      </c>
      <c r="AB142" t="s">
        <v>3075</v>
      </c>
      <c r="AC142" t="s">
        <v>3076</v>
      </c>
      <c r="AD142" t="s">
        <v>3077</v>
      </c>
      <c r="AE142" t="s">
        <v>3078</v>
      </c>
      <c r="AF142" t="s">
        <v>74</v>
      </c>
      <c r="AG142">
        <v>28</v>
      </c>
      <c r="AH142">
        <v>7</v>
      </c>
      <c r="AI142">
        <v>8</v>
      </c>
      <c r="AJ142">
        <v>0</v>
      </c>
      <c r="AK142">
        <v>21</v>
      </c>
      <c r="AL142" t="s">
        <v>430</v>
      </c>
      <c r="AM142" t="s">
        <v>286</v>
      </c>
      <c r="AN142" t="s">
        <v>431</v>
      </c>
      <c r="AO142" t="s">
        <v>3079</v>
      </c>
      <c r="AP142" t="s">
        <v>3080</v>
      </c>
      <c r="AQ142" t="s">
        <v>74</v>
      </c>
      <c r="AR142" t="s">
        <v>3081</v>
      </c>
      <c r="AS142" t="s">
        <v>3082</v>
      </c>
      <c r="AT142" t="s">
        <v>98</v>
      </c>
      <c r="AU142">
        <v>2018</v>
      </c>
      <c r="AV142">
        <v>206</v>
      </c>
      <c r="AW142" t="s">
        <v>74</v>
      </c>
      <c r="AX142" t="s">
        <v>74</v>
      </c>
      <c r="AY142" t="s">
        <v>74</v>
      </c>
      <c r="AZ142" t="s">
        <v>74</v>
      </c>
      <c r="BA142" t="s">
        <v>74</v>
      </c>
      <c r="BB142">
        <v>79</v>
      </c>
      <c r="BC142">
        <v>84</v>
      </c>
      <c r="BD142" t="s">
        <v>74</v>
      </c>
      <c r="BE142" t="s">
        <v>3083</v>
      </c>
      <c r="BF142" t="str">
        <f>HYPERLINK("http://dx.doi.org/10.1016/j.fishres.2018.05.008","http://dx.doi.org/10.1016/j.fishres.2018.05.008")</f>
        <v>http://dx.doi.org/10.1016/j.fishres.2018.05.008</v>
      </c>
      <c r="BG142" t="s">
        <v>74</v>
      </c>
      <c r="BH142" t="s">
        <v>74</v>
      </c>
      <c r="BI142">
        <v>6</v>
      </c>
      <c r="BJ142" t="s">
        <v>3009</v>
      </c>
      <c r="BK142" t="s">
        <v>101</v>
      </c>
      <c r="BL142" t="s">
        <v>3009</v>
      </c>
      <c r="BM142" t="s">
        <v>3084</v>
      </c>
      <c r="BN142" t="s">
        <v>74</v>
      </c>
      <c r="BO142" t="s">
        <v>74</v>
      </c>
      <c r="BP142" t="s">
        <v>74</v>
      </c>
      <c r="BQ142" t="s">
        <v>74</v>
      </c>
      <c r="BR142" t="s">
        <v>104</v>
      </c>
      <c r="BS142" t="s">
        <v>3085</v>
      </c>
      <c r="BT142" t="str">
        <f>HYPERLINK("https%3A%2F%2Fwww.webofscience.com%2Fwos%2Fwoscc%2Ffull-record%2FWOS:000438005100008","View Full Record in Web of Science")</f>
        <v>View Full Record in Web of Science</v>
      </c>
    </row>
    <row r="143" spans="1:72" x14ac:dyDescent="0.15">
      <c r="A143" t="s">
        <v>72</v>
      </c>
      <c r="B143" t="s">
        <v>3086</v>
      </c>
      <c r="C143" t="s">
        <v>74</v>
      </c>
      <c r="D143" t="s">
        <v>74</v>
      </c>
      <c r="E143" t="s">
        <v>74</v>
      </c>
      <c r="F143" t="s">
        <v>3087</v>
      </c>
      <c r="G143" t="s">
        <v>74</v>
      </c>
      <c r="H143" t="s">
        <v>74</v>
      </c>
      <c r="I143" t="s">
        <v>3088</v>
      </c>
      <c r="J143" t="s">
        <v>3089</v>
      </c>
      <c r="K143" t="s">
        <v>74</v>
      </c>
      <c r="L143" t="s">
        <v>74</v>
      </c>
      <c r="M143" t="s">
        <v>78</v>
      </c>
      <c r="N143" t="s">
        <v>79</v>
      </c>
      <c r="O143" t="s">
        <v>74</v>
      </c>
      <c r="P143" t="s">
        <v>74</v>
      </c>
      <c r="Q143" t="s">
        <v>74</v>
      </c>
      <c r="R143" t="s">
        <v>74</v>
      </c>
      <c r="S143" t="s">
        <v>74</v>
      </c>
      <c r="T143" t="s">
        <v>3090</v>
      </c>
      <c r="U143" t="s">
        <v>3091</v>
      </c>
      <c r="V143" t="s">
        <v>3092</v>
      </c>
      <c r="W143" t="s">
        <v>3093</v>
      </c>
      <c r="X143" t="s">
        <v>3094</v>
      </c>
      <c r="Y143" t="s">
        <v>3095</v>
      </c>
      <c r="Z143" t="s">
        <v>3096</v>
      </c>
      <c r="AA143" t="s">
        <v>74</v>
      </c>
      <c r="AB143" t="s">
        <v>3097</v>
      </c>
      <c r="AC143" t="s">
        <v>3098</v>
      </c>
      <c r="AD143" t="s">
        <v>3098</v>
      </c>
      <c r="AE143" t="s">
        <v>3099</v>
      </c>
      <c r="AF143" t="s">
        <v>74</v>
      </c>
      <c r="AG143">
        <v>31</v>
      </c>
      <c r="AH143">
        <v>2</v>
      </c>
      <c r="AI143">
        <v>2</v>
      </c>
      <c r="AJ143">
        <v>0</v>
      </c>
      <c r="AK143">
        <v>4</v>
      </c>
      <c r="AL143" t="s">
        <v>503</v>
      </c>
      <c r="AM143" t="s">
        <v>504</v>
      </c>
      <c r="AN143" t="s">
        <v>505</v>
      </c>
      <c r="AO143" t="s">
        <v>3100</v>
      </c>
      <c r="AP143" t="s">
        <v>3101</v>
      </c>
      <c r="AQ143" t="s">
        <v>74</v>
      </c>
      <c r="AR143" t="s">
        <v>3102</v>
      </c>
      <c r="AS143" t="s">
        <v>3103</v>
      </c>
      <c r="AT143" t="s">
        <v>3104</v>
      </c>
      <c r="AU143">
        <v>2018</v>
      </c>
      <c r="AV143">
        <v>45</v>
      </c>
      <c r="AW143">
        <v>18</v>
      </c>
      <c r="AX143" t="s">
        <v>74</v>
      </c>
      <c r="AY143" t="s">
        <v>74</v>
      </c>
      <c r="AZ143" t="s">
        <v>74</v>
      </c>
      <c r="BA143" t="s">
        <v>74</v>
      </c>
      <c r="BB143">
        <v>9597</v>
      </c>
      <c r="BC143">
        <v>9604</v>
      </c>
      <c r="BD143" t="s">
        <v>74</v>
      </c>
      <c r="BE143" t="s">
        <v>3105</v>
      </c>
      <c r="BF143" t="str">
        <f>HYPERLINK("http://dx.doi.org/10.1029/2018GL078533","http://dx.doi.org/10.1029/2018GL078533")</f>
        <v>http://dx.doi.org/10.1029/2018GL078533</v>
      </c>
      <c r="BG143" t="s">
        <v>74</v>
      </c>
      <c r="BH143" t="s">
        <v>74</v>
      </c>
      <c r="BI143">
        <v>8</v>
      </c>
      <c r="BJ143" t="s">
        <v>182</v>
      </c>
      <c r="BK143" t="s">
        <v>101</v>
      </c>
      <c r="BL143" t="s">
        <v>183</v>
      </c>
      <c r="BM143" t="s">
        <v>3106</v>
      </c>
      <c r="BN143" t="s">
        <v>74</v>
      </c>
      <c r="BO143" t="s">
        <v>346</v>
      </c>
      <c r="BP143" t="s">
        <v>74</v>
      </c>
      <c r="BQ143" t="s">
        <v>74</v>
      </c>
      <c r="BR143" t="s">
        <v>104</v>
      </c>
      <c r="BS143" t="s">
        <v>3107</v>
      </c>
      <c r="BT143" t="str">
        <f>HYPERLINK("https%3A%2F%2Fwww.webofscience.com%2Fwos%2Fwoscc%2Ffull-record%2FWOS:000447761300030","View Full Record in Web of Science")</f>
        <v>View Full Record in Web of Science</v>
      </c>
    </row>
    <row r="144" spans="1:72" x14ac:dyDescent="0.15">
      <c r="A144" t="s">
        <v>72</v>
      </c>
      <c r="B144" t="s">
        <v>3108</v>
      </c>
      <c r="C144" t="s">
        <v>74</v>
      </c>
      <c r="D144" t="s">
        <v>74</v>
      </c>
      <c r="E144" t="s">
        <v>74</v>
      </c>
      <c r="F144" t="s">
        <v>3109</v>
      </c>
      <c r="G144" t="s">
        <v>74</v>
      </c>
      <c r="H144" t="s">
        <v>74</v>
      </c>
      <c r="I144" t="s">
        <v>3110</v>
      </c>
      <c r="J144" t="s">
        <v>3089</v>
      </c>
      <c r="K144" t="s">
        <v>74</v>
      </c>
      <c r="L144" t="s">
        <v>74</v>
      </c>
      <c r="M144" t="s">
        <v>78</v>
      </c>
      <c r="N144" t="s">
        <v>79</v>
      </c>
      <c r="O144" t="s">
        <v>74</v>
      </c>
      <c r="P144" t="s">
        <v>74</v>
      </c>
      <c r="Q144" t="s">
        <v>74</v>
      </c>
      <c r="R144" t="s">
        <v>74</v>
      </c>
      <c r="S144" t="s">
        <v>74</v>
      </c>
      <c r="T144" t="s">
        <v>3111</v>
      </c>
      <c r="U144" t="s">
        <v>3112</v>
      </c>
      <c r="V144" t="s">
        <v>3113</v>
      </c>
      <c r="W144" t="s">
        <v>3114</v>
      </c>
      <c r="X144" t="s">
        <v>3115</v>
      </c>
      <c r="Y144" t="s">
        <v>3116</v>
      </c>
      <c r="Z144" t="s">
        <v>3117</v>
      </c>
      <c r="AA144" t="s">
        <v>3118</v>
      </c>
      <c r="AB144" t="s">
        <v>3119</v>
      </c>
      <c r="AC144" t="s">
        <v>3120</v>
      </c>
      <c r="AD144" t="s">
        <v>3120</v>
      </c>
      <c r="AE144" t="s">
        <v>3121</v>
      </c>
      <c r="AF144" t="s">
        <v>74</v>
      </c>
      <c r="AG144">
        <v>26</v>
      </c>
      <c r="AH144">
        <v>30</v>
      </c>
      <c r="AI144">
        <v>30</v>
      </c>
      <c r="AJ144">
        <v>1</v>
      </c>
      <c r="AK144">
        <v>13</v>
      </c>
      <c r="AL144" t="s">
        <v>503</v>
      </c>
      <c r="AM144" t="s">
        <v>504</v>
      </c>
      <c r="AN144" t="s">
        <v>505</v>
      </c>
      <c r="AO144" t="s">
        <v>3100</v>
      </c>
      <c r="AP144" t="s">
        <v>3101</v>
      </c>
      <c r="AQ144" t="s">
        <v>74</v>
      </c>
      <c r="AR144" t="s">
        <v>3102</v>
      </c>
      <c r="AS144" t="s">
        <v>3103</v>
      </c>
      <c r="AT144" t="s">
        <v>3104</v>
      </c>
      <c r="AU144">
        <v>2018</v>
      </c>
      <c r="AV144">
        <v>45</v>
      </c>
      <c r="AW144">
        <v>18</v>
      </c>
      <c r="AX144" t="s">
        <v>74</v>
      </c>
      <c r="AY144" t="s">
        <v>74</v>
      </c>
      <c r="AZ144" t="s">
        <v>74</v>
      </c>
      <c r="BA144" t="s">
        <v>74</v>
      </c>
      <c r="BB144">
        <v>9774</v>
      </c>
      <c r="BC144">
        <v>9781</v>
      </c>
      <c r="BD144" t="s">
        <v>74</v>
      </c>
      <c r="BE144" t="s">
        <v>3122</v>
      </c>
      <c r="BF144" t="str">
        <f>HYPERLINK("http://dx.doi.org/10.1029/2018GL079614","http://dx.doi.org/10.1029/2018GL079614")</f>
        <v>http://dx.doi.org/10.1029/2018GL079614</v>
      </c>
      <c r="BG144" t="s">
        <v>74</v>
      </c>
      <c r="BH144" t="s">
        <v>74</v>
      </c>
      <c r="BI144">
        <v>8</v>
      </c>
      <c r="BJ144" t="s">
        <v>182</v>
      </c>
      <c r="BK144" t="s">
        <v>101</v>
      </c>
      <c r="BL144" t="s">
        <v>183</v>
      </c>
      <c r="BM144" t="s">
        <v>3106</v>
      </c>
      <c r="BN144" t="s">
        <v>74</v>
      </c>
      <c r="BO144" t="s">
        <v>2989</v>
      </c>
      <c r="BP144" t="s">
        <v>74</v>
      </c>
      <c r="BQ144" t="s">
        <v>74</v>
      </c>
      <c r="BR144" t="s">
        <v>104</v>
      </c>
      <c r="BS144" t="s">
        <v>3123</v>
      </c>
      <c r="BT144" t="str">
        <f>HYPERLINK("https%3A%2F%2Fwww.webofscience.com%2Fwos%2Fwoscc%2Ffull-record%2FWOS:000447761300049","View Full Record in Web of Science")</f>
        <v>View Full Record in Web of Science</v>
      </c>
    </row>
    <row r="145" spans="1:72" x14ac:dyDescent="0.15">
      <c r="A145" t="s">
        <v>72</v>
      </c>
      <c r="B145" t="s">
        <v>3124</v>
      </c>
      <c r="C145" t="s">
        <v>74</v>
      </c>
      <c r="D145" t="s">
        <v>74</v>
      </c>
      <c r="E145" t="s">
        <v>74</v>
      </c>
      <c r="F145" t="s">
        <v>3125</v>
      </c>
      <c r="G145" t="s">
        <v>74</v>
      </c>
      <c r="H145" t="s">
        <v>74</v>
      </c>
      <c r="I145" t="s">
        <v>3126</v>
      </c>
      <c r="J145" t="s">
        <v>3089</v>
      </c>
      <c r="K145" t="s">
        <v>74</v>
      </c>
      <c r="L145" t="s">
        <v>74</v>
      </c>
      <c r="M145" t="s">
        <v>78</v>
      </c>
      <c r="N145" t="s">
        <v>79</v>
      </c>
      <c r="O145" t="s">
        <v>74</v>
      </c>
      <c r="P145" t="s">
        <v>74</v>
      </c>
      <c r="Q145" t="s">
        <v>74</v>
      </c>
      <c r="R145" t="s">
        <v>74</v>
      </c>
      <c r="S145" t="s">
        <v>74</v>
      </c>
      <c r="T145" t="s">
        <v>3127</v>
      </c>
      <c r="U145" t="s">
        <v>3128</v>
      </c>
      <c r="V145" t="s">
        <v>3129</v>
      </c>
      <c r="W145" t="s">
        <v>3130</v>
      </c>
      <c r="X145" t="s">
        <v>3131</v>
      </c>
      <c r="Y145" t="s">
        <v>3132</v>
      </c>
      <c r="Z145" t="s">
        <v>3133</v>
      </c>
      <c r="AA145" t="s">
        <v>3134</v>
      </c>
      <c r="AB145" t="s">
        <v>3135</v>
      </c>
      <c r="AC145" t="s">
        <v>3136</v>
      </c>
      <c r="AD145" t="s">
        <v>3137</v>
      </c>
      <c r="AE145" t="s">
        <v>3138</v>
      </c>
      <c r="AF145" t="s">
        <v>74</v>
      </c>
      <c r="AG145">
        <v>38</v>
      </c>
      <c r="AH145">
        <v>47</v>
      </c>
      <c r="AI145">
        <v>53</v>
      </c>
      <c r="AJ145">
        <v>3</v>
      </c>
      <c r="AK145">
        <v>14</v>
      </c>
      <c r="AL145" t="s">
        <v>503</v>
      </c>
      <c r="AM145" t="s">
        <v>504</v>
      </c>
      <c r="AN145" t="s">
        <v>505</v>
      </c>
      <c r="AO145" t="s">
        <v>3100</v>
      </c>
      <c r="AP145" t="s">
        <v>3101</v>
      </c>
      <c r="AQ145" t="s">
        <v>74</v>
      </c>
      <c r="AR145" t="s">
        <v>3102</v>
      </c>
      <c r="AS145" t="s">
        <v>3103</v>
      </c>
      <c r="AT145" t="s">
        <v>3104</v>
      </c>
      <c r="AU145">
        <v>2018</v>
      </c>
      <c r="AV145">
        <v>45</v>
      </c>
      <c r="AW145">
        <v>18</v>
      </c>
      <c r="AX145" t="s">
        <v>74</v>
      </c>
      <c r="AY145" t="s">
        <v>74</v>
      </c>
      <c r="AZ145" t="s">
        <v>74</v>
      </c>
      <c r="BA145" t="s">
        <v>74</v>
      </c>
      <c r="BB145">
        <v>9790</v>
      </c>
      <c r="BC145">
        <v>9802</v>
      </c>
      <c r="BD145" t="s">
        <v>74</v>
      </c>
      <c r="BE145" t="s">
        <v>3139</v>
      </c>
      <c r="BF145" t="str">
        <f>HYPERLINK("http://dx.doi.org/10.1029/2018GL079244","http://dx.doi.org/10.1029/2018GL079244")</f>
        <v>http://dx.doi.org/10.1029/2018GL079244</v>
      </c>
      <c r="BG145" t="s">
        <v>74</v>
      </c>
      <c r="BH145" t="s">
        <v>74</v>
      </c>
      <c r="BI145">
        <v>13</v>
      </c>
      <c r="BJ145" t="s">
        <v>182</v>
      </c>
      <c r="BK145" t="s">
        <v>101</v>
      </c>
      <c r="BL145" t="s">
        <v>183</v>
      </c>
      <c r="BM145" t="s">
        <v>3106</v>
      </c>
      <c r="BN145" t="s">
        <v>74</v>
      </c>
      <c r="BO145" t="s">
        <v>74</v>
      </c>
      <c r="BP145" t="s">
        <v>74</v>
      </c>
      <c r="BQ145" t="s">
        <v>74</v>
      </c>
      <c r="BR145" t="s">
        <v>104</v>
      </c>
      <c r="BS145" t="s">
        <v>3140</v>
      </c>
      <c r="BT145" t="str">
        <f>HYPERLINK("https%3A%2F%2Fwww.webofscience.com%2Fwos%2Fwoscc%2Ffull-record%2FWOS:000447761300051","View Full Record in Web of Science")</f>
        <v>View Full Record in Web of Science</v>
      </c>
    </row>
    <row r="146" spans="1:72" x14ac:dyDescent="0.15">
      <c r="A146" t="s">
        <v>72</v>
      </c>
      <c r="B146" t="s">
        <v>3141</v>
      </c>
      <c r="C146" t="s">
        <v>74</v>
      </c>
      <c r="D146" t="s">
        <v>74</v>
      </c>
      <c r="E146" t="s">
        <v>74</v>
      </c>
      <c r="F146" t="s">
        <v>3142</v>
      </c>
      <c r="G146" t="s">
        <v>74</v>
      </c>
      <c r="H146" t="s">
        <v>74</v>
      </c>
      <c r="I146" t="s">
        <v>3143</v>
      </c>
      <c r="J146" t="s">
        <v>3089</v>
      </c>
      <c r="K146" t="s">
        <v>74</v>
      </c>
      <c r="L146" t="s">
        <v>74</v>
      </c>
      <c r="M146" t="s">
        <v>78</v>
      </c>
      <c r="N146" t="s">
        <v>79</v>
      </c>
      <c r="O146" t="s">
        <v>74</v>
      </c>
      <c r="P146" t="s">
        <v>74</v>
      </c>
      <c r="Q146" t="s">
        <v>74</v>
      </c>
      <c r="R146" t="s">
        <v>74</v>
      </c>
      <c r="S146" t="s">
        <v>74</v>
      </c>
      <c r="T146" t="s">
        <v>74</v>
      </c>
      <c r="U146" t="s">
        <v>3144</v>
      </c>
      <c r="V146" t="s">
        <v>3145</v>
      </c>
      <c r="W146" t="s">
        <v>3146</v>
      </c>
      <c r="X146" t="s">
        <v>3147</v>
      </c>
      <c r="Y146" t="s">
        <v>3148</v>
      </c>
      <c r="Z146" t="s">
        <v>3149</v>
      </c>
      <c r="AA146" t="s">
        <v>3150</v>
      </c>
      <c r="AB146" t="s">
        <v>3151</v>
      </c>
      <c r="AC146" t="s">
        <v>3152</v>
      </c>
      <c r="AD146" t="s">
        <v>3153</v>
      </c>
      <c r="AE146" t="s">
        <v>3154</v>
      </c>
      <c r="AF146" t="s">
        <v>74</v>
      </c>
      <c r="AG146">
        <v>49</v>
      </c>
      <c r="AH146">
        <v>16</v>
      </c>
      <c r="AI146">
        <v>19</v>
      </c>
      <c r="AJ146">
        <v>1</v>
      </c>
      <c r="AK146">
        <v>9</v>
      </c>
      <c r="AL146" t="s">
        <v>503</v>
      </c>
      <c r="AM146" t="s">
        <v>504</v>
      </c>
      <c r="AN146" t="s">
        <v>505</v>
      </c>
      <c r="AO146" t="s">
        <v>3100</v>
      </c>
      <c r="AP146" t="s">
        <v>3101</v>
      </c>
      <c r="AQ146" t="s">
        <v>74</v>
      </c>
      <c r="AR146" t="s">
        <v>3102</v>
      </c>
      <c r="AS146" t="s">
        <v>3103</v>
      </c>
      <c r="AT146" t="s">
        <v>3104</v>
      </c>
      <c r="AU146">
        <v>2018</v>
      </c>
      <c r="AV146">
        <v>45</v>
      </c>
      <c r="AW146">
        <v>18</v>
      </c>
      <c r="AX146" t="s">
        <v>74</v>
      </c>
      <c r="AY146" t="s">
        <v>74</v>
      </c>
      <c r="AZ146" t="s">
        <v>74</v>
      </c>
      <c r="BA146" t="s">
        <v>74</v>
      </c>
      <c r="BB146">
        <v>9834</v>
      </c>
      <c r="BC146">
        <v>9842</v>
      </c>
      <c r="BD146" t="s">
        <v>74</v>
      </c>
      <c r="BE146" t="s">
        <v>3155</v>
      </c>
      <c r="BF146" t="str">
        <f>HYPERLINK("http://dx.doi.org/10.1029/2018GL078770","http://dx.doi.org/10.1029/2018GL078770")</f>
        <v>http://dx.doi.org/10.1029/2018GL078770</v>
      </c>
      <c r="BG146" t="s">
        <v>74</v>
      </c>
      <c r="BH146" t="s">
        <v>74</v>
      </c>
      <c r="BI146">
        <v>9</v>
      </c>
      <c r="BJ146" t="s">
        <v>182</v>
      </c>
      <c r="BK146" t="s">
        <v>101</v>
      </c>
      <c r="BL146" t="s">
        <v>183</v>
      </c>
      <c r="BM146" t="s">
        <v>3106</v>
      </c>
      <c r="BN146" t="s">
        <v>74</v>
      </c>
      <c r="BO146" t="s">
        <v>3156</v>
      </c>
      <c r="BP146" t="s">
        <v>74</v>
      </c>
      <c r="BQ146" t="s">
        <v>74</v>
      </c>
      <c r="BR146" t="s">
        <v>104</v>
      </c>
      <c r="BS146" t="s">
        <v>3157</v>
      </c>
      <c r="BT146" t="str">
        <f>HYPERLINK("https%3A%2F%2Fwww.webofscience.com%2Fwos%2Fwoscc%2Ffull-record%2FWOS:000447761300055","View Full Record in Web of Science")</f>
        <v>View Full Record in Web of Science</v>
      </c>
    </row>
    <row r="147" spans="1:72" x14ac:dyDescent="0.15">
      <c r="A147" t="s">
        <v>72</v>
      </c>
      <c r="B147" t="s">
        <v>3158</v>
      </c>
      <c r="C147" t="s">
        <v>74</v>
      </c>
      <c r="D147" t="s">
        <v>74</v>
      </c>
      <c r="E147" t="s">
        <v>74</v>
      </c>
      <c r="F147" t="s">
        <v>3159</v>
      </c>
      <c r="G147" t="s">
        <v>74</v>
      </c>
      <c r="H147" t="s">
        <v>74</v>
      </c>
      <c r="I147" t="s">
        <v>3160</v>
      </c>
      <c r="J147" t="s">
        <v>3161</v>
      </c>
      <c r="K147" t="s">
        <v>74</v>
      </c>
      <c r="L147" t="s">
        <v>74</v>
      </c>
      <c r="M147" t="s">
        <v>78</v>
      </c>
      <c r="N147" t="s">
        <v>79</v>
      </c>
      <c r="O147" t="s">
        <v>74</v>
      </c>
      <c r="P147" t="s">
        <v>74</v>
      </c>
      <c r="Q147" t="s">
        <v>74</v>
      </c>
      <c r="R147" t="s">
        <v>74</v>
      </c>
      <c r="S147" t="s">
        <v>74</v>
      </c>
      <c r="T147" t="s">
        <v>3162</v>
      </c>
      <c r="U147" t="s">
        <v>3163</v>
      </c>
      <c r="V147" t="s">
        <v>3164</v>
      </c>
      <c r="W147" t="s">
        <v>3165</v>
      </c>
      <c r="X147" t="s">
        <v>3166</v>
      </c>
      <c r="Y147" t="s">
        <v>3167</v>
      </c>
      <c r="Z147" t="s">
        <v>3168</v>
      </c>
      <c r="AA147" t="s">
        <v>3169</v>
      </c>
      <c r="AB147" t="s">
        <v>3170</v>
      </c>
      <c r="AC147" t="s">
        <v>3171</v>
      </c>
      <c r="AD147" t="s">
        <v>3172</v>
      </c>
      <c r="AE147" t="s">
        <v>3173</v>
      </c>
      <c r="AF147" t="s">
        <v>74</v>
      </c>
      <c r="AG147">
        <v>88</v>
      </c>
      <c r="AH147">
        <v>13</v>
      </c>
      <c r="AI147">
        <v>14</v>
      </c>
      <c r="AJ147">
        <v>0</v>
      </c>
      <c r="AK147">
        <v>19</v>
      </c>
      <c r="AL147" t="s">
        <v>3174</v>
      </c>
      <c r="AM147" t="s">
        <v>3175</v>
      </c>
      <c r="AN147" t="s">
        <v>3176</v>
      </c>
      <c r="AO147" t="s">
        <v>3177</v>
      </c>
      <c r="AP147" t="s">
        <v>74</v>
      </c>
      <c r="AQ147" t="s">
        <v>74</v>
      </c>
      <c r="AR147" t="s">
        <v>3178</v>
      </c>
      <c r="AS147" t="s">
        <v>3179</v>
      </c>
      <c r="AT147" t="s">
        <v>3104</v>
      </c>
      <c r="AU147">
        <v>2018</v>
      </c>
      <c r="AV147">
        <v>6</v>
      </c>
      <c r="AW147" t="s">
        <v>74</v>
      </c>
      <c r="AX147" t="s">
        <v>74</v>
      </c>
      <c r="AY147" t="s">
        <v>74</v>
      </c>
      <c r="AZ147" t="s">
        <v>74</v>
      </c>
      <c r="BA147" t="s">
        <v>74</v>
      </c>
      <c r="BB147" t="s">
        <v>74</v>
      </c>
      <c r="BC147" t="s">
        <v>74</v>
      </c>
      <c r="BD147">
        <v>151</v>
      </c>
      <c r="BE147" t="s">
        <v>3180</v>
      </c>
      <c r="BF147" t="str">
        <f>HYPERLINK("http://dx.doi.org/10.3389/fevo.2018.00151","http://dx.doi.org/10.3389/fevo.2018.00151")</f>
        <v>http://dx.doi.org/10.3389/fevo.2018.00151</v>
      </c>
      <c r="BG147" t="s">
        <v>74</v>
      </c>
      <c r="BH147" t="s">
        <v>74</v>
      </c>
      <c r="BI147">
        <v>14</v>
      </c>
      <c r="BJ147" t="s">
        <v>2087</v>
      </c>
      <c r="BK147" t="s">
        <v>101</v>
      </c>
      <c r="BL147" t="s">
        <v>559</v>
      </c>
      <c r="BM147" t="s">
        <v>3181</v>
      </c>
      <c r="BN147" t="s">
        <v>74</v>
      </c>
      <c r="BO147" t="s">
        <v>439</v>
      </c>
      <c r="BP147" t="s">
        <v>74</v>
      </c>
      <c r="BQ147" t="s">
        <v>74</v>
      </c>
      <c r="BR147" t="s">
        <v>104</v>
      </c>
      <c r="BS147" t="s">
        <v>3182</v>
      </c>
      <c r="BT147" t="str">
        <f>HYPERLINK("https%3A%2F%2Fwww.webofscience.com%2Fwos%2Fwoscc%2Ffull-record%2FWOS:000451909300001","View Full Record in Web of Science")</f>
        <v>View Full Record in Web of Science</v>
      </c>
    </row>
    <row r="148" spans="1:72" x14ac:dyDescent="0.15">
      <c r="A148" t="s">
        <v>72</v>
      </c>
      <c r="B148" t="s">
        <v>3183</v>
      </c>
      <c r="C148" t="s">
        <v>74</v>
      </c>
      <c r="D148" t="s">
        <v>74</v>
      </c>
      <c r="E148" t="s">
        <v>74</v>
      </c>
      <c r="F148" t="s">
        <v>3184</v>
      </c>
      <c r="G148" t="s">
        <v>74</v>
      </c>
      <c r="H148" t="s">
        <v>74</v>
      </c>
      <c r="I148" t="s">
        <v>3185</v>
      </c>
      <c r="J148" t="s">
        <v>3186</v>
      </c>
      <c r="K148" t="s">
        <v>74</v>
      </c>
      <c r="L148" t="s">
        <v>74</v>
      </c>
      <c r="M148" t="s">
        <v>78</v>
      </c>
      <c r="N148" t="s">
        <v>79</v>
      </c>
      <c r="O148" t="s">
        <v>74</v>
      </c>
      <c r="P148" t="s">
        <v>74</v>
      </c>
      <c r="Q148" t="s">
        <v>74</v>
      </c>
      <c r="R148" t="s">
        <v>74</v>
      </c>
      <c r="S148" t="s">
        <v>74</v>
      </c>
      <c r="T148" t="s">
        <v>3187</v>
      </c>
      <c r="U148" t="s">
        <v>3188</v>
      </c>
      <c r="V148" t="s">
        <v>3189</v>
      </c>
      <c r="W148" t="s">
        <v>3190</v>
      </c>
      <c r="X148" t="s">
        <v>3191</v>
      </c>
      <c r="Y148" t="s">
        <v>3192</v>
      </c>
      <c r="Z148" t="s">
        <v>3193</v>
      </c>
      <c r="AA148" t="s">
        <v>74</v>
      </c>
      <c r="AB148" t="s">
        <v>3194</v>
      </c>
      <c r="AC148" t="s">
        <v>3195</v>
      </c>
      <c r="AD148" t="s">
        <v>3196</v>
      </c>
      <c r="AE148" t="s">
        <v>3197</v>
      </c>
      <c r="AF148" t="s">
        <v>74</v>
      </c>
      <c r="AG148">
        <v>31</v>
      </c>
      <c r="AH148">
        <v>18</v>
      </c>
      <c r="AI148">
        <v>18</v>
      </c>
      <c r="AJ148">
        <v>1</v>
      </c>
      <c r="AK148">
        <v>8</v>
      </c>
      <c r="AL148" t="s">
        <v>1319</v>
      </c>
      <c r="AM148" t="s">
        <v>704</v>
      </c>
      <c r="AN148" t="s">
        <v>1320</v>
      </c>
      <c r="AO148" t="s">
        <v>3198</v>
      </c>
      <c r="AP148" t="s">
        <v>3199</v>
      </c>
      <c r="AQ148" t="s">
        <v>74</v>
      </c>
      <c r="AR148" t="s">
        <v>3200</v>
      </c>
      <c r="AS148" t="s">
        <v>3201</v>
      </c>
      <c r="AT148" t="s">
        <v>3104</v>
      </c>
      <c r="AU148">
        <v>2018</v>
      </c>
      <c r="AV148">
        <v>376</v>
      </c>
      <c r="AW148">
        <v>2129</v>
      </c>
      <c r="AX148" t="s">
        <v>74</v>
      </c>
      <c r="AY148" t="s">
        <v>74</v>
      </c>
      <c r="AZ148" t="s">
        <v>74</v>
      </c>
      <c r="BA148" t="s">
        <v>74</v>
      </c>
      <c r="BB148" t="s">
        <v>74</v>
      </c>
      <c r="BC148" t="s">
        <v>74</v>
      </c>
      <c r="BD148">
        <v>20170346</v>
      </c>
      <c r="BE148" t="s">
        <v>3202</v>
      </c>
      <c r="BF148" t="str">
        <f>HYPERLINK("http://dx.doi.org/10.1098/rsta.2017.0346","http://dx.doi.org/10.1098/rsta.2017.0346")</f>
        <v>http://dx.doi.org/10.1098/rsta.2017.0346</v>
      </c>
      <c r="BG148" t="s">
        <v>74</v>
      </c>
      <c r="BH148" t="s">
        <v>74</v>
      </c>
      <c r="BI148">
        <v>15</v>
      </c>
      <c r="BJ148" t="s">
        <v>436</v>
      </c>
      <c r="BK148" t="s">
        <v>101</v>
      </c>
      <c r="BL148" t="s">
        <v>437</v>
      </c>
      <c r="BM148" t="s">
        <v>3203</v>
      </c>
      <c r="BN148">
        <v>30126917</v>
      </c>
      <c r="BO148" t="s">
        <v>661</v>
      </c>
      <c r="BP148" t="s">
        <v>74</v>
      </c>
      <c r="BQ148" t="s">
        <v>74</v>
      </c>
      <c r="BR148" t="s">
        <v>104</v>
      </c>
      <c r="BS148" t="s">
        <v>3204</v>
      </c>
      <c r="BT148" t="str">
        <f>HYPERLINK("https%3A%2F%2Fwww.webofscience.com%2Fwos%2Fwoscc%2Ffull-record%2FWOS:000442108500011","View Full Record in Web of Science")</f>
        <v>View Full Record in Web of Science</v>
      </c>
    </row>
    <row r="149" spans="1:72" x14ac:dyDescent="0.15">
      <c r="A149" t="s">
        <v>72</v>
      </c>
      <c r="B149" t="s">
        <v>3205</v>
      </c>
      <c r="C149" t="s">
        <v>74</v>
      </c>
      <c r="D149" t="s">
        <v>74</v>
      </c>
      <c r="E149" t="s">
        <v>74</v>
      </c>
      <c r="F149" t="s">
        <v>3206</v>
      </c>
      <c r="G149" t="s">
        <v>74</v>
      </c>
      <c r="H149" t="s">
        <v>74</v>
      </c>
      <c r="I149" t="s">
        <v>3207</v>
      </c>
      <c r="J149" t="s">
        <v>3186</v>
      </c>
      <c r="K149" t="s">
        <v>74</v>
      </c>
      <c r="L149" t="s">
        <v>74</v>
      </c>
      <c r="M149" t="s">
        <v>78</v>
      </c>
      <c r="N149" t="s">
        <v>79</v>
      </c>
      <c r="O149" t="s">
        <v>74</v>
      </c>
      <c r="P149" t="s">
        <v>74</v>
      </c>
      <c r="Q149" t="s">
        <v>74</v>
      </c>
      <c r="R149" t="s">
        <v>74</v>
      </c>
      <c r="S149" t="s">
        <v>74</v>
      </c>
      <c r="T149" t="s">
        <v>3208</v>
      </c>
      <c r="U149" t="s">
        <v>3209</v>
      </c>
      <c r="V149" t="s">
        <v>3210</v>
      </c>
      <c r="W149" t="s">
        <v>3211</v>
      </c>
      <c r="X149" t="s">
        <v>3212</v>
      </c>
      <c r="Y149" t="s">
        <v>3213</v>
      </c>
      <c r="Z149" t="s">
        <v>3214</v>
      </c>
      <c r="AA149" t="s">
        <v>3215</v>
      </c>
      <c r="AB149" t="s">
        <v>3216</v>
      </c>
      <c r="AC149" t="s">
        <v>3217</v>
      </c>
      <c r="AD149" t="s">
        <v>3218</v>
      </c>
      <c r="AE149" t="s">
        <v>3219</v>
      </c>
      <c r="AF149" t="s">
        <v>74</v>
      </c>
      <c r="AG149">
        <v>34</v>
      </c>
      <c r="AH149">
        <v>16</v>
      </c>
      <c r="AI149">
        <v>17</v>
      </c>
      <c r="AJ149">
        <v>0</v>
      </c>
      <c r="AK149">
        <v>5</v>
      </c>
      <c r="AL149" t="s">
        <v>1319</v>
      </c>
      <c r="AM149" t="s">
        <v>704</v>
      </c>
      <c r="AN149" t="s">
        <v>1320</v>
      </c>
      <c r="AO149" t="s">
        <v>3198</v>
      </c>
      <c r="AP149" t="s">
        <v>3199</v>
      </c>
      <c r="AQ149" t="s">
        <v>74</v>
      </c>
      <c r="AR149" t="s">
        <v>3200</v>
      </c>
      <c r="AS149" t="s">
        <v>3201</v>
      </c>
      <c r="AT149" t="s">
        <v>3104</v>
      </c>
      <c r="AU149">
        <v>2018</v>
      </c>
      <c r="AV149">
        <v>376</v>
      </c>
      <c r="AW149">
        <v>2129</v>
      </c>
      <c r="AX149" t="s">
        <v>74</v>
      </c>
      <c r="AY149" t="s">
        <v>74</v>
      </c>
      <c r="AZ149" t="s">
        <v>74</v>
      </c>
      <c r="BA149" t="s">
        <v>74</v>
      </c>
      <c r="BB149" t="s">
        <v>74</v>
      </c>
      <c r="BC149" t="s">
        <v>74</v>
      </c>
      <c r="BD149">
        <v>20170334</v>
      </c>
      <c r="BE149" t="s">
        <v>3220</v>
      </c>
      <c r="BF149" t="str">
        <f>HYPERLINK("http://dx.doi.org/10.1098/rsta.2017.0334","http://dx.doi.org/10.1098/rsta.2017.0334")</f>
        <v>http://dx.doi.org/10.1098/rsta.2017.0334</v>
      </c>
      <c r="BG149" t="s">
        <v>74</v>
      </c>
      <c r="BH149" t="s">
        <v>74</v>
      </c>
      <c r="BI149">
        <v>19</v>
      </c>
      <c r="BJ149" t="s">
        <v>436</v>
      </c>
      <c r="BK149" t="s">
        <v>101</v>
      </c>
      <c r="BL149" t="s">
        <v>437</v>
      </c>
      <c r="BM149" t="s">
        <v>3203</v>
      </c>
      <c r="BN149">
        <v>30126908</v>
      </c>
      <c r="BO149" t="s">
        <v>3221</v>
      </c>
      <c r="BP149" t="s">
        <v>74</v>
      </c>
      <c r="BQ149" t="s">
        <v>74</v>
      </c>
      <c r="BR149" t="s">
        <v>104</v>
      </c>
      <c r="BS149" t="s">
        <v>3222</v>
      </c>
      <c r="BT149" t="str">
        <f>HYPERLINK("https%3A%2F%2Fwww.webofscience.com%2Fwos%2Fwoscc%2Ffull-record%2FWOS:000442108500002","View Full Record in Web of Science")</f>
        <v>View Full Record in Web of Science</v>
      </c>
    </row>
    <row r="150" spans="1:72" x14ac:dyDescent="0.15">
      <c r="A150" t="s">
        <v>72</v>
      </c>
      <c r="B150" t="s">
        <v>3223</v>
      </c>
      <c r="C150" t="s">
        <v>74</v>
      </c>
      <c r="D150" t="s">
        <v>74</v>
      </c>
      <c r="E150" t="s">
        <v>74</v>
      </c>
      <c r="F150" t="s">
        <v>3224</v>
      </c>
      <c r="G150" t="s">
        <v>74</v>
      </c>
      <c r="H150" t="s">
        <v>74</v>
      </c>
      <c r="I150" t="s">
        <v>3225</v>
      </c>
      <c r="J150" t="s">
        <v>3226</v>
      </c>
      <c r="K150" t="s">
        <v>74</v>
      </c>
      <c r="L150" t="s">
        <v>74</v>
      </c>
      <c r="M150" t="s">
        <v>78</v>
      </c>
      <c r="N150" t="s">
        <v>79</v>
      </c>
      <c r="O150" t="s">
        <v>74</v>
      </c>
      <c r="P150" t="s">
        <v>74</v>
      </c>
      <c r="Q150" t="s">
        <v>74</v>
      </c>
      <c r="R150" t="s">
        <v>74</v>
      </c>
      <c r="S150" t="s">
        <v>74</v>
      </c>
      <c r="T150" t="s">
        <v>3227</v>
      </c>
      <c r="U150" t="s">
        <v>3228</v>
      </c>
      <c r="V150" t="s">
        <v>3229</v>
      </c>
      <c r="W150" t="s">
        <v>3230</v>
      </c>
      <c r="X150" t="s">
        <v>3231</v>
      </c>
      <c r="Y150" t="s">
        <v>3232</v>
      </c>
      <c r="Z150" t="s">
        <v>3233</v>
      </c>
      <c r="AA150" t="s">
        <v>3234</v>
      </c>
      <c r="AB150" t="s">
        <v>3235</v>
      </c>
      <c r="AC150" t="s">
        <v>3236</v>
      </c>
      <c r="AD150" t="s">
        <v>3237</v>
      </c>
      <c r="AE150" t="s">
        <v>3238</v>
      </c>
      <c r="AF150" t="s">
        <v>74</v>
      </c>
      <c r="AG150">
        <v>46</v>
      </c>
      <c r="AH150">
        <v>12</v>
      </c>
      <c r="AI150">
        <v>12</v>
      </c>
      <c r="AJ150">
        <v>1</v>
      </c>
      <c r="AK150">
        <v>12</v>
      </c>
      <c r="AL150" t="s">
        <v>503</v>
      </c>
      <c r="AM150" t="s">
        <v>504</v>
      </c>
      <c r="AN150" t="s">
        <v>505</v>
      </c>
      <c r="AO150" t="s">
        <v>3239</v>
      </c>
      <c r="AP150" t="s">
        <v>3240</v>
      </c>
      <c r="AQ150" t="s">
        <v>74</v>
      </c>
      <c r="AR150" t="s">
        <v>3241</v>
      </c>
      <c r="AS150" t="s">
        <v>3242</v>
      </c>
      <c r="AT150" t="s">
        <v>3243</v>
      </c>
      <c r="AU150">
        <v>2018</v>
      </c>
      <c r="AV150">
        <v>123</v>
      </c>
      <c r="AW150">
        <v>18</v>
      </c>
      <c r="AX150" t="s">
        <v>74</v>
      </c>
      <c r="AY150" t="s">
        <v>74</v>
      </c>
      <c r="AZ150" t="s">
        <v>74</v>
      </c>
      <c r="BA150" t="s">
        <v>74</v>
      </c>
      <c r="BB150">
        <v>9980</v>
      </c>
      <c r="BC150">
        <v>9991</v>
      </c>
      <c r="BD150" t="s">
        <v>74</v>
      </c>
      <c r="BE150" t="s">
        <v>3244</v>
      </c>
      <c r="BF150" t="str">
        <f>HYPERLINK("http://dx.doi.org/10.1029/2018JD028319","http://dx.doi.org/10.1029/2018JD028319")</f>
        <v>http://dx.doi.org/10.1029/2018JD028319</v>
      </c>
      <c r="BG150" t="s">
        <v>74</v>
      </c>
      <c r="BH150" t="s">
        <v>74</v>
      </c>
      <c r="BI150">
        <v>12</v>
      </c>
      <c r="BJ150" t="s">
        <v>369</v>
      </c>
      <c r="BK150" t="s">
        <v>101</v>
      </c>
      <c r="BL150" t="s">
        <v>369</v>
      </c>
      <c r="BM150" t="s">
        <v>3245</v>
      </c>
      <c r="BN150" t="s">
        <v>74</v>
      </c>
      <c r="BO150" t="s">
        <v>835</v>
      </c>
      <c r="BP150" t="s">
        <v>74</v>
      </c>
      <c r="BQ150" t="s">
        <v>74</v>
      </c>
      <c r="BR150" t="s">
        <v>104</v>
      </c>
      <c r="BS150" t="s">
        <v>3246</v>
      </c>
      <c r="BT150" t="str">
        <f>HYPERLINK("https%3A%2F%2Fwww.webofscience.com%2Fwos%2Fwoscc%2Ffull-record%2FWOS:000447807300043","View Full Record in Web of Science")</f>
        <v>View Full Record in Web of Science</v>
      </c>
    </row>
    <row r="151" spans="1:72" x14ac:dyDescent="0.15">
      <c r="A151" t="s">
        <v>72</v>
      </c>
      <c r="B151" t="s">
        <v>3247</v>
      </c>
      <c r="C151" t="s">
        <v>74</v>
      </c>
      <c r="D151" t="s">
        <v>74</v>
      </c>
      <c r="E151" t="s">
        <v>74</v>
      </c>
      <c r="F151" t="s">
        <v>3248</v>
      </c>
      <c r="G151" t="s">
        <v>74</v>
      </c>
      <c r="H151" t="s">
        <v>74</v>
      </c>
      <c r="I151" t="s">
        <v>3249</v>
      </c>
      <c r="J151" t="s">
        <v>3226</v>
      </c>
      <c r="K151" t="s">
        <v>74</v>
      </c>
      <c r="L151" t="s">
        <v>74</v>
      </c>
      <c r="M151" t="s">
        <v>78</v>
      </c>
      <c r="N151" t="s">
        <v>79</v>
      </c>
      <c r="O151" t="s">
        <v>74</v>
      </c>
      <c r="P151" t="s">
        <v>74</v>
      </c>
      <c r="Q151" t="s">
        <v>74</v>
      </c>
      <c r="R151" t="s">
        <v>74</v>
      </c>
      <c r="S151" t="s">
        <v>74</v>
      </c>
      <c r="T151" t="s">
        <v>3250</v>
      </c>
      <c r="U151" t="s">
        <v>3251</v>
      </c>
      <c r="V151" t="s">
        <v>3252</v>
      </c>
      <c r="W151" t="s">
        <v>3253</v>
      </c>
      <c r="X151" t="s">
        <v>3254</v>
      </c>
      <c r="Y151" t="s">
        <v>3255</v>
      </c>
      <c r="Z151" t="s">
        <v>3256</v>
      </c>
      <c r="AA151" t="s">
        <v>3257</v>
      </c>
      <c r="AB151" t="s">
        <v>3258</v>
      </c>
      <c r="AC151" t="s">
        <v>3259</v>
      </c>
      <c r="AD151" t="s">
        <v>3260</v>
      </c>
      <c r="AE151" t="s">
        <v>3261</v>
      </c>
      <c r="AF151" t="s">
        <v>74</v>
      </c>
      <c r="AG151">
        <v>104</v>
      </c>
      <c r="AH151">
        <v>26</v>
      </c>
      <c r="AI151">
        <v>29</v>
      </c>
      <c r="AJ151">
        <v>0</v>
      </c>
      <c r="AK151">
        <v>6</v>
      </c>
      <c r="AL151" t="s">
        <v>503</v>
      </c>
      <c r="AM151" t="s">
        <v>504</v>
      </c>
      <c r="AN151" t="s">
        <v>505</v>
      </c>
      <c r="AO151" t="s">
        <v>3239</v>
      </c>
      <c r="AP151" t="s">
        <v>3240</v>
      </c>
      <c r="AQ151" t="s">
        <v>74</v>
      </c>
      <c r="AR151" t="s">
        <v>3241</v>
      </c>
      <c r="AS151" t="s">
        <v>3242</v>
      </c>
      <c r="AT151" t="s">
        <v>3243</v>
      </c>
      <c r="AU151">
        <v>2018</v>
      </c>
      <c r="AV151">
        <v>123</v>
      </c>
      <c r="AW151">
        <v>18</v>
      </c>
      <c r="AX151" t="s">
        <v>74</v>
      </c>
      <c r="AY151" t="s">
        <v>74</v>
      </c>
      <c r="AZ151" t="s">
        <v>74</v>
      </c>
      <c r="BA151" t="s">
        <v>74</v>
      </c>
      <c r="BB151">
        <v>9992</v>
      </c>
      <c r="BC151">
        <v>10022</v>
      </c>
      <c r="BD151" t="s">
        <v>74</v>
      </c>
      <c r="BE151" t="s">
        <v>3262</v>
      </c>
      <c r="BF151" t="str">
        <f>HYPERLINK("http://dx.doi.org/10.1029/2017JD028250","http://dx.doi.org/10.1029/2017JD028250")</f>
        <v>http://dx.doi.org/10.1029/2017JD028250</v>
      </c>
      <c r="BG151" t="s">
        <v>74</v>
      </c>
      <c r="BH151" t="s">
        <v>74</v>
      </c>
      <c r="BI151">
        <v>31</v>
      </c>
      <c r="BJ151" t="s">
        <v>369</v>
      </c>
      <c r="BK151" t="s">
        <v>101</v>
      </c>
      <c r="BL151" t="s">
        <v>369</v>
      </c>
      <c r="BM151" t="s">
        <v>3245</v>
      </c>
      <c r="BN151" t="s">
        <v>74</v>
      </c>
      <c r="BO151" t="s">
        <v>3263</v>
      </c>
      <c r="BP151" t="s">
        <v>74</v>
      </c>
      <c r="BQ151" t="s">
        <v>74</v>
      </c>
      <c r="BR151" t="s">
        <v>104</v>
      </c>
      <c r="BS151" t="s">
        <v>3264</v>
      </c>
      <c r="BT151" t="str">
        <f>HYPERLINK("https%3A%2F%2Fwww.webofscience.com%2Fwos%2Fwoscc%2Ffull-record%2FWOS:000447807300044","View Full Record in Web of Science")</f>
        <v>View Full Record in Web of Science</v>
      </c>
    </row>
    <row r="152" spans="1:72" x14ac:dyDescent="0.15">
      <c r="A152" t="s">
        <v>72</v>
      </c>
      <c r="B152" t="s">
        <v>3265</v>
      </c>
      <c r="C152" t="s">
        <v>74</v>
      </c>
      <c r="D152" t="s">
        <v>74</v>
      </c>
      <c r="E152" t="s">
        <v>74</v>
      </c>
      <c r="F152" t="s">
        <v>3266</v>
      </c>
      <c r="G152" t="s">
        <v>74</v>
      </c>
      <c r="H152" t="s">
        <v>74</v>
      </c>
      <c r="I152" t="s">
        <v>3267</v>
      </c>
      <c r="J152" t="s">
        <v>3268</v>
      </c>
      <c r="K152" t="s">
        <v>74</v>
      </c>
      <c r="L152" t="s">
        <v>74</v>
      </c>
      <c r="M152" t="s">
        <v>78</v>
      </c>
      <c r="N152" t="s">
        <v>79</v>
      </c>
      <c r="O152" t="s">
        <v>74</v>
      </c>
      <c r="P152" t="s">
        <v>74</v>
      </c>
      <c r="Q152" t="s">
        <v>74</v>
      </c>
      <c r="R152" t="s">
        <v>74</v>
      </c>
      <c r="S152" t="s">
        <v>74</v>
      </c>
      <c r="T152" t="s">
        <v>74</v>
      </c>
      <c r="U152" t="s">
        <v>3269</v>
      </c>
      <c r="V152" t="s">
        <v>3270</v>
      </c>
      <c r="W152" t="s">
        <v>3271</v>
      </c>
      <c r="X152" t="s">
        <v>3272</v>
      </c>
      <c r="Y152" t="s">
        <v>3273</v>
      </c>
      <c r="Z152" t="s">
        <v>3274</v>
      </c>
      <c r="AA152" t="s">
        <v>3275</v>
      </c>
      <c r="AB152" t="s">
        <v>3276</v>
      </c>
      <c r="AC152" t="s">
        <v>3277</v>
      </c>
      <c r="AD152" t="s">
        <v>3278</v>
      </c>
      <c r="AE152" t="s">
        <v>3279</v>
      </c>
      <c r="AF152" t="s">
        <v>74</v>
      </c>
      <c r="AG152">
        <v>70</v>
      </c>
      <c r="AH152">
        <v>20</v>
      </c>
      <c r="AI152">
        <v>21</v>
      </c>
      <c r="AJ152">
        <v>1</v>
      </c>
      <c r="AK152">
        <v>11</v>
      </c>
      <c r="AL152" t="s">
        <v>1159</v>
      </c>
      <c r="AM152" t="s">
        <v>704</v>
      </c>
      <c r="AN152" t="s">
        <v>2728</v>
      </c>
      <c r="AO152" t="s">
        <v>3280</v>
      </c>
      <c r="AP152" t="s">
        <v>74</v>
      </c>
      <c r="AQ152" t="s">
        <v>74</v>
      </c>
      <c r="AR152" t="s">
        <v>3281</v>
      </c>
      <c r="AS152" t="s">
        <v>3282</v>
      </c>
      <c r="AT152" t="s">
        <v>3243</v>
      </c>
      <c r="AU152">
        <v>2018</v>
      </c>
      <c r="AV152">
        <v>9</v>
      </c>
      <c r="AW152" t="s">
        <v>74</v>
      </c>
      <c r="AX152" t="s">
        <v>74</v>
      </c>
      <c r="AY152" t="s">
        <v>74</v>
      </c>
      <c r="AZ152" t="s">
        <v>74</v>
      </c>
      <c r="BA152" t="s">
        <v>74</v>
      </c>
      <c r="BB152" t="s">
        <v>74</v>
      </c>
      <c r="BC152" t="s">
        <v>74</v>
      </c>
      <c r="BD152">
        <v>3959</v>
      </c>
      <c r="BE152" t="s">
        <v>3283</v>
      </c>
      <c r="BF152" t="str">
        <f>HYPERLINK("http://dx.doi.org/10.1038/s41467-018-06252-8","http://dx.doi.org/10.1038/s41467-018-06252-8")</f>
        <v>http://dx.doi.org/10.1038/s41467-018-06252-8</v>
      </c>
      <c r="BG152" t="s">
        <v>74</v>
      </c>
      <c r="BH152" t="s">
        <v>74</v>
      </c>
      <c r="BI152">
        <v>10</v>
      </c>
      <c r="BJ152" t="s">
        <v>436</v>
      </c>
      <c r="BK152" t="s">
        <v>101</v>
      </c>
      <c r="BL152" t="s">
        <v>437</v>
      </c>
      <c r="BM152" t="s">
        <v>3284</v>
      </c>
      <c r="BN152">
        <v>30262866</v>
      </c>
      <c r="BO152" t="s">
        <v>439</v>
      </c>
      <c r="BP152" t="s">
        <v>74</v>
      </c>
      <c r="BQ152" t="s">
        <v>74</v>
      </c>
      <c r="BR152" t="s">
        <v>104</v>
      </c>
      <c r="BS152" t="s">
        <v>3285</v>
      </c>
      <c r="BT152" t="str">
        <f>HYPERLINK("https%3A%2F%2Fwww.webofscience.com%2Fwos%2Fwoscc%2Ffull-record%2FWOS:000445819400010","View Full Record in Web of Science")</f>
        <v>View Full Record in Web of Science</v>
      </c>
    </row>
    <row r="153" spans="1:72" x14ac:dyDescent="0.15">
      <c r="A153" t="s">
        <v>72</v>
      </c>
      <c r="B153" t="s">
        <v>3286</v>
      </c>
      <c r="C153" t="s">
        <v>74</v>
      </c>
      <c r="D153" t="s">
        <v>74</v>
      </c>
      <c r="E153" t="s">
        <v>74</v>
      </c>
      <c r="F153" t="s">
        <v>3287</v>
      </c>
      <c r="G153" t="s">
        <v>74</v>
      </c>
      <c r="H153" t="s">
        <v>74</v>
      </c>
      <c r="I153" t="s">
        <v>3288</v>
      </c>
      <c r="J153" t="s">
        <v>3289</v>
      </c>
      <c r="K153" t="s">
        <v>74</v>
      </c>
      <c r="L153" t="s">
        <v>74</v>
      </c>
      <c r="M153" t="s">
        <v>78</v>
      </c>
      <c r="N153" t="s">
        <v>79</v>
      </c>
      <c r="O153" t="s">
        <v>74</v>
      </c>
      <c r="P153" t="s">
        <v>74</v>
      </c>
      <c r="Q153" t="s">
        <v>74</v>
      </c>
      <c r="R153" t="s">
        <v>74</v>
      </c>
      <c r="S153" t="s">
        <v>74</v>
      </c>
      <c r="T153" t="s">
        <v>3290</v>
      </c>
      <c r="U153" t="s">
        <v>3291</v>
      </c>
      <c r="V153" t="s">
        <v>3292</v>
      </c>
      <c r="W153" t="s">
        <v>3293</v>
      </c>
      <c r="X153" t="s">
        <v>3294</v>
      </c>
      <c r="Y153" t="s">
        <v>3295</v>
      </c>
      <c r="Z153" t="s">
        <v>3296</v>
      </c>
      <c r="AA153" t="s">
        <v>74</v>
      </c>
      <c r="AB153" t="s">
        <v>3297</v>
      </c>
      <c r="AC153" t="s">
        <v>3298</v>
      </c>
      <c r="AD153" t="s">
        <v>3299</v>
      </c>
      <c r="AE153" t="s">
        <v>3300</v>
      </c>
      <c r="AF153" t="s">
        <v>74</v>
      </c>
      <c r="AG153">
        <v>25</v>
      </c>
      <c r="AH153">
        <v>6</v>
      </c>
      <c r="AI153">
        <v>7</v>
      </c>
      <c r="AJ153">
        <v>0</v>
      </c>
      <c r="AK153">
        <v>8</v>
      </c>
      <c r="AL153" t="s">
        <v>2705</v>
      </c>
      <c r="AM153" t="s">
        <v>2706</v>
      </c>
      <c r="AN153" t="s">
        <v>2707</v>
      </c>
      <c r="AO153" t="s">
        <v>3301</v>
      </c>
      <c r="AP153" t="s">
        <v>3302</v>
      </c>
      <c r="AQ153" t="s">
        <v>74</v>
      </c>
      <c r="AR153" t="s">
        <v>3303</v>
      </c>
      <c r="AS153" t="s">
        <v>3304</v>
      </c>
      <c r="AT153" t="s">
        <v>3305</v>
      </c>
      <c r="AU153">
        <v>2018</v>
      </c>
      <c r="AV153">
        <v>504</v>
      </c>
      <c r="AW153">
        <v>1</v>
      </c>
      <c r="AX153" t="s">
        <v>74</v>
      </c>
      <c r="AY153" t="s">
        <v>74</v>
      </c>
      <c r="AZ153" t="s">
        <v>74</v>
      </c>
      <c r="BA153" t="s">
        <v>74</v>
      </c>
      <c r="BB153">
        <v>25</v>
      </c>
      <c r="BC153">
        <v>33</v>
      </c>
      <c r="BD153" t="s">
        <v>74</v>
      </c>
      <c r="BE153" t="s">
        <v>3306</v>
      </c>
      <c r="BF153" t="str">
        <f>HYPERLINK("http://dx.doi.org/10.1016/j.bbrc.2018.08.103","http://dx.doi.org/10.1016/j.bbrc.2018.08.103")</f>
        <v>http://dx.doi.org/10.1016/j.bbrc.2018.08.103</v>
      </c>
      <c r="BG153" t="s">
        <v>74</v>
      </c>
      <c r="BH153" t="s">
        <v>74</v>
      </c>
      <c r="BI153">
        <v>9</v>
      </c>
      <c r="BJ153" t="s">
        <v>3307</v>
      </c>
      <c r="BK153" t="s">
        <v>101</v>
      </c>
      <c r="BL153" t="s">
        <v>3307</v>
      </c>
      <c r="BM153" t="s">
        <v>3308</v>
      </c>
      <c r="BN153">
        <v>30172374</v>
      </c>
      <c r="BO153" t="s">
        <v>74</v>
      </c>
      <c r="BP153" t="s">
        <v>74</v>
      </c>
      <c r="BQ153" t="s">
        <v>74</v>
      </c>
      <c r="BR153" t="s">
        <v>104</v>
      </c>
      <c r="BS153" t="s">
        <v>3309</v>
      </c>
      <c r="BT153" t="str">
        <f>HYPERLINK("https%3A%2F%2Fwww.webofscience.com%2Fwos%2Fwoscc%2Ffull-record%2FWOS:000446794100005","View Full Record in Web of Science")</f>
        <v>View Full Record in Web of Science</v>
      </c>
    </row>
    <row r="154" spans="1:72" x14ac:dyDescent="0.15">
      <c r="A154" t="s">
        <v>72</v>
      </c>
      <c r="B154" t="s">
        <v>3310</v>
      </c>
      <c r="C154" t="s">
        <v>74</v>
      </c>
      <c r="D154" t="s">
        <v>74</v>
      </c>
      <c r="E154" t="s">
        <v>74</v>
      </c>
      <c r="F154" t="s">
        <v>3311</v>
      </c>
      <c r="G154" t="s">
        <v>74</v>
      </c>
      <c r="H154" t="s">
        <v>74</v>
      </c>
      <c r="I154" t="s">
        <v>3312</v>
      </c>
      <c r="J154" t="s">
        <v>3313</v>
      </c>
      <c r="K154" t="s">
        <v>74</v>
      </c>
      <c r="L154" t="s">
        <v>74</v>
      </c>
      <c r="M154" t="s">
        <v>78</v>
      </c>
      <c r="N154" t="s">
        <v>79</v>
      </c>
      <c r="O154" t="s">
        <v>74</v>
      </c>
      <c r="P154" t="s">
        <v>74</v>
      </c>
      <c r="Q154" t="s">
        <v>74</v>
      </c>
      <c r="R154" t="s">
        <v>74</v>
      </c>
      <c r="S154" t="s">
        <v>74</v>
      </c>
      <c r="T154" t="s">
        <v>3314</v>
      </c>
      <c r="U154" t="s">
        <v>3315</v>
      </c>
      <c r="V154" t="s">
        <v>3316</v>
      </c>
      <c r="W154" t="s">
        <v>3317</v>
      </c>
      <c r="X154" t="s">
        <v>3318</v>
      </c>
      <c r="Y154" t="s">
        <v>3319</v>
      </c>
      <c r="Z154" t="s">
        <v>3320</v>
      </c>
      <c r="AA154" t="s">
        <v>3321</v>
      </c>
      <c r="AB154" t="s">
        <v>3322</v>
      </c>
      <c r="AC154" t="s">
        <v>3323</v>
      </c>
      <c r="AD154" t="s">
        <v>3324</v>
      </c>
      <c r="AE154" t="s">
        <v>3325</v>
      </c>
      <c r="AF154" t="s">
        <v>74</v>
      </c>
      <c r="AG154">
        <v>27</v>
      </c>
      <c r="AH154">
        <v>0</v>
      </c>
      <c r="AI154">
        <v>0</v>
      </c>
      <c r="AJ154">
        <v>0</v>
      </c>
      <c r="AK154">
        <v>8</v>
      </c>
      <c r="AL154" t="s">
        <v>3326</v>
      </c>
      <c r="AM154" t="s">
        <v>3327</v>
      </c>
      <c r="AN154" t="s">
        <v>3328</v>
      </c>
      <c r="AO154" t="s">
        <v>3329</v>
      </c>
      <c r="AP154" t="s">
        <v>3330</v>
      </c>
      <c r="AQ154" t="s">
        <v>74</v>
      </c>
      <c r="AR154" t="s">
        <v>3331</v>
      </c>
      <c r="AS154" t="s">
        <v>3332</v>
      </c>
      <c r="AT154" t="s">
        <v>3305</v>
      </c>
      <c r="AU154">
        <v>2018</v>
      </c>
      <c r="AV154">
        <v>37</v>
      </c>
      <c r="AW154">
        <v>1</v>
      </c>
      <c r="AX154" t="s">
        <v>74</v>
      </c>
      <c r="AY154" t="s">
        <v>74</v>
      </c>
      <c r="AZ154" t="s">
        <v>74</v>
      </c>
      <c r="BA154" t="s">
        <v>74</v>
      </c>
      <c r="BB154" t="s">
        <v>74</v>
      </c>
      <c r="BC154" t="s">
        <v>74</v>
      </c>
      <c r="BD154">
        <v>1500267</v>
      </c>
      <c r="BE154" t="s">
        <v>3333</v>
      </c>
      <c r="BF154" t="str">
        <f>HYPERLINK("http://dx.doi.org/10.1080/17518369.2018.1500267","http://dx.doi.org/10.1080/17518369.2018.1500267")</f>
        <v>http://dx.doi.org/10.1080/17518369.2018.1500267</v>
      </c>
      <c r="BG154" t="s">
        <v>74</v>
      </c>
      <c r="BH154" t="s">
        <v>74</v>
      </c>
      <c r="BI154">
        <v>4</v>
      </c>
      <c r="BJ154" t="s">
        <v>3334</v>
      </c>
      <c r="BK154" t="s">
        <v>101</v>
      </c>
      <c r="BL154" t="s">
        <v>3335</v>
      </c>
      <c r="BM154" t="s">
        <v>3336</v>
      </c>
      <c r="BN154" t="s">
        <v>74</v>
      </c>
      <c r="BO154" t="s">
        <v>1584</v>
      </c>
      <c r="BP154" t="s">
        <v>74</v>
      </c>
      <c r="BQ154" t="s">
        <v>74</v>
      </c>
      <c r="BR154" t="s">
        <v>104</v>
      </c>
      <c r="BS154" t="s">
        <v>3337</v>
      </c>
      <c r="BT154" t="str">
        <f>HYPERLINK("https%3A%2F%2Fwww.webofscience.com%2Fwos%2Fwoscc%2Ffull-record%2FWOS:000445653800001","View Full Record in Web of Science")</f>
        <v>View Full Record in Web of Science</v>
      </c>
    </row>
    <row r="155" spans="1:72" x14ac:dyDescent="0.15">
      <c r="A155" t="s">
        <v>72</v>
      </c>
      <c r="B155" t="s">
        <v>3338</v>
      </c>
      <c r="C155" t="s">
        <v>74</v>
      </c>
      <c r="D155" t="s">
        <v>74</v>
      </c>
      <c r="E155" t="s">
        <v>74</v>
      </c>
      <c r="F155" t="s">
        <v>3339</v>
      </c>
      <c r="G155" t="s">
        <v>74</v>
      </c>
      <c r="H155" t="s">
        <v>74</v>
      </c>
      <c r="I155" t="s">
        <v>3340</v>
      </c>
      <c r="J155" t="s">
        <v>3341</v>
      </c>
      <c r="K155" t="s">
        <v>74</v>
      </c>
      <c r="L155" t="s">
        <v>74</v>
      </c>
      <c r="M155" t="s">
        <v>78</v>
      </c>
      <c r="N155" t="s">
        <v>79</v>
      </c>
      <c r="O155" t="s">
        <v>74</v>
      </c>
      <c r="P155" t="s">
        <v>74</v>
      </c>
      <c r="Q155" t="s">
        <v>74</v>
      </c>
      <c r="R155" t="s">
        <v>74</v>
      </c>
      <c r="S155" t="s">
        <v>74</v>
      </c>
      <c r="T155" t="s">
        <v>74</v>
      </c>
      <c r="U155" t="s">
        <v>3342</v>
      </c>
      <c r="V155" t="s">
        <v>3343</v>
      </c>
      <c r="W155" t="s">
        <v>3344</v>
      </c>
      <c r="X155" t="s">
        <v>3345</v>
      </c>
      <c r="Y155" t="s">
        <v>3346</v>
      </c>
      <c r="Z155" t="s">
        <v>3347</v>
      </c>
      <c r="AA155" t="s">
        <v>3348</v>
      </c>
      <c r="AB155" t="s">
        <v>3349</v>
      </c>
      <c r="AC155" t="s">
        <v>3350</v>
      </c>
      <c r="AD155" t="s">
        <v>3351</v>
      </c>
      <c r="AE155" t="s">
        <v>3352</v>
      </c>
      <c r="AF155" t="s">
        <v>74</v>
      </c>
      <c r="AG155">
        <v>46</v>
      </c>
      <c r="AH155">
        <v>10</v>
      </c>
      <c r="AI155">
        <v>11</v>
      </c>
      <c r="AJ155">
        <v>1</v>
      </c>
      <c r="AK155">
        <v>8</v>
      </c>
      <c r="AL155" t="s">
        <v>3353</v>
      </c>
      <c r="AM155" t="s">
        <v>3354</v>
      </c>
      <c r="AN155" t="s">
        <v>3355</v>
      </c>
      <c r="AO155" t="s">
        <v>3356</v>
      </c>
      <c r="AP155" t="s">
        <v>3357</v>
      </c>
      <c r="AQ155" t="s">
        <v>74</v>
      </c>
      <c r="AR155" t="s">
        <v>3358</v>
      </c>
      <c r="AS155" t="s">
        <v>3359</v>
      </c>
      <c r="AT155" t="s">
        <v>3305</v>
      </c>
      <c r="AU155">
        <v>2018</v>
      </c>
      <c r="AV155">
        <v>11</v>
      </c>
      <c r="AW155">
        <v>9</v>
      </c>
      <c r="AX155" t="s">
        <v>74</v>
      </c>
      <c r="AY155" t="s">
        <v>74</v>
      </c>
      <c r="AZ155" t="s">
        <v>74</v>
      </c>
      <c r="BA155" t="s">
        <v>74</v>
      </c>
      <c r="BB155">
        <v>3865</v>
      </c>
      <c r="BC155">
        <v>3881</v>
      </c>
      <c r="BD155" t="s">
        <v>74</v>
      </c>
      <c r="BE155" t="s">
        <v>3360</v>
      </c>
      <c r="BF155" t="str">
        <f>HYPERLINK("http://dx.doi.org/10.5194/gmd-11-3865-2018","http://dx.doi.org/10.5194/gmd-11-3865-2018")</f>
        <v>http://dx.doi.org/10.5194/gmd-11-3865-2018</v>
      </c>
      <c r="BG155" t="s">
        <v>74</v>
      </c>
      <c r="BH155" t="s">
        <v>74</v>
      </c>
      <c r="BI155">
        <v>17</v>
      </c>
      <c r="BJ155" t="s">
        <v>182</v>
      </c>
      <c r="BK155" t="s">
        <v>101</v>
      </c>
      <c r="BL155" t="s">
        <v>183</v>
      </c>
      <c r="BM155" t="s">
        <v>3361</v>
      </c>
      <c r="BN155" t="s">
        <v>74</v>
      </c>
      <c r="BO155" t="s">
        <v>1566</v>
      </c>
      <c r="BP155" t="s">
        <v>74</v>
      </c>
      <c r="BQ155" t="s">
        <v>74</v>
      </c>
      <c r="BR155" t="s">
        <v>104</v>
      </c>
      <c r="BS155" t="s">
        <v>3362</v>
      </c>
      <c r="BT155" t="str">
        <f>HYPERLINK("https%3A%2F%2Fwww.webofscience.com%2Fwos%2Fwoscc%2Ffull-record%2FWOS:000445698200002","View Full Record in Web of Science")</f>
        <v>View Full Record in Web of Science</v>
      </c>
    </row>
    <row r="156" spans="1:72" x14ac:dyDescent="0.15">
      <c r="A156" t="s">
        <v>72</v>
      </c>
      <c r="B156" t="s">
        <v>3363</v>
      </c>
      <c r="C156" t="s">
        <v>74</v>
      </c>
      <c r="D156" t="s">
        <v>74</v>
      </c>
      <c r="E156" t="s">
        <v>74</v>
      </c>
      <c r="F156" t="s">
        <v>3364</v>
      </c>
      <c r="G156" t="s">
        <v>74</v>
      </c>
      <c r="H156" t="s">
        <v>74</v>
      </c>
      <c r="I156" t="s">
        <v>3365</v>
      </c>
      <c r="J156" t="s">
        <v>3366</v>
      </c>
      <c r="K156" t="s">
        <v>74</v>
      </c>
      <c r="L156" t="s">
        <v>74</v>
      </c>
      <c r="M156" t="s">
        <v>78</v>
      </c>
      <c r="N156" t="s">
        <v>79</v>
      </c>
      <c r="O156" t="s">
        <v>74</v>
      </c>
      <c r="P156" t="s">
        <v>74</v>
      </c>
      <c r="Q156" t="s">
        <v>74</v>
      </c>
      <c r="R156" t="s">
        <v>74</v>
      </c>
      <c r="S156" t="s">
        <v>74</v>
      </c>
      <c r="T156" t="s">
        <v>74</v>
      </c>
      <c r="U156" t="s">
        <v>3367</v>
      </c>
      <c r="V156" t="s">
        <v>3368</v>
      </c>
      <c r="W156" t="s">
        <v>3369</v>
      </c>
      <c r="X156" t="s">
        <v>3370</v>
      </c>
      <c r="Y156" t="s">
        <v>3371</v>
      </c>
      <c r="Z156" t="s">
        <v>3372</v>
      </c>
      <c r="AA156" t="s">
        <v>74</v>
      </c>
      <c r="AB156" t="s">
        <v>3373</v>
      </c>
      <c r="AC156" t="s">
        <v>3374</v>
      </c>
      <c r="AD156" t="s">
        <v>3375</v>
      </c>
      <c r="AE156" t="s">
        <v>3376</v>
      </c>
      <c r="AF156" t="s">
        <v>74</v>
      </c>
      <c r="AG156">
        <v>47</v>
      </c>
      <c r="AH156">
        <v>1</v>
      </c>
      <c r="AI156">
        <v>1</v>
      </c>
      <c r="AJ156">
        <v>1</v>
      </c>
      <c r="AK156">
        <v>9</v>
      </c>
      <c r="AL156" t="s">
        <v>3353</v>
      </c>
      <c r="AM156" t="s">
        <v>3354</v>
      </c>
      <c r="AN156" t="s">
        <v>3355</v>
      </c>
      <c r="AO156" t="s">
        <v>3377</v>
      </c>
      <c r="AP156" t="s">
        <v>3378</v>
      </c>
      <c r="AQ156" t="s">
        <v>74</v>
      </c>
      <c r="AR156" t="s">
        <v>3366</v>
      </c>
      <c r="AS156" t="s">
        <v>3379</v>
      </c>
      <c r="AT156" t="s">
        <v>3305</v>
      </c>
      <c r="AU156">
        <v>2018</v>
      </c>
      <c r="AV156">
        <v>12</v>
      </c>
      <c r="AW156">
        <v>9</v>
      </c>
      <c r="AX156" t="s">
        <v>74</v>
      </c>
      <c r="AY156" t="s">
        <v>74</v>
      </c>
      <c r="AZ156" t="s">
        <v>74</v>
      </c>
      <c r="BA156" t="s">
        <v>74</v>
      </c>
      <c r="BB156">
        <v>3033</v>
      </c>
      <c r="BC156">
        <v>3044</v>
      </c>
      <c r="BD156" t="s">
        <v>74</v>
      </c>
      <c r="BE156" t="s">
        <v>3380</v>
      </c>
      <c r="BF156" t="str">
        <f>HYPERLINK("http://dx.doi.org/10.5194/tc-12-3033-2018","http://dx.doi.org/10.5194/tc-12-3033-2018")</f>
        <v>http://dx.doi.org/10.5194/tc-12-3033-2018</v>
      </c>
      <c r="BG156" t="s">
        <v>74</v>
      </c>
      <c r="BH156" t="s">
        <v>74</v>
      </c>
      <c r="BI156">
        <v>12</v>
      </c>
      <c r="BJ156" t="s">
        <v>208</v>
      </c>
      <c r="BK156" t="s">
        <v>101</v>
      </c>
      <c r="BL156" t="s">
        <v>209</v>
      </c>
      <c r="BM156" t="s">
        <v>3381</v>
      </c>
      <c r="BN156" t="s">
        <v>74</v>
      </c>
      <c r="BO156" t="s">
        <v>3382</v>
      </c>
      <c r="BP156" t="s">
        <v>74</v>
      </c>
      <c r="BQ156" t="s">
        <v>74</v>
      </c>
      <c r="BR156" t="s">
        <v>104</v>
      </c>
      <c r="BS156" t="s">
        <v>3383</v>
      </c>
      <c r="BT156" t="str">
        <f>HYPERLINK("https%3A%2F%2Fwww.webofscience.com%2Fwos%2Fwoscc%2Ffull-record%2FWOS:000445625900001","View Full Record in Web of Science")</f>
        <v>View Full Record in Web of Science</v>
      </c>
    </row>
    <row r="157" spans="1:72" x14ac:dyDescent="0.15">
      <c r="A157" t="s">
        <v>72</v>
      </c>
      <c r="B157" t="s">
        <v>3384</v>
      </c>
      <c r="C157" t="s">
        <v>74</v>
      </c>
      <c r="D157" t="s">
        <v>74</v>
      </c>
      <c r="E157" t="s">
        <v>74</v>
      </c>
      <c r="F157" t="s">
        <v>3385</v>
      </c>
      <c r="G157" t="s">
        <v>74</v>
      </c>
      <c r="H157" t="s">
        <v>74</v>
      </c>
      <c r="I157" t="s">
        <v>3386</v>
      </c>
      <c r="J157" t="s">
        <v>3387</v>
      </c>
      <c r="K157" t="s">
        <v>74</v>
      </c>
      <c r="L157" t="s">
        <v>74</v>
      </c>
      <c r="M157" t="s">
        <v>78</v>
      </c>
      <c r="N157" t="s">
        <v>79</v>
      </c>
      <c r="O157" t="s">
        <v>74</v>
      </c>
      <c r="P157" t="s">
        <v>74</v>
      </c>
      <c r="Q157" t="s">
        <v>74</v>
      </c>
      <c r="R157" t="s">
        <v>74</v>
      </c>
      <c r="S157" t="s">
        <v>74</v>
      </c>
      <c r="T157" t="s">
        <v>74</v>
      </c>
      <c r="U157" t="s">
        <v>3388</v>
      </c>
      <c r="V157" t="s">
        <v>3389</v>
      </c>
      <c r="W157" t="s">
        <v>3390</v>
      </c>
      <c r="X157" t="s">
        <v>3391</v>
      </c>
      <c r="Y157" t="s">
        <v>3392</v>
      </c>
      <c r="Z157" t="s">
        <v>3393</v>
      </c>
      <c r="AA157" t="s">
        <v>3394</v>
      </c>
      <c r="AB157" t="s">
        <v>3395</v>
      </c>
      <c r="AC157" t="s">
        <v>3396</v>
      </c>
      <c r="AD157" t="s">
        <v>3397</v>
      </c>
      <c r="AE157" t="s">
        <v>3398</v>
      </c>
      <c r="AF157" t="s">
        <v>74</v>
      </c>
      <c r="AG157">
        <v>84</v>
      </c>
      <c r="AH157">
        <v>25</v>
      </c>
      <c r="AI157">
        <v>27</v>
      </c>
      <c r="AJ157">
        <v>2</v>
      </c>
      <c r="AK157">
        <v>8</v>
      </c>
      <c r="AL157" t="s">
        <v>3353</v>
      </c>
      <c r="AM157" t="s">
        <v>3354</v>
      </c>
      <c r="AN157" t="s">
        <v>3355</v>
      </c>
      <c r="AO157" t="s">
        <v>3399</v>
      </c>
      <c r="AP157" t="s">
        <v>3400</v>
      </c>
      <c r="AQ157" t="s">
        <v>74</v>
      </c>
      <c r="AR157" t="s">
        <v>3401</v>
      </c>
      <c r="AS157" t="s">
        <v>3402</v>
      </c>
      <c r="AT157" t="s">
        <v>3403</v>
      </c>
      <c r="AU157">
        <v>2018</v>
      </c>
      <c r="AV157">
        <v>18</v>
      </c>
      <c r="AW157">
        <v>18</v>
      </c>
      <c r="AX157" t="s">
        <v>74</v>
      </c>
      <c r="AY157" t="s">
        <v>74</v>
      </c>
      <c r="AZ157" t="s">
        <v>74</v>
      </c>
      <c r="BA157" t="s">
        <v>74</v>
      </c>
      <c r="BB157">
        <v>13547</v>
      </c>
      <c r="BC157">
        <v>13579</v>
      </c>
      <c r="BD157" t="s">
        <v>74</v>
      </c>
      <c r="BE157" t="s">
        <v>3404</v>
      </c>
      <c r="BF157" t="str">
        <f>HYPERLINK("http://dx.doi.org/10.5194/acp-18-13547-2018","http://dx.doi.org/10.5194/acp-18-13547-2018")</f>
        <v>http://dx.doi.org/10.5194/acp-18-13547-2018</v>
      </c>
      <c r="BG157" t="s">
        <v>74</v>
      </c>
      <c r="BH157" t="s">
        <v>74</v>
      </c>
      <c r="BI157">
        <v>33</v>
      </c>
      <c r="BJ157" t="s">
        <v>317</v>
      </c>
      <c r="BK157" t="s">
        <v>101</v>
      </c>
      <c r="BL157" t="s">
        <v>318</v>
      </c>
      <c r="BM157" t="s">
        <v>3405</v>
      </c>
      <c r="BN157">
        <v>30581457</v>
      </c>
      <c r="BO157" t="s">
        <v>3406</v>
      </c>
      <c r="BP157" t="s">
        <v>74</v>
      </c>
      <c r="BQ157" t="s">
        <v>74</v>
      </c>
      <c r="BR157" t="s">
        <v>104</v>
      </c>
      <c r="BS157" t="s">
        <v>3407</v>
      </c>
      <c r="BT157" t="str">
        <f>HYPERLINK("https%3A%2F%2Fwww.webofscience.com%2Fwos%2Fwoscc%2Ffull-record%2FWOS:000445514600002","View Full Record in Web of Science")</f>
        <v>View Full Record in Web of Science</v>
      </c>
    </row>
    <row r="158" spans="1:72" x14ac:dyDescent="0.15">
      <c r="A158" t="s">
        <v>72</v>
      </c>
      <c r="B158" t="s">
        <v>3408</v>
      </c>
      <c r="C158" t="s">
        <v>74</v>
      </c>
      <c r="D158" t="s">
        <v>74</v>
      </c>
      <c r="E158" t="s">
        <v>74</v>
      </c>
      <c r="F158" t="s">
        <v>3409</v>
      </c>
      <c r="G158" t="s">
        <v>74</v>
      </c>
      <c r="H158" t="s">
        <v>74</v>
      </c>
      <c r="I158" t="s">
        <v>3410</v>
      </c>
      <c r="J158" t="s">
        <v>3411</v>
      </c>
      <c r="K158" t="s">
        <v>74</v>
      </c>
      <c r="L158" t="s">
        <v>74</v>
      </c>
      <c r="M158" t="s">
        <v>78</v>
      </c>
      <c r="N158" t="s">
        <v>79</v>
      </c>
      <c r="O158" t="s">
        <v>74</v>
      </c>
      <c r="P158" t="s">
        <v>74</v>
      </c>
      <c r="Q158" t="s">
        <v>74</v>
      </c>
      <c r="R158" t="s">
        <v>74</v>
      </c>
      <c r="S158" t="s">
        <v>74</v>
      </c>
      <c r="T158" t="s">
        <v>3412</v>
      </c>
      <c r="U158" t="s">
        <v>3413</v>
      </c>
      <c r="V158" t="s">
        <v>3414</v>
      </c>
      <c r="W158" t="s">
        <v>3415</v>
      </c>
      <c r="X158" t="s">
        <v>3416</v>
      </c>
      <c r="Y158" t="s">
        <v>3417</v>
      </c>
      <c r="Z158" t="s">
        <v>3418</v>
      </c>
      <c r="AA158" t="s">
        <v>3419</v>
      </c>
      <c r="AB158" t="s">
        <v>3420</v>
      </c>
      <c r="AC158" t="s">
        <v>3421</v>
      </c>
      <c r="AD158" t="s">
        <v>3422</v>
      </c>
      <c r="AE158" t="s">
        <v>3423</v>
      </c>
      <c r="AF158" t="s">
        <v>74</v>
      </c>
      <c r="AG158">
        <v>42</v>
      </c>
      <c r="AH158">
        <v>10</v>
      </c>
      <c r="AI158">
        <v>10</v>
      </c>
      <c r="AJ158">
        <v>0</v>
      </c>
      <c r="AK158">
        <v>3</v>
      </c>
      <c r="AL158" t="s">
        <v>3326</v>
      </c>
      <c r="AM158" t="s">
        <v>3327</v>
      </c>
      <c r="AN158" t="s">
        <v>3328</v>
      </c>
      <c r="AO158" t="s">
        <v>3424</v>
      </c>
      <c r="AP158" t="s">
        <v>3425</v>
      </c>
      <c r="AQ158" t="s">
        <v>74</v>
      </c>
      <c r="AR158" t="s">
        <v>3426</v>
      </c>
      <c r="AS158" t="s">
        <v>3427</v>
      </c>
      <c r="AT158" t="s">
        <v>3403</v>
      </c>
      <c r="AU158">
        <v>2018</v>
      </c>
      <c r="AV158">
        <v>77</v>
      </c>
      <c r="AW158">
        <v>1</v>
      </c>
      <c r="AX158" t="s">
        <v>74</v>
      </c>
      <c r="AY158" t="s">
        <v>74</v>
      </c>
      <c r="AZ158" t="s">
        <v>74</v>
      </c>
      <c r="BA158" t="s">
        <v>74</v>
      </c>
      <c r="BB158" t="s">
        <v>74</v>
      </c>
      <c r="BC158" t="s">
        <v>74</v>
      </c>
      <c r="BD158">
        <v>1521244</v>
      </c>
      <c r="BE158" t="s">
        <v>3428</v>
      </c>
      <c r="BF158" t="str">
        <f>HYPERLINK("http://dx.doi.org/10.1080/22423982.2018.1521244","http://dx.doi.org/10.1080/22423982.2018.1521244")</f>
        <v>http://dx.doi.org/10.1080/22423982.2018.1521244</v>
      </c>
      <c r="BG158" t="s">
        <v>74</v>
      </c>
      <c r="BH158" t="s">
        <v>74</v>
      </c>
      <c r="BI158">
        <v>12</v>
      </c>
      <c r="BJ158" t="s">
        <v>3429</v>
      </c>
      <c r="BK158" t="s">
        <v>1140</v>
      </c>
      <c r="BL158" t="s">
        <v>3429</v>
      </c>
      <c r="BM158" t="s">
        <v>3430</v>
      </c>
      <c r="BN158">
        <v>30252632</v>
      </c>
      <c r="BO158" t="s">
        <v>1566</v>
      </c>
      <c r="BP158" t="s">
        <v>74</v>
      </c>
      <c r="BQ158" t="s">
        <v>74</v>
      </c>
      <c r="BR158" t="s">
        <v>104</v>
      </c>
      <c r="BS158" t="s">
        <v>3431</v>
      </c>
      <c r="BT158" t="str">
        <f>HYPERLINK("https%3A%2F%2Fwww.webofscience.com%2Fwos%2Fwoscc%2Ffull-record%2FWOS:000445650600001","View Full Record in Web of Science")</f>
        <v>View Full Record in Web of Science</v>
      </c>
    </row>
    <row r="159" spans="1:72" x14ac:dyDescent="0.15">
      <c r="A159" t="s">
        <v>72</v>
      </c>
      <c r="B159" t="s">
        <v>3432</v>
      </c>
      <c r="C159" t="s">
        <v>74</v>
      </c>
      <c r="D159" t="s">
        <v>74</v>
      </c>
      <c r="E159" t="s">
        <v>74</v>
      </c>
      <c r="F159" t="s">
        <v>3433</v>
      </c>
      <c r="G159" t="s">
        <v>74</v>
      </c>
      <c r="H159" t="s">
        <v>74</v>
      </c>
      <c r="I159" t="s">
        <v>3434</v>
      </c>
      <c r="J159" t="s">
        <v>3435</v>
      </c>
      <c r="K159" t="s">
        <v>74</v>
      </c>
      <c r="L159" t="s">
        <v>74</v>
      </c>
      <c r="M159" t="s">
        <v>78</v>
      </c>
      <c r="N159" t="s">
        <v>79</v>
      </c>
      <c r="O159" t="s">
        <v>74</v>
      </c>
      <c r="P159" t="s">
        <v>74</v>
      </c>
      <c r="Q159" t="s">
        <v>74</v>
      </c>
      <c r="R159" t="s">
        <v>74</v>
      </c>
      <c r="S159" t="s">
        <v>74</v>
      </c>
      <c r="T159" t="s">
        <v>3436</v>
      </c>
      <c r="U159" t="s">
        <v>3437</v>
      </c>
      <c r="V159" t="s">
        <v>3438</v>
      </c>
      <c r="W159" t="s">
        <v>3439</v>
      </c>
      <c r="X159" t="s">
        <v>3440</v>
      </c>
      <c r="Y159" t="s">
        <v>3441</v>
      </c>
      <c r="Z159" t="s">
        <v>3442</v>
      </c>
      <c r="AA159" t="s">
        <v>3443</v>
      </c>
      <c r="AB159" t="s">
        <v>3444</v>
      </c>
      <c r="AC159" t="s">
        <v>74</v>
      </c>
      <c r="AD159" t="s">
        <v>74</v>
      </c>
      <c r="AE159" t="s">
        <v>74</v>
      </c>
      <c r="AF159" t="s">
        <v>74</v>
      </c>
      <c r="AG159">
        <v>91</v>
      </c>
      <c r="AH159">
        <v>6</v>
      </c>
      <c r="AI159">
        <v>6</v>
      </c>
      <c r="AJ159">
        <v>1</v>
      </c>
      <c r="AK159">
        <v>6</v>
      </c>
      <c r="AL159" t="s">
        <v>3174</v>
      </c>
      <c r="AM159" t="s">
        <v>3175</v>
      </c>
      <c r="AN159" t="s">
        <v>3176</v>
      </c>
      <c r="AO159" t="s">
        <v>74</v>
      </c>
      <c r="AP159" t="s">
        <v>3445</v>
      </c>
      <c r="AQ159" t="s">
        <v>74</v>
      </c>
      <c r="AR159" t="s">
        <v>3446</v>
      </c>
      <c r="AS159" t="s">
        <v>3447</v>
      </c>
      <c r="AT159" t="s">
        <v>3448</v>
      </c>
      <c r="AU159">
        <v>2018</v>
      </c>
      <c r="AV159">
        <v>5</v>
      </c>
      <c r="AW159" t="s">
        <v>74</v>
      </c>
      <c r="AX159" t="s">
        <v>74</v>
      </c>
      <c r="AY159" t="s">
        <v>74</v>
      </c>
      <c r="AZ159" t="s">
        <v>74</v>
      </c>
      <c r="BA159" t="s">
        <v>74</v>
      </c>
      <c r="BB159" t="s">
        <v>74</v>
      </c>
      <c r="BC159" t="s">
        <v>74</v>
      </c>
      <c r="BD159">
        <v>331</v>
      </c>
      <c r="BE159" t="s">
        <v>3449</v>
      </c>
      <c r="BF159" t="str">
        <f>HYPERLINK("http://dx.doi.org/10.3389/fmars.2018.00331","http://dx.doi.org/10.3389/fmars.2018.00331")</f>
        <v>http://dx.doi.org/10.3389/fmars.2018.00331</v>
      </c>
      <c r="BG159" t="s">
        <v>74</v>
      </c>
      <c r="BH159" t="s">
        <v>74</v>
      </c>
      <c r="BI159">
        <v>14</v>
      </c>
      <c r="BJ159" t="s">
        <v>3450</v>
      </c>
      <c r="BK159" t="s">
        <v>101</v>
      </c>
      <c r="BL159" t="s">
        <v>3451</v>
      </c>
      <c r="BM159" t="s">
        <v>3452</v>
      </c>
      <c r="BN159" t="s">
        <v>74</v>
      </c>
      <c r="BO159" t="s">
        <v>1278</v>
      </c>
      <c r="BP159" t="s">
        <v>74</v>
      </c>
      <c r="BQ159" t="s">
        <v>74</v>
      </c>
      <c r="BR159" t="s">
        <v>104</v>
      </c>
      <c r="BS159" t="s">
        <v>3453</v>
      </c>
      <c r="BT159" t="str">
        <f>HYPERLINK("https%3A%2F%2Fwww.webofscience.com%2Fwos%2Fwoscc%2Ffull-record%2FWOS:000457318500001","View Full Record in Web of Science")</f>
        <v>View Full Record in Web of Science</v>
      </c>
    </row>
    <row r="160" spans="1:72" x14ac:dyDescent="0.15">
      <c r="A160" t="s">
        <v>72</v>
      </c>
      <c r="B160" t="s">
        <v>3454</v>
      </c>
      <c r="C160" t="s">
        <v>74</v>
      </c>
      <c r="D160" t="s">
        <v>74</v>
      </c>
      <c r="E160" t="s">
        <v>74</v>
      </c>
      <c r="F160" t="s">
        <v>3455</v>
      </c>
      <c r="G160" t="s">
        <v>74</v>
      </c>
      <c r="H160" t="s">
        <v>74</v>
      </c>
      <c r="I160" t="s">
        <v>3456</v>
      </c>
      <c r="J160" t="s">
        <v>3313</v>
      </c>
      <c r="K160" t="s">
        <v>74</v>
      </c>
      <c r="L160" t="s">
        <v>74</v>
      </c>
      <c r="M160" t="s">
        <v>78</v>
      </c>
      <c r="N160" t="s">
        <v>79</v>
      </c>
      <c r="O160" t="s">
        <v>74</v>
      </c>
      <c r="P160" t="s">
        <v>74</v>
      </c>
      <c r="Q160" t="s">
        <v>74</v>
      </c>
      <c r="R160" t="s">
        <v>74</v>
      </c>
      <c r="S160" t="s">
        <v>74</v>
      </c>
      <c r="T160" t="s">
        <v>3457</v>
      </c>
      <c r="U160" t="s">
        <v>3458</v>
      </c>
      <c r="V160" t="s">
        <v>3459</v>
      </c>
      <c r="W160" t="s">
        <v>3460</v>
      </c>
      <c r="X160" t="s">
        <v>3461</v>
      </c>
      <c r="Y160" t="s">
        <v>3462</v>
      </c>
      <c r="Z160" t="s">
        <v>3463</v>
      </c>
      <c r="AA160" t="s">
        <v>3464</v>
      </c>
      <c r="AB160" t="s">
        <v>3465</v>
      </c>
      <c r="AC160" t="s">
        <v>3466</v>
      </c>
      <c r="AD160" t="s">
        <v>3467</v>
      </c>
      <c r="AE160" t="s">
        <v>3468</v>
      </c>
      <c r="AF160" t="s">
        <v>74</v>
      </c>
      <c r="AG160">
        <v>42</v>
      </c>
      <c r="AH160">
        <v>9</v>
      </c>
      <c r="AI160">
        <v>9</v>
      </c>
      <c r="AJ160">
        <v>0</v>
      </c>
      <c r="AK160">
        <v>11</v>
      </c>
      <c r="AL160" t="s">
        <v>3326</v>
      </c>
      <c r="AM160" t="s">
        <v>3327</v>
      </c>
      <c r="AN160" t="s">
        <v>3328</v>
      </c>
      <c r="AO160" t="s">
        <v>3329</v>
      </c>
      <c r="AP160" t="s">
        <v>3330</v>
      </c>
      <c r="AQ160" t="s">
        <v>74</v>
      </c>
      <c r="AR160" t="s">
        <v>3331</v>
      </c>
      <c r="AS160" t="s">
        <v>3332</v>
      </c>
      <c r="AT160" t="s">
        <v>3448</v>
      </c>
      <c r="AU160">
        <v>2018</v>
      </c>
      <c r="AV160">
        <v>37</v>
      </c>
      <c r="AW160">
        <v>1</v>
      </c>
      <c r="AX160" t="s">
        <v>74</v>
      </c>
      <c r="AY160" t="s">
        <v>74</v>
      </c>
      <c r="AZ160" t="s">
        <v>74</v>
      </c>
      <c r="BA160" t="s">
        <v>74</v>
      </c>
      <c r="BB160" t="s">
        <v>74</v>
      </c>
      <c r="BC160" t="s">
        <v>74</v>
      </c>
      <c r="BD160">
        <v>1503906</v>
      </c>
      <c r="BE160" t="s">
        <v>3469</v>
      </c>
      <c r="BF160" t="str">
        <f>HYPERLINK("http://dx.doi.org/10.1080/17518369.2018.1503906","http://dx.doi.org/10.1080/17518369.2018.1503906")</f>
        <v>http://dx.doi.org/10.1080/17518369.2018.1503906</v>
      </c>
      <c r="BG160" t="s">
        <v>74</v>
      </c>
      <c r="BH160" t="s">
        <v>74</v>
      </c>
      <c r="BI160">
        <v>13</v>
      </c>
      <c r="BJ160" t="s">
        <v>3334</v>
      </c>
      <c r="BK160" t="s">
        <v>101</v>
      </c>
      <c r="BL160" t="s">
        <v>3335</v>
      </c>
      <c r="BM160" t="s">
        <v>3470</v>
      </c>
      <c r="BN160" t="s">
        <v>74</v>
      </c>
      <c r="BO160" t="s">
        <v>3471</v>
      </c>
      <c r="BP160" t="s">
        <v>74</v>
      </c>
      <c r="BQ160" t="s">
        <v>74</v>
      </c>
      <c r="BR160" t="s">
        <v>104</v>
      </c>
      <c r="BS160" t="s">
        <v>3472</v>
      </c>
      <c r="BT160" t="str">
        <f>HYPERLINK("https%3A%2F%2Fwww.webofscience.com%2Fwos%2Fwoscc%2Ffull-record%2FWOS:000445344000001","View Full Record in Web of Science")</f>
        <v>View Full Record in Web of Science</v>
      </c>
    </row>
    <row r="161" spans="1:72" x14ac:dyDescent="0.15">
      <c r="A161" t="s">
        <v>72</v>
      </c>
      <c r="B161" t="s">
        <v>3473</v>
      </c>
      <c r="C161" t="s">
        <v>74</v>
      </c>
      <c r="D161" t="s">
        <v>74</v>
      </c>
      <c r="E161" t="s">
        <v>74</v>
      </c>
      <c r="F161" t="s">
        <v>3474</v>
      </c>
      <c r="G161" t="s">
        <v>74</v>
      </c>
      <c r="H161" t="s">
        <v>74</v>
      </c>
      <c r="I161" t="s">
        <v>3475</v>
      </c>
      <c r="J161" t="s">
        <v>3476</v>
      </c>
      <c r="K161" t="s">
        <v>74</v>
      </c>
      <c r="L161" t="s">
        <v>74</v>
      </c>
      <c r="M161" t="s">
        <v>78</v>
      </c>
      <c r="N161" t="s">
        <v>79</v>
      </c>
      <c r="O161" t="s">
        <v>74</v>
      </c>
      <c r="P161" t="s">
        <v>74</v>
      </c>
      <c r="Q161" t="s">
        <v>74</v>
      </c>
      <c r="R161" t="s">
        <v>74</v>
      </c>
      <c r="S161" t="s">
        <v>74</v>
      </c>
      <c r="T161" t="s">
        <v>3477</v>
      </c>
      <c r="U161" t="s">
        <v>3478</v>
      </c>
      <c r="V161" t="s">
        <v>3479</v>
      </c>
      <c r="W161" t="s">
        <v>3480</v>
      </c>
      <c r="X161" t="s">
        <v>3481</v>
      </c>
      <c r="Y161" t="s">
        <v>3482</v>
      </c>
      <c r="Z161" t="s">
        <v>3483</v>
      </c>
      <c r="AA161" t="s">
        <v>3484</v>
      </c>
      <c r="AB161" t="s">
        <v>3485</v>
      </c>
      <c r="AC161" t="s">
        <v>3486</v>
      </c>
      <c r="AD161" t="s">
        <v>3487</v>
      </c>
      <c r="AE161" t="s">
        <v>3488</v>
      </c>
      <c r="AF161" t="s">
        <v>74</v>
      </c>
      <c r="AG161">
        <v>59</v>
      </c>
      <c r="AH161">
        <v>15</v>
      </c>
      <c r="AI161">
        <v>16</v>
      </c>
      <c r="AJ161">
        <v>3</v>
      </c>
      <c r="AK161">
        <v>102</v>
      </c>
      <c r="AL161" t="s">
        <v>758</v>
      </c>
      <c r="AM161" t="s">
        <v>759</v>
      </c>
      <c r="AN161" t="s">
        <v>760</v>
      </c>
      <c r="AO161" t="s">
        <v>3489</v>
      </c>
      <c r="AP161" t="s">
        <v>74</v>
      </c>
      <c r="AQ161" t="s">
        <v>74</v>
      </c>
      <c r="AR161" t="s">
        <v>3490</v>
      </c>
      <c r="AS161" t="s">
        <v>3491</v>
      </c>
      <c r="AT161" t="s">
        <v>3492</v>
      </c>
      <c r="AU161">
        <v>2018</v>
      </c>
      <c r="AV161">
        <v>5</v>
      </c>
      <c r="AW161">
        <v>18</v>
      </c>
      <c r="AX161" t="s">
        <v>74</v>
      </c>
      <c r="AY161" t="s">
        <v>74</v>
      </c>
      <c r="AZ161" t="s">
        <v>74</v>
      </c>
      <c r="BA161" t="s">
        <v>74</v>
      </c>
      <c r="BB161" t="s">
        <v>74</v>
      </c>
      <c r="BC161" t="s">
        <v>74</v>
      </c>
      <c r="BD161">
        <v>1800773</v>
      </c>
      <c r="BE161" t="s">
        <v>3493</v>
      </c>
      <c r="BF161" t="str">
        <f>HYPERLINK("http://dx.doi.org/10.1002/admi.201800773","http://dx.doi.org/10.1002/admi.201800773")</f>
        <v>http://dx.doi.org/10.1002/admi.201800773</v>
      </c>
      <c r="BG161" t="s">
        <v>74</v>
      </c>
      <c r="BH161" t="s">
        <v>74</v>
      </c>
      <c r="BI161">
        <v>10</v>
      </c>
      <c r="BJ161" t="s">
        <v>3494</v>
      </c>
      <c r="BK161" t="s">
        <v>101</v>
      </c>
      <c r="BL161" t="s">
        <v>3495</v>
      </c>
      <c r="BM161" t="s">
        <v>3496</v>
      </c>
      <c r="BN161" t="s">
        <v>74</v>
      </c>
      <c r="BO161" t="s">
        <v>2909</v>
      </c>
      <c r="BP161" t="s">
        <v>74</v>
      </c>
      <c r="BQ161" t="s">
        <v>74</v>
      </c>
      <c r="BR161" t="s">
        <v>104</v>
      </c>
      <c r="BS161" t="s">
        <v>3497</v>
      </c>
      <c r="BT161" t="str">
        <f>HYPERLINK("https%3A%2F%2Fwww.webofscience.com%2Fwos%2Fwoscc%2Ffull-record%2FWOS:000445175500028","View Full Record in Web of Science")</f>
        <v>View Full Record in Web of Science</v>
      </c>
    </row>
    <row r="162" spans="1:72" x14ac:dyDescent="0.15">
      <c r="A162" t="s">
        <v>72</v>
      </c>
      <c r="B162" t="s">
        <v>3498</v>
      </c>
      <c r="C162" t="s">
        <v>74</v>
      </c>
      <c r="D162" t="s">
        <v>74</v>
      </c>
      <c r="E162" t="s">
        <v>74</v>
      </c>
      <c r="F162" t="s">
        <v>3499</v>
      </c>
      <c r="G162" t="s">
        <v>74</v>
      </c>
      <c r="H162" t="s">
        <v>74</v>
      </c>
      <c r="I162" t="s">
        <v>3500</v>
      </c>
      <c r="J162" t="s">
        <v>3501</v>
      </c>
      <c r="K162" t="s">
        <v>74</v>
      </c>
      <c r="L162" t="s">
        <v>74</v>
      </c>
      <c r="M162" t="s">
        <v>78</v>
      </c>
      <c r="N162" t="s">
        <v>79</v>
      </c>
      <c r="O162" t="s">
        <v>74</v>
      </c>
      <c r="P162" t="s">
        <v>74</v>
      </c>
      <c r="Q162" t="s">
        <v>74</v>
      </c>
      <c r="R162" t="s">
        <v>74</v>
      </c>
      <c r="S162" t="s">
        <v>74</v>
      </c>
      <c r="T162" t="s">
        <v>3502</v>
      </c>
      <c r="U162" t="s">
        <v>3503</v>
      </c>
      <c r="V162" t="s">
        <v>3504</v>
      </c>
      <c r="W162" t="s">
        <v>3505</v>
      </c>
      <c r="X162" t="s">
        <v>3506</v>
      </c>
      <c r="Y162" t="s">
        <v>3507</v>
      </c>
      <c r="Z162" t="s">
        <v>3508</v>
      </c>
      <c r="AA162" t="s">
        <v>3509</v>
      </c>
      <c r="AB162" t="s">
        <v>3510</v>
      </c>
      <c r="AC162" t="s">
        <v>3511</v>
      </c>
      <c r="AD162" t="s">
        <v>3512</v>
      </c>
      <c r="AE162" t="s">
        <v>3513</v>
      </c>
      <c r="AF162" t="s">
        <v>74</v>
      </c>
      <c r="AG162">
        <v>43</v>
      </c>
      <c r="AH162">
        <v>8</v>
      </c>
      <c r="AI162">
        <v>8</v>
      </c>
      <c r="AJ162">
        <v>0</v>
      </c>
      <c r="AK162">
        <v>15</v>
      </c>
      <c r="AL162" t="s">
        <v>3514</v>
      </c>
      <c r="AM162" t="s">
        <v>704</v>
      </c>
      <c r="AN162" t="s">
        <v>3515</v>
      </c>
      <c r="AO162" t="s">
        <v>3516</v>
      </c>
      <c r="AP162" t="s">
        <v>74</v>
      </c>
      <c r="AQ162" t="s">
        <v>74</v>
      </c>
      <c r="AR162" t="s">
        <v>3517</v>
      </c>
      <c r="AS162" t="s">
        <v>3518</v>
      </c>
      <c r="AT162" t="s">
        <v>3519</v>
      </c>
      <c r="AU162">
        <v>2018</v>
      </c>
      <c r="AV162">
        <v>6</v>
      </c>
      <c r="AW162" t="s">
        <v>74</v>
      </c>
      <c r="AX162" t="s">
        <v>74</v>
      </c>
      <c r="AY162" t="s">
        <v>74</v>
      </c>
      <c r="AZ162" t="s">
        <v>74</v>
      </c>
      <c r="BA162" t="s">
        <v>74</v>
      </c>
      <c r="BB162" t="s">
        <v>74</v>
      </c>
      <c r="BC162" t="s">
        <v>74</v>
      </c>
      <c r="BD162">
        <v>16</v>
      </c>
      <c r="BE162" t="s">
        <v>3520</v>
      </c>
      <c r="BF162" t="str">
        <f>HYPERLINK("http://dx.doi.org/10.1186/s40462-018-0134-4","http://dx.doi.org/10.1186/s40462-018-0134-4")</f>
        <v>http://dx.doi.org/10.1186/s40462-018-0134-4</v>
      </c>
      <c r="BG162" t="s">
        <v>74</v>
      </c>
      <c r="BH162" t="s">
        <v>74</v>
      </c>
      <c r="BI162">
        <v>10</v>
      </c>
      <c r="BJ162" t="s">
        <v>2087</v>
      </c>
      <c r="BK162" t="s">
        <v>101</v>
      </c>
      <c r="BL162" t="s">
        <v>559</v>
      </c>
      <c r="BM162" t="s">
        <v>3521</v>
      </c>
      <c r="BN162">
        <v>30250739</v>
      </c>
      <c r="BO162" t="s">
        <v>1566</v>
      </c>
      <c r="BP162" t="s">
        <v>74</v>
      </c>
      <c r="BQ162" t="s">
        <v>74</v>
      </c>
      <c r="BR162" t="s">
        <v>104</v>
      </c>
      <c r="BS162" t="s">
        <v>3522</v>
      </c>
      <c r="BT162" t="str">
        <f>HYPERLINK("https%3A%2F%2Fwww.webofscience.com%2Fwos%2Fwoscc%2Ffull-record%2FWOS:000445837200001","View Full Record in Web of Science")</f>
        <v>View Full Record in Web of Science</v>
      </c>
    </row>
    <row r="163" spans="1:72" x14ac:dyDescent="0.15">
      <c r="A163" t="s">
        <v>72</v>
      </c>
      <c r="B163" t="s">
        <v>3523</v>
      </c>
      <c r="C163" t="s">
        <v>74</v>
      </c>
      <c r="D163" t="s">
        <v>74</v>
      </c>
      <c r="E163" t="s">
        <v>74</v>
      </c>
      <c r="F163" t="s">
        <v>3524</v>
      </c>
      <c r="G163" t="s">
        <v>74</v>
      </c>
      <c r="H163" t="s">
        <v>74</v>
      </c>
      <c r="I163" t="s">
        <v>3525</v>
      </c>
      <c r="J163" t="s">
        <v>3366</v>
      </c>
      <c r="K163" t="s">
        <v>74</v>
      </c>
      <c r="L163" t="s">
        <v>74</v>
      </c>
      <c r="M163" t="s">
        <v>78</v>
      </c>
      <c r="N163" t="s">
        <v>79</v>
      </c>
      <c r="O163" t="s">
        <v>74</v>
      </c>
      <c r="P163" t="s">
        <v>74</v>
      </c>
      <c r="Q163" t="s">
        <v>74</v>
      </c>
      <c r="R163" t="s">
        <v>74</v>
      </c>
      <c r="S163" t="s">
        <v>74</v>
      </c>
      <c r="T163" t="s">
        <v>74</v>
      </c>
      <c r="U163" t="s">
        <v>3526</v>
      </c>
      <c r="V163" t="s">
        <v>3527</v>
      </c>
      <c r="W163" t="s">
        <v>3528</v>
      </c>
      <c r="X163" t="s">
        <v>3529</v>
      </c>
      <c r="Y163" t="s">
        <v>3530</v>
      </c>
      <c r="Z163" t="s">
        <v>3531</v>
      </c>
      <c r="AA163" t="s">
        <v>3532</v>
      </c>
      <c r="AB163" t="s">
        <v>3533</v>
      </c>
      <c r="AC163" t="s">
        <v>3534</v>
      </c>
      <c r="AD163" t="s">
        <v>3535</v>
      </c>
      <c r="AE163" t="s">
        <v>3536</v>
      </c>
      <c r="AF163" t="s">
        <v>74</v>
      </c>
      <c r="AG163">
        <v>68</v>
      </c>
      <c r="AH163">
        <v>21</v>
      </c>
      <c r="AI163">
        <v>22</v>
      </c>
      <c r="AJ163">
        <v>0</v>
      </c>
      <c r="AK163">
        <v>22</v>
      </c>
      <c r="AL163" t="s">
        <v>3353</v>
      </c>
      <c r="AM163" t="s">
        <v>3354</v>
      </c>
      <c r="AN163" t="s">
        <v>3355</v>
      </c>
      <c r="AO163" t="s">
        <v>3377</v>
      </c>
      <c r="AP163" t="s">
        <v>3378</v>
      </c>
      <c r="AQ163" t="s">
        <v>74</v>
      </c>
      <c r="AR163" t="s">
        <v>3366</v>
      </c>
      <c r="AS163" t="s">
        <v>3379</v>
      </c>
      <c r="AT163" t="s">
        <v>3519</v>
      </c>
      <c r="AU163">
        <v>2018</v>
      </c>
      <c r="AV163">
        <v>12</v>
      </c>
      <c r="AW163">
        <v>9</v>
      </c>
      <c r="AX163" t="s">
        <v>74</v>
      </c>
      <c r="AY163" t="s">
        <v>74</v>
      </c>
      <c r="AZ163" t="s">
        <v>74</v>
      </c>
      <c r="BA163" t="s">
        <v>74</v>
      </c>
      <c r="BB163">
        <v>2955</v>
      </c>
      <c r="BC163">
        <v>2967</v>
      </c>
      <c r="BD163" t="s">
        <v>74</v>
      </c>
      <c r="BE163" t="s">
        <v>3537</v>
      </c>
      <c r="BF163" t="str">
        <f>HYPERLINK("http://dx.doi.org/10.5194/tc-12-2955-2018","http://dx.doi.org/10.5194/tc-12-2955-2018")</f>
        <v>http://dx.doi.org/10.5194/tc-12-2955-2018</v>
      </c>
      <c r="BG163" t="s">
        <v>74</v>
      </c>
      <c r="BH163" t="s">
        <v>74</v>
      </c>
      <c r="BI163">
        <v>13</v>
      </c>
      <c r="BJ163" t="s">
        <v>208</v>
      </c>
      <c r="BK163" t="s">
        <v>101</v>
      </c>
      <c r="BL163" t="s">
        <v>209</v>
      </c>
      <c r="BM163" t="s">
        <v>3538</v>
      </c>
      <c r="BN163" t="s">
        <v>74</v>
      </c>
      <c r="BO163" t="s">
        <v>1524</v>
      </c>
      <c r="BP163" t="s">
        <v>74</v>
      </c>
      <c r="BQ163" t="s">
        <v>74</v>
      </c>
      <c r="BR163" t="s">
        <v>104</v>
      </c>
      <c r="BS163" t="s">
        <v>3539</v>
      </c>
      <c r="BT163" t="str">
        <f>HYPERLINK("https%3A%2F%2Fwww.webofscience.com%2Fwos%2Fwoscc%2Ffull-record%2FWOS:000445095400001","View Full Record in Web of Science")</f>
        <v>View Full Record in Web of Science</v>
      </c>
    </row>
    <row r="164" spans="1:72" x14ac:dyDescent="0.15">
      <c r="A164" t="s">
        <v>72</v>
      </c>
      <c r="B164" t="s">
        <v>3540</v>
      </c>
      <c r="C164" t="s">
        <v>74</v>
      </c>
      <c r="D164" t="s">
        <v>74</v>
      </c>
      <c r="E164" t="s">
        <v>74</v>
      </c>
      <c r="F164" t="s">
        <v>3541</v>
      </c>
      <c r="G164" t="s">
        <v>74</v>
      </c>
      <c r="H164" t="s">
        <v>74</v>
      </c>
      <c r="I164" t="s">
        <v>3542</v>
      </c>
      <c r="J164" t="s">
        <v>3543</v>
      </c>
      <c r="K164" t="s">
        <v>74</v>
      </c>
      <c r="L164" t="s">
        <v>74</v>
      </c>
      <c r="M164" t="s">
        <v>78</v>
      </c>
      <c r="N164" t="s">
        <v>79</v>
      </c>
      <c r="O164" t="s">
        <v>74</v>
      </c>
      <c r="P164" t="s">
        <v>74</v>
      </c>
      <c r="Q164" t="s">
        <v>74</v>
      </c>
      <c r="R164" t="s">
        <v>74</v>
      </c>
      <c r="S164" t="s">
        <v>74</v>
      </c>
      <c r="T164" t="s">
        <v>74</v>
      </c>
      <c r="U164" t="s">
        <v>3544</v>
      </c>
      <c r="V164" t="s">
        <v>3545</v>
      </c>
      <c r="W164" t="s">
        <v>3546</v>
      </c>
      <c r="X164" t="s">
        <v>3547</v>
      </c>
      <c r="Y164" t="s">
        <v>3548</v>
      </c>
      <c r="Z164" t="s">
        <v>3549</v>
      </c>
      <c r="AA164" t="s">
        <v>3550</v>
      </c>
      <c r="AB164" t="s">
        <v>3551</v>
      </c>
      <c r="AC164" t="s">
        <v>3552</v>
      </c>
      <c r="AD164" t="s">
        <v>3553</v>
      </c>
      <c r="AE164" t="s">
        <v>3554</v>
      </c>
      <c r="AF164" t="s">
        <v>74</v>
      </c>
      <c r="AG164">
        <v>72</v>
      </c>
      <c r="AH164">
        <v>68</v>
      </c>
      <c r="AI164">
        <v>79</v>
      </c>
      <c r="AJ164">
        <v>2</v>
      </c>
      <c r="AK164">
        <v>53</v>
      </c>
      <c r="AL164" t="s">
        <v>3555</v>
      </c>
      <c r="AM164" t="s">
        <v>1131</v>
      </c>
      <c r="AN164" t="s">
        <v>1132</v>
      </c>
      <c r="AO164" t="s">
        <v>3556</v>
      </c>
      <c r="AP164" t="s">
        <v>3557</v>
      </c>
      <c r="AQ164" t="s">
        <v>74</v>
      </c>
      <c r="AR164" t="s">
        <v>3543</v>
      </c>
      <c r="AS164" t="s">
        <v>3558</v>
      </c>
      <c r="AT164" t="s">
        <v>3519</v>
      </c>
      <c r="AU164">
        <v>2018</v>
      </c>
      <c r="AV164">
        <v>561</v>
      </c>
      <c r="AW164">
        <v>7723</v>
      </c>
      <c r="AX164" t="s">
        <v>74</v>
      </c>
      <c r="AY164" t="s">
        <v>74</v>
      </c>
      <c r="AZ164" t="s">
        <v>74</v>
      </c>
      <c r="BA164" t="s">
        <v>74</v>
      </c>
      <c r="BB164">
        <v>383</v>
      </c>
      <c r="BC164" t="s">
        <v>1137</v>
      </c>
      <c r="BD164" t="s">
        <v>74</v>
      </c>
      <c r="BE164" t="s">
        <v>3559</v>
      </c>
      <c r="BF164" t="str">
        <f>HYPERLINK("http://dx.doi.org/10.1038/s41586-018-0501-8","http://dx.doi.org/10.1038/s41586-018-0501-8")</f>
        <v>http://dx.doi.org/10.1038/s41586-018-0501-8</v>
      </c>
      <c r="BG164" t="s">
        <v>74</v>
      </c>
      <c r="BH164" t="s">
        <v>74</v>
      </c>
      <c r="BI164">
        <v>10</v>
      </c>
      <c r="BJ164" t="s">
        <v>436</v>
      </c>
      <c r="BK164" t="s">
        <v>101</v>
      </c>
      <c r="BL164" t="s">
        <v>437</v>
      </c>
      <c r="BM164" t="s">
        <v>3560</v>
      </c>
      <c r="BN164">
        <v>30232420</v>
      </c>
      <c r="BO164" t="s">
        <v>1142</v>
      </c>
      <c r="BP164" t="s">
        <v>74</v>
      </c>
      <c r="BQ164" t="s">
        <v>74</v>
      </c>
      <c r="BR164" t="s">
        <v>104</v>
      </c>
      <c r="BS164" t="s">
        <v>3561</v>
      </c>
      <c r="BT164" t="str">
        <f>HYPERLINK("https%3A%2F%2Fwww.webofscience.com%2Fwos%2Fwoscc%2Ffull-record%2FWOS:000445011500052","View Full Record in Web of Science")</f>
        <v>View Full Record in Web of Science</v>
      </c>
    </row>
    <row r="165" spans="1:72" x14ac:dyDescent="0.15">
      <c r="A165" t="s">
        <v>72</v>
      </c>
      <c r="B165" t="s">
        <v>3562</v>
      </c>
      <c r="C165" t="s">
        <v>74</v>
      </c>
      <c r="D165" t="s">
        <v>74</v>
      </c>
      <c r="E165" t="s">
        <v>74</v>
      </c>
      <c r="F165" t="s">
        <v>3563</v>
      </c>
      <c r="G165" t="s">
        <v>74</v>
      </c>
      <c r="H165" t="s">
        <v>74</v>
      </c>
      <c r="I165" t="s">
        <v>3564</v>
      </c>
      <c r="J165" t="s">
        <v>3565</v>
      </c>
      <c r="K165" t="s">
        <v>74</v>
      </c>
      <c r="L165" t="s">
        <v>74</v>
      </c>
      <c r="M165" t="s">
        <v>78</v>
      </c>
      <c r="N165" t="s">
        <v>79</v>
      </c>
      <c r="O165" t="s">
        <v>74</v>
      </c>
      <c r="P165" t="s">
        <v>74</v>
      </c>
      <c r="Q165" t="s">
        <v>74</v>
      </c>
      <c r="R165" t="s">
        <v>74</v>
      </c>
      <c r="S165" t="s">
        <v>74</v>
      </c>
      <c r="T165" t="s">
        <v>3566</v>
      </c>
      <c r="U165" t="s">
        <v>3567</v>
      </c>
      <c r="V165" t="s">
        <v>3568</v>
      </c>
      <c r="W165" t="s">
        <v>3569</v>
      </c>
      <c r="X165" t="s">
        <v>3570</v>
      </c>
      <c r="Y165" t="s">
        <v>3571</v>
      </c>
      <c r="Z165" t="s">
        <v>3572</v>
      </c>
      <c r="AA165" t="s">
        <v>3573</v>
      </c>
      <c r="AB165" t="s">
        <v>3574</v>
      </c>
      <c r="AC165" t="s">
        <v>3575</v>
      </c>
      <c r="AD165" t="s">
        <v>3576</v>
      </c>
      <c r="AE165" t="s">
        <v>3577</v>
      </c>
      <c r="AF165" t="s">
        <v>74</v>
      </c>
      <c r="AG165">
        <v>60</v>
      </c>
      <c r="AH165">
        <v>35</v>
      </c>
      <c r="AI165">
        <v>36</v>
      </c>
      <c r="AJ165">
        <v>2</v>
      </c>
      <c r="AK165">
        <v>22</v>
      </c>
      <c r="AL165" t="s">
        <v>3514</v>
      </c>
      <c r="AM165" t="s">
        <v>704</v>
      </c>
      <c r="AN165" t="s">
        <v>3515</v>
      </c>
      <c r="AO165" t="s">
        <v>3578</v>
      </c>
      <c r="AP165" t="s">
        <v>74</v>
      </c>
      <c r="AQ165" t="s">
        <v>74</v>
      </c>
      <c r="AR165" t="s">
        <v>3579</v>
      </c>
      <c r="AS165" t="s">
        <v>3580</v>
      </c>
      <c r="AT165" t="s">
        <v>3581</v>
      </c>
      <c r="AU165">
        <v>2018</v>
      </c>
      <c r="AV165">
        <v>18</v>
      </c>
      <c r="AW165" t="s">
        <v>74</v>
      </c>
      <c r="AX165" t="s">
        <v>74</v>
      </c>
      <c r="AY165" t="s">
        <v>74</v>
      </c>
      <c r="AZ165" t="s">
        <v>74</v>
      </c>
      <c r="BA165" t="s">
        <v>74</v>
      </c>
      <c r="BB165" t="s">
        <v>74</v>
      </c>
      <c r="BC165" t="s">
        <v>74</v>
      </c>
      <c r="BD165">
        <v>143</v>
      </c>
      <c r="BE165" t="s">
        <v>3582</v>
      </c>
      <c r="BF165" t="str">
        <f>HYPERLINK("http://dx.doi.org/10.1186/s12862-018-1254-6","http://dx.doi.org/10.1186/s12862-018-1254-6")</f>
        <v>http://dx.doi.org/10.1186/s12862-018-1254-6</v>
      </c>
      <c r="BG165" t="s">
        <v>74</v>
      </c>
      <c r="BH165" t="s">
        <v>74</v>
      </c>
      <c r="BI165">
        <v>16</v>
      </c>
      <c r="BJ165" t="s">
        <v>100</v>
      </c>
      <c r="BK165" t="s">
        <v>101</v>
      </c>
      <c r="BL165" t="s">
        <v>100</v>
      </c>
      <c r="BM165" t="s">
        <v>3583</v>
      </c>
      <c r="BN165">
        <v>30231868</v>
      </c>
      <c r="BO165" t="s">
        <v>1566</v>
      </c>
      <c r="BP165" t="s">
        <v>74</v>
      </c>
      <c r="BQ165" t="s">
        <v>74</v>
      </c>
      <c r="BR165" t="s">
        <v>104</v>
      </c>
      <c r="BS165" t="s">
        <v>3584</v>
      </c>
      <c r="BT165" t="str">
        <f>HYPERLINK("https%3A%2F%2Fwww.webofscience.com%2Fwos%2Fwoscc%2Ffull-record%2FWOS:000444934400003","View Full Record in Web of Science")</f>
        <v>View Full Record in Web of Science</v>
      </c>
    </row>
    <row r="166" spans="1:72" x14ac:dyDescent="0.15">
      <c r="A166" t="s">
        <v>72</v>
      </c>
      <c r="B166" t="s">
        <v>3585</v>
      </c>
      <c r="C166" t="s">
        <v>74</v>
      </c>
      <c r="D166" t="s">
        <v>74</v>
      </c>
      <c r="E166" t="s">
        <v>74</v>
      </c>
      <c r="F166" t="s">
        <v>3586</v>
      </c>
      <c r="G166" t="s">
        <v>74</v>
      </c>
      <c r="H166" t="s">
        <v>74</v>
      </c>
      <c r="I166" t="s">
        <v>3587</v>
      </c>
      <c r="J166" t="s">
        <v>3588</v>
      </c>
      <c r="K166" t="s">
        <v>74</v>
      </c>
      <c r="L166" t="s">
        <v>74</v>
      </c>
      <c r="M166" t="s">
        <v>78</v>
      </c>
      <c r="N166" t="s">
        <v>79</v>
      </c>
      <c r="O166" t="s">
        <v>74</v>
      </c>
      <c r="P166" t="s">
        <v>74</v>
      </c>
      <c r="Q166" t="s">
        <v>74</v>
      </c>
      <c r="R166" t="s">
        <v>74</v>
      </c>
      <c r="S166" t="s">
        <v>74</v>
      </c>
      <c r="T166" t="s">
        <v>74</v>
      </c>
      <c r="U166" t="s">
        <v>3589</v>
      </c>
      <c r="V166" t="s">
        <v>3590</v>
      </c>
      <c r="W166" t="s">
        <v>3591</v>
      </c>
      <c r="X166" t="s">
        <v>3592</v>
      </c>
      <c r="Y166" t="s">
        <v>3593</v>
      </c>
      <c r="Z166" t="s">
        <v>3594</v>
      </c>
      <c r="AA166" t="s">
        <v>3595</v>
      </c>
      <c r="AB166" t="s">
        <v>3596</v>
      </c>
      <c r="AC166" t="s">
        <v>3597</v>
      </c>
      <c r="AD166" t="s">
        <v>3597</v>
      </c>
      <c r="AE166" t="s">
        <v>3598</v>
      </c>
      <c r="AF166" t="s">
        <v>74</v>
      </c>
      <c r="AG166">
        <v>61</v>
      </c>
      <c r="AH166">
        <v>7</v>
      </c>
      <c r="AI166">
        <v>8</v>
      </c>
      <c r="AJ166">
        <v>1</v>
      </c>
      <c r="AK166">
        <v>6</v>
      </c>
      <c r="AL166" t="s">
        <v>3599</v>
      </c>
      <c r="AM166" t="s">
        <v>3600</v>
      </c>
      <c r="AN166" t="s">
        <v>3601</v>
      </c>
      <c r="AO166" t="s">
        <v>3602</v>
      </c>
      <c r="AP166" t="s">
        <v>74</v>
      </c>
      <c r="AQ166" t="s">
        <v>74</v>
      </c>
      <c r="AR166" t="s">
        <v>3588</v>
      </c>
      <c r="AS166" t="s">
        <v>3603</v>
      </c>
      <c r="AT166" t="s">
        <v>3604</v>
      </c>
      <c r="AU166">
        <v>2018</v>
      </c>
      <c r="AV166">
        <v>13</v>
      </c>
      <c r="AW166">
        <v>9</v>
      </c>
      <c r="AX166" t="s">
        <v>74</v>
      </c>
      <c r="AY166" t="s">
        <v>74</v>
      </c>
      <c r="AZ166" t="s">
        <v>74</v>
      </c>
      <c r="BA166" t="s">
        <v>74</v>
      </c>
      <c r="BB166" t="s">
        <v>74</v>
      </c>
      <c r="BC166" t="s">
        <v>74</v>
      </c>
      <c r="BD166" t="s">
        <v>3605</v>
      </c>
      <c r="BE166" t="s">
        <v>3606</v>
      </c>
      <c r="BF166" t="str">
        <f>HYPERLINK("http://dx.doi.org/10.1371/journal.pone.0203827","http://dx.doi.org/10.1371/journal.pone.0203827")</f>
        <v>http://dx.doi.org/10.1371/journal.pone.0203827</v>
      </c>
      <c r="BG166" t="s">
        <v>74</v>
      </c>
      <c r="BH166" t="s">
        <v>74</v>
      </c>
      <c r="BI166">
        <v>14</v>
      </c>
      <c r="BJ166" t="s">
        <v>436</v>
      </c>
      <c r="BK166" t="s">
        <v>101</v>
      </c>
      <c r="BL166" t="s">
        <v>437</v>
      </c>
      <c r="BM166" t="s">
        <v>3607</v>
      </c>
      <c r="BN166">
        <v>30226871</v>
      </c>
      <c r="BO166" t="s">
        <v>1063</v>
      </c>
      <c r="BP166" t="s">
        <v>74</v>
      </c>
      <c r="BQ166" t="s">
        <v>74</v>
      </c>
      <c r="BR166" t="s">
        <v>104</v>
      </c>
      <c r="BS166" t="s">
        <v>3608</v>
      </c>
      <c r="BT166" t="str">
        <f>HYPERLINK("https%3A%2F%2Fwww.webofscience.com%2Fwos%2Fwoscc%2Ffull-record%2FWOS:000444918300024","View Full Record in Web of Science")</f>
        <v>View Full Record in Web of Science</v>
      </c>
    </row>
    <row r="167" spans="1:72" x14ac:dyDescent="0.15">
      <c r="A167" t="s">
        <v>72</v>
      </c>
      <c r="B167" t="s">
        <v>3609</v>
      </c>
      <c r="C167" t="s">
        <v>74</v>
      </c>
      <c r="D167" t="s">
        <v>74</v>
      </c>
      <c r="E167" t="s">
        <v>74</v>
      </c>
      <c r="F167" t="s">
        <v>3610</v>
      </c>
      <c r="G167" t="s">
        <v>74</v>
      </c>
      <c r="H167" t="s">
        <v>74</v>
      </c>
      <c r="I167" t="s">
        <v>3611</v>
      </c>
      <c r="J167" t="s">
        <v>3341</v>
      </c>
      <c r="K167" t="s">
        <v>74</v>
      </c>
      <c r="L167" t="s">
        <v>74</v>
      </c>
      <c r="M167" t="s">
        <v>78</v>
      </c>
      <c r="N167" t="s">
        <v>79</v>
      </c>
      <c r="O167" t="s">
        <v>74</v>
      </c>
      <c r="P167" t="s">
        <v>74</v>
      </c>
      <c r="Q167" t="s">
        <v>74</v>
      </c>
      <c r="R167" t="s">
        <v>74</v>
      </c>
      <c r="S167" t="s">
        <v>74</v>
      </c>
      <c r="T167" t="s">
        <v>74</v>
      </c>
      <c r="U167" t="s">
        <v>3612</v>
      </c>
      <c r="V167" t="s">
        <v>3613</v>
      </c>
      <c r="W167" t="s">
        <v>3614</v>
      </c>
      <c r="X167" t="s">
        <v>3615</v>
      </c>
      <c r="Y167" t="s">
        <v>3616</v>
      </c>
      <c r="Z167" t="s">
        <v>3617</v>
      </c>
      <c r="AA167" t="s">
        <v>3618</v>
      </c>
      <c r="AB167" t="s">
        <v>74</v>
      </c>
      <c r="AC167" t="s">
        <v>3619</v>
      </c>
      <c r="AD167" t="s">
        <v>3620</v>
      </c>
      <c r="AE167" t="s">
        <v>3621</v>
      </c>
      <c r="AF167" t="s">
        <v>74</v>
      </c>
      <c r="AG167">
        <v>120</v>
      </c>
      <c r="AH167">
        <v>41</v>
      </c>
      <c r="AI167">
        <v>45</v>
      </c>
      <c r="AJ167">
        <v>0</v>
      </c>
      <c r="AK167">
        <v>5</v>
      </c>
      <c r="AL167" t="s">
        <v>3353</v>
      </c>
      <c r="AM167" t="s">
        <v>3354</v>
      </c>
      <c r="AN167" t="s">
        <v>3355</v>
      </c>
      <c r="AO167" t="s">
        <v>3356</v>
      </c>
      <c r="AP167" t="s">
        <v>3357</v>
      </c>
      <c r="AQ167" t="s">
        <v>74</v>
      </c>
      <c r="AR167" t="s">
        <v>3358</v>
      </c>
      <c r="AS167" t="s">
        <v>3359</v>
      </c>
      <c r="AT167" t="s">
        <v>3604</v>
      </c>
      <c r="AU167">
        <v>2018</v>
      </c>
      <c r="AV167">
        <v>11</v>
      </c>
      <c r="AW167">
        <v>9</v>
      </c>
      <c r="AX167" t="s">
        <v>74</v>
      </c>
      <c r="AY167" t="s">
        <v>74</v>
      </c>
      <c r="AZ167" t="s">
        <v>74</v>
      </c>
      <c r="BA167" t="s">
        <v>74</v>
      </c>
      <c r="BB167">
        <v>3747</v>
      </c>
      <c r="BC167">
        <v>3780</v>
      </c>
      <c r="BD167" t="s">
        <v>74</v>
      </c>
      <c r="BE167" t="s">
        <v>3622</v>
      </c>
      <c r="BF167" t="str">
        <f>HYPERLINK("http://dx.doi.org/10.5194/gmd-11-3747-2018","http://dx.doi.org/10.5194/gmd-11-3747-2018")</f>
        <v>http://dx.doi.org/10.5194/gmd-11-3747-2018</v>
      </c>
      <c r="BG167" t="s">
        <v>74</v>
      </c>
      <c r="BH167" t="s">
        <v>74</v>
      </c>
      <c r="BI167">
        <v>34</v>
      </c>
      <c r="BJ167" t="s">
        <v>182</v>
      </c>
      <c r="BK167" t="s">
        <v>101</v>
      </c>
      <c r="BL167" t="s">
        <v>183</v>
      </c>
      <c r="BM167" t="s">
        <v>3623</v>
      </c>
      <c r="BN167" t="s">
        <v>74</v>
      </c>
      <c r="BO167" t="s">
        <v>1524</v>
      </c>
      <c r="BP167" t="s">
        <v>74</v>
      </c>
      <c r="BQ167" t="s">
        <v>74</v>
      </c>
      <c r="BR167" t="s">
        <v>104</v>
      </c>
      <c r="BS167" t="s">
        <v>3624</v>
      </c>
      <c r="BT167" t="str">
        <f>HYPERLINK("https%3A%2F%2Fwww.webofscience.com%2Fwos%2Fwoscc%2Ffull-record%2FWOS:000445039700001","View Full Record in Web of Science")</f>
        <v>View Full Record in Web of Science</v>
      </c>
    </row>
    <row r="168" spans="1:72" x14ac:dyDescent="0.15">
      <c r="A168" t="s">
        <v>72</v>
      </c>
      <c r="B168" t="s">
        <v>3625</v>
      </c>
      <c r="C168" t="s">
        <v>74</v>
      </c>
      <c r="D168" t="s">
        <v>74</v>
      </c>
      <c r="E168" t="s">
        <v>74</v>
      </c>
      <c r="F168" t="s">
        <v>3626</v>
      </c>
      <c r="G168" t="s">
        <v>74</v>
      </c>
      <c r="H168" t="s">
        <v>74</v>
      </c>
      <c r="I168" t="s">
        <v>3627</v>
      </c>
      <c r="J168" t="s">
        <v>3628</v>
      </c>
      <c r="K168" t="s">
        <v>74</v>
      </c>
      <c r="L168" t="s">
        <v>74</v>
      </c>
      <c r="M168" t="s">
        <v>78</v>
      </c>
      <c r="N168" t="s">
        <v>79</v>
      </c>
      <c r="O168" t="s">
        <v>74</v>
      </c>
      <c r="P168" t="s">
        <v>74</v>
      </c>
      <c r="Q168" t="s">
        <v>74</v>
      </c>
      <c r="R168" t="s">
        <v>74</v>
      </c>
      <c r="S168" t="s">
        <v>74</v>
      </c>
      <c r="T168" t="s">
        <v>3629</v>
      </c>
      <c r="U168" t="s">
        <v>3630</v>
      </c>
      <c r="V168" t="s">
        <v>3631</v>
      </c>
      <c r="W168" t="s">
        <v>3632</v>
      </c>
      <c r="X168" t="s">
        <v>3633</v>
      </c>
      <c r="Y168" t="s">
        <v>3634</v>
      </c>
      <c r="Z168" t="s">
        <v>3635</v>
      </c>
      <c r="AA168" t="s">
        <v>3636</v>
      </c>
      <c r="AB168" t="s">
        <v>3637</v>
      </c>
      <c r="AC168" t="s">
        <v>3638</v>
      </c>
      <c r="AD168" t="s">
        <v>3639</v>
      </c>
      <c r="AE168" t="s">
        <v>3640</v>
      </c>
      <c r="AF168" t="s">
        <v>74</v>
      </c>
      <c r="AG168">
        <v>84</v>
      </c>
      <c r="AH168">
        <v>21</v>
      </c>
      <c r="AI168">
        <v>22</v>
      </c>
      <c r="AJ168">
        <v>3</v>
      </c>
      <c r="AK168">
        <v>36</v>
      </c>
      <c r="AL168" t="s">
        <v>3641</v>
      </c>
      <c r="AM168" t="s">
        <v>3642</v>
      </c>
      <c r="AN168" t="s">
        <v>3643</v>
      </c>
      <c r="AO168" t="s">
        <v>3644</v>
      </c>
      <c r="AP168" t="s">
        <v>3645</v>
      </c>
      <c r="AQ168" t="s">
        <v>74</v>
      </c>
      <c r="AR168" t="s">
        <v>3646</v>
      </c>
      <c r="AS168" t="s">
        <v>3647</v>
      </c>
      <c r="AT168" t="s">
        <v>3648</v>
      </c>
      <c r="AU168">
        <v>2018</v>
      </c>
      <c r="AV168">
        <v>603</v>
      </c>
      <c r="AW168" t="s">
        <v>74</v>
      </c>
      <c r="AX168" t="s">
        <v>74</v>
      </c>
      <c r="AY168" t="s">
        <v>74</v>
      </c>
      <c r="AZ168" t="s">
        <v>74</v>
      </c>
      <c r="BA168" t="s">
        <v>74</v>
      </c>
      <c r="BB168">
        <v>47</v>
      </c>
      <c r="BC168">
        <v>60</v>
      </c>
      <c r="BD168" t="s">
        <v>74</v>
      </c>
      <c r="BE168" t="s">
        <v>3649</v>
      </c>
      <c r="BF168" t="str">
        <f>HYPERLINK("http://dx.doi.org/10.3354/meps12717","http://dx.doi.org/10.3354/meps12717")</f>
        <v>http://dx.doi.org/10.3354/meps12717</v>
      </c>
      <c r="BG168" t="s">
        <v>74</v>
      </c>
      <c r="BH168" t="s">
        <v>74</v>
      </c>
      <c r="BI168">
        <v>14</v>
      </c>
      <c r="BJ168" t="s">
        <v>3650</v>
      </c>
      <c r="BK168" t="s">
        <v>101</v>
      </c>
      <c r="BL168" t="s">
        <v>3651</v>
      </c>
      <c r="BM168" t="s">
        <v>3652</v>
      </c>
      <c r="BN168" t="s">
        <v>74</v>
      </c>
      <c r="BO168" t="s">
        <v>74</v>
      </c>
      <c r="BP168" t="s">
        <v>74</v>
      </c>
      <c r="BQ168" t="s">
        <v>74</v>
      </c>
      <c r="BR168" t="s">
        <v>104</v>
      </c>
      <c r="BS168" t="s">
        <v>3653</v>
      </c>
      <c r="BT168" t="str">
        <f>HYPERLINK("https%3A%2F%2Fwww.webofscience.com%2Fwos%2Fwoscc%2Ffull-record%2FWOS:000446469100004","View Full Record in Web of Science")</f>
        <v>View Full Record in Web of Science</v>
      </c>
    </row>
    <row r="169" spans="1:72" x14ac:dyDescent="0.15">
      <c r="A169" t="s">
        <v>72</v>
      </c>
      <c r="B169" t="s">
        <v>3654</v>
      </c>
      <c r="C169" t="s">
        <v>74</v>
      </c>
      <c r="D169" t="s">
        <v>74</v>
      </c>
      <c r="E169" t="s">
        <v>74</v>
      </c>
      <c r="F169" t="s">
        <v>3655</v>
      </c>
      <c r="G169" t="s">
        <v>74</v>
      </c>
      <c r="H169" t="s">
        <v>74</v>
      </c>
      <c r="I169" t="s">
        <v>3656</v>
      </c>
      <c r="J169" t="s">
        <v>3628</v>
      </c>
      <c r="K169" t="s">
        <v>74</v>
      </c>
      <c r="L169" t="s">
        <v>74</v>
      </c>
      <c r="M169" t="s">
        <v>78</v>
      </c>
      <c r="N169" t="s">
        <v>79</v>
      </c>
      <c r="O169" t="s">
        <v>74</v>
      </c>
      <c r="P169" t="s">
        <v>74</v>
      </c>
      <c r="Q169" t="s">
        <v>74</v>
      </c>
      <c r="R169" t="s">
        <v>74</v>
      </c>
      <c r="S169" t="s">
        <v>74</v>
      </c>
      <c r="T169" t="s">
        <v>3657</v>
      </c>
      <c r="U169" t="s">
        <v>3658</v>
      </c>
      <c r="V169" t="s">
        <v>3659</v>
      </c>
      <c r="W169" t="s">
        <v>3660</v>
      </c>
      <c r="X169" t="s">
        <v>3661</v>
      </c>
      <c r="Y169" t="s">
        <v>3662</v>
      </c>
      <c r="Z169" t="s">
        <v>3663</v>
      </c>
      <c r="AA169" t="s">
        <v>3664</v>
      </c>
      <c r="AB169" t="s">
        <v>3665</v>
      </c>
      <c r="AC169" t="s">
        <v>3666</v>
      </c>
      <c r="AD169" t="s">
        <v>3666</v>
      </c>
      <c r="AE169" t="s">
        <v>3667</v>
      </c>
      <c r="AF169" t="s">
        <v>74</v>
      </c>
      <c r="AG169">
        <v>56</v>
      </c>
      <c r="AH169">
        <v>5</v>
      </c>
      <c r="AI169">
        <v>6</v>
      </c>
      <c r="AJ169">
        <v>1</v>
      </c>
      <c r="AK169">
        <v>14</v>
      </c>
      <c r="AL169" t="s">
        <v>3641</v>
      </c>
      <c r="AM169" t="s">
        <v>3642</v>
      </c>
      <c r="AN169" t="s">
        <v>3643</v>
      </c>
      <c r="AO169" t="s">
        <v>3644</v>
      </c>
      <c r="AP169" t="s">
        <v>3645</v>
      </c>
      <c r="AQ169" t="s">
        <v>74</v>
      </c>
      <c r="AR169" t="s">
        <v>3646</v>
      </c>
      <c r="AS169" t="s">
        <v>3647</v>
      </c>
      <c r="AT169" t="s">
        <v>3648</v>
      </c>
      <c r="AU169">
        <v>2018</v>
      </c>
      <c r="AV169">
        <v>603</v>
      </c>
      <c r="AW169" t="s">
        <v>74</v>
      </c>
      <c r="AX169" t="s">
        <v>74</v>
      </c>
      <c r="AY169" t="s">
        <v>74</v>
      </c>
      <c r="AZ169" t="s">
        <v>74</v>
      </c>
      <c r="BA169" t="s">
        <v>74</v>
      </c>
      <c r="BB169">
        <v>215</v>
      </c>
      <c r="BC169">
        <v>226</v>
      </c>
      <c r="BD169" t="s">
        <v>74</v>
      </c>
      <c r="BE169" t="s">
        <v>3668</v>
      </c>
      <c r="BF169" t="str">
        <f>HYPERLINK("http://dx.doi.org/10.3354/meps12720","http://dx.doi.org/10.3354/meps12720")</f>
        <v>http://dx.doi.org/10.3354/meps12720</v>
      </c>
      <c r="BG169" t="s">
        <v>74</v>
      </c>
      <c r="BH169" t="s">
        <v>74</v>
      </c>
      <c r="BI169">
        <v>12</v>
      </c>
      <c r="BJ169" t="s">
        <v>3650</v>
      </c>
      <c r="BK169" t="s">
        <v>101</v>
      </c>
      <c r="BL169" t="s">
        <v>3651</v>
      </c>
      <c r="BM169" t="s">
        <v>3652</v>
      </c>
      <c r="BN169" t="s">
        <v>74</v>
      </c>
      <c r="BO169" t="s">
        <v>211</v>
      </c>
      <c r="BP169" t="s">
        <v>74</v>
      </c>
      <c r="BQ169" t="s">
        <v>74</v>
      </c>
      <c r="BR169" t="s">
        <v>104</v>
      </c>
      <c r="BS169" t="s">
        <v>3669</v>
      </c>
      <c r="BT169" t="str">
        <f>HYPERLINK("https%3A%2F%2Fwww.webofscience.com%2Fwos%2Fwoscc%2Ffull-record%2FWOS:000446469100016","View Full Record in Web of Science")</f>
        <v>View Full Record in Web of Science</v>
      </c>
    </row>
    <row r="170" spans="1:72" x14ac:dyDescent="0.15">
      <c r="A170" t="s">
        <v>72</v>
      </c>
      <c r="B170" t="s">
        <v>3670</v>
      </c>
      <c r="C170" t="s">
        <v>74</v>
      </c>
      <c r="D170" t="s">
        <v>74</v>
      </c>
      <c r="E170" t="s">
        <v>74</v>
      </c>
      <c r="F170" t="s">
        <v>3671</v>
      </c>
      <c r="G170" t="s">
        <v>74</v>
      </c>
      <c r="H170" t="s">
        <v>74</v>
      </c>
      <c r="I170" t="s">
        <v>3672</v>
      </c>
      <c r="J170" t="s">
        <v>3628</v>
      </c>
      <c r="K170" t="s">
        <v>74</v>
      </c>
      <c r="L170" t="s">
        <v>74</v>
      </c>
      <c r="M170" t="s">
        <v>78</v>
      </c>
      <c r="N170" t="s">
        <v>79</v>
      </c>
      <c r="O170" t="s">
        <v>74</v>
      </c>
      <c r="P170" t="s">
        <v>74</v>
      </c>
      <c r="Q170" t="s">
        <v>74</v>
      </c>
      <c r="R170" t="s">
        <v>74</v>
      </c>
      <c r="S170" t="s">
        <v>74</v>
      </c>
      <c r="T170" t="s">
        <v>3673</v>
      </c>
      <c r="U170" t="s">
        <v>3674</v>
      </c>
      <c r="V170" t="s">
        <v>3675</v>
      </c>
      <c r="W170" t="s">
        <v>3676</v>
      </c>
      <c r="X170" t="s">
        <v>3677</v>
      </c>
      <c r="Y170" t="s">
        <v>3678</v>
      </c>
      <c r="Z170" t="s">
        <v>3679</v>
      </c>
      <c r="AA170" t="s">
        <v>3680</v>
      </c>
      <c r="AB170" t="s">
        <v>3681</v>
      </c>
      <c r="AC170" t="s">
        <v>3682</v>
      </c>
      <c r="AD170" t="s">
        <v>3683</v>
      </c>
      <c r="AE170" t="s">
        <v>3684</v>
      </c>
      <c r="AF170" t="s">
        <v>74</v>
      </c>
      <c r="AG170">
        <v>80</v>
      </c>
      <c r="AH170">
        <v>11</v>
      </c>
      <c r="AI170">
        <v>11</v>
      </c>
      <c r="AJ170">
        <v>1</v>
      </c>
      <c r="AK170">
        <v>22</v>
      </c>
      <c r="AL170" t="s">
        <v>3641</v>
      </c>
      <c r="AM170" t="s">
        <v>3642</v>
      </c>
      <c r="AN170" t="s">
        <v>3643</v>
      </c>
      <c r="AO170" t="s">
        <v>3644</v>
      </c>
      <c r="AP170" t="s">
        <v>3645</v>
      </c>
      <c r="AQ170" t="s">
        <v>74</v>
      </c>
      <c r="AR170" t="s">
        <v>3646</v>
      </c>
      <c r="AS170" t="s">
        <v>3647</v>
      </c>
      <c r="AT170" t="s">
        <v>3648</v>
      </c>
      <c r="AU170">
        <v>2018</v>
      </c>
      <c r="AV170">
        <v>603</v>
      </c>
      <c r="AW170" t="s">
        <v>74</v>
      </c>
      <c r="AX170" t="s">
        <v>74</v>
      </c>
      <c r="AY170" t="s">
        <v>74</v>
      </c>
      <c r="AZ170" t="s">
        <v>74</v>
      </c>
      <c r="BA170" t="s">
        <v>74</v>
      </c>
      <c r="BB170">
        <v>29</v>
      </c>
      <c r="BC170">
        <v>46</v>
      </c>
      <c r="BD170" t="s">
        <v>74</v>
      </c>
      <c r="BE170" t="s">
        <v>3685</v>
      </c>
      <c r="BF170" t="str">
        <f>HYPERLINK("http://dx.doi.org/10.3354/meps12713","http://dx.doi.org/10.3354/meps12713")</f>
        <v>http://dx.doi.org/10.3354/meps12713</v>
      </c>
      <c r="BG170" t="s">
        <v>74</v>
      </c>
      <c r="BH170" t="s">
        <v>74</v>
      </c>
      <c r="BI170">
        <v>18</v>
      </c>
      <c r="BJ170" t="s">
        <v>3650</v>
      </c>
      <c r="BK170" t="s">
        <v>101</v>
      </c>
      <c r="BL170" t="s">
        <v>3651</v>
      </c>
      <c r="BM170" t="s">
        <v>3652</v>
      </c>
      <c r="BN170" t="s">
        <v>74</v>
      </c>
      <c r="BO170" t="s">
        <v>3043</v>
      </c>
      <c r="BP170" t="s">
        <v>74</v>
      </c>
      <c r="BQ170" t="s">
        <v>74</v>
      </c>
      <c r="BR170" t="s">
        <v>104</v>
      </c>
      <c r="BS170" t="s">
        <v>3686</v>
      </c>
      <c r="BT170" t="str">
        <f>HYPERLINK("https%3A%2F%2Fwww.webofscience.com%2Fwos%2Fwoscc%2Ffull-record%2FWOS:000446469100003","View Full Record in Web of Science")</f>
        <v>View Full Record in Web of Science</v>
      </c>
    </row>
    <row r="171" spans="1:72" x14ac:dyDescent="0.15">
      <c r="A171" t="s">
        <v>72</v>
      </c>
      <c r="B171" t="s">
        <v>3687</v>
      </c>
      <c r="C171" t="s">
        <v>74</v>
      </c>
      <c r="D171" t="s">
        <v>74</v>
      </c>
      <c r="E171" t="s">
        <v>74</v>
      </c>
      <c r="F171" t="s">
        <v>3688</v>
      </c>
      <c r="G171" t="s">
        <v>74</v>
      </c>
      <c r="H171" t="s">
        <v>74</v>
      </c>
      <c r="I171" t="s">
        <v>3689</v>
      </c>
      <c r="J171" t="s">
        <v>3226</v>
      </c>
      <c r="K171" t="s">
        <v>74</v>
      </c>
      <c r="L171" t="s">
        <v>74</v>
      </c>
      <c r="M171" t="s">
        <v>78</v>
      </c>
      <c r="N171" t="s">
        <v>79</v>
      </c>
      <c r="O171" t="s">
        <v>74</v>
      </c>
      <c r="P171" t="s">
        <v>74</v>
      </c>
      <c r="Q171" t="s">
        <v>74</v>
      </c>
      <c r="R171" t="s">
        <v>74</v>
      </c>
      <c r="S171" t="s">
        <v>74</v>
      </c>
      <c r="T171" t="s">
        <v>3690</v>
      </c>
      <c r="U171" t="s">
        <v>3691</v>
      </c>
      <c r="V171" t="s">
        <v>3692</v>
      </c>
      <c r="W171" t="s">
        <v>3693</v>
      </c>
      <c r="X171" t="s">
        <v>3694</v>
      </c>
      <c r="Y171" t="s">
        <v>3695</v>
      </c>
      <c r="Z171" t="s">
        <v>3696</v>
      </c>
      <c r="AA171" t="s">
        <v>3697</v>
      </c>
      <c r="AB171" t="s">
        <v>3698</v>
      </c>
      <c r="AC171" t="s">
        <v>3699</v>
      </c>
      <c r="AD171" t="s">
        <v>3700</v>
      </c>
      <c r="AE171" t="s">
        <v>3701</v>
      </c>
      <c r="AF171" t="s">
        <v>74</v>
      </c>
      <c r="AG171">
        <v>68</v>
      </c>
      <c r="AH171">
        <v>14</v>
      </c>
      <c r="AI171">
        <v>16</v>
      </c>
      <c r="AJ171">
        <v>2</v>
      </c>
      <c r="AK171">
        <v>19</v>
      </c>
      <c r="AL171" t="s">
        <v>503</v>
      </c>
      <c r="AM171" t="s">
        <v>504</v>
      </c>
      <c r="AN171" t="s">
        <v>505</v>
      </c>
      <c r="AO171" t="s">
        <v>3239</v>
      </c>
      <c r="AP171" t="s">
        <v>3240</v>
      </c>
      <c r="AQ171" t="s">
        <v>74</v>
      </c>
      <c r="AR171" t="s">
        <v>3241</v>
      </c>
      <c r="AS171" t="s">
        <v>3242</v>
      </c>
      <c r="AT171" t="s">
        <v>3702</v>
      </c>
      <c r="AU171">
        <v>2018</v>
      </c>
      <c r="AV171">
        <v>123</v>
      </c>
      <c r="AW171">
        <v>17</v>
      </c>
      <c r="AX171" t="s">
        <v>74</v>
      </c>
      <c r="AY171" t="s">
        <v>74</v>
      </c>
      <c r="AZ171" t="s">
        <v>74</v>
      </c>
      <c r="BA171" t="s">
        <v>74</v>
      </c>
      <c r="BB171">
        <v>9786</v>
      </c>
      <c r="BC171">
        <v>9800</v>
      </c>
      <c r="BD171" t="s">
        <v>74</v>
      </c>
      <c r="BE171" t="s">
        <v>3703</v>
      </c>
      <c r="BF171" t="str">
        <f>HYPERLINK("http://dx.doi.org/10.1029/2018JD028438","http://dx.doi.org/10.1029/2018JD028438")</f>
        <v>http://dx.doi.org/10.1029/2018JD028438</v>
      </c>
      <c r="BG171" t="s">
        <v>74</v>
      </c>
      <c r="BH171" t="s">
        <v>74</v>
      </c>
      <c r="BI171">
        <v>15</v>
      </c>
      <c r="BJ171" t="s">
        <v>369</v>
      </c>
      <c r="BK171" t="s">
        <v>101</v>
      </c>
      <c r="BL171" t="s">
        <v>369</v>
      </c>
      <c r="BM171" t="s">
        <v>3704</v>
      </c>
      <c r="BN171" t="s">
        <v>74</v>
      </c>
      <c r="BO171" t="s">
        <v>712</v>
      </c>
      <c r="BP171" t="s">
        <v>74</v>
      </c>
      <c r="BQ171" t="s">
        <v>74</v>
      </c>
      <c r="BR171" t="s">
        <v>104</v>
      </c>
      <c r="BS171" t="s">
        <v>3705</v>
      </c>
      <c r="BT171" t="str">
        <f>HYPERLINK("https%3A%2F%2Fwww.webofscience.com%2Fwos%2Fwoscc%2Ffull-record%2FWOS:000445617500049","View Full Record in Web of Science")</f>
        <v>View Full Record in Web of Science</v>
      </c>
    </row>
    <row r="172" spans="1:72" x14ac:dyDescent="0.15">
      <c r="A172" t="s">
        <v>72</v>
      </c>
      <c r="B172" t="s">
        <v>3706</v>
      </c>
      <c r="C172" t="s">
        <v>74</v>
      </c>
      <c r="D172" t="s">
        <v>74</v>
      </c>
      <c r="E172" t="s">
        <v>74</v>
      </c>
      <c r="F172" t="s">
        <v>3707</v>
      </c>
      <c r="G172" t="s">
        <v>74</v>
      </c>
      <c r="H172" t="s">
        <v>74</v>
      </c>
      <c r="I172" t="s">
        <v>3708</v>
      </c>
      <c r="J172" t="s">
        <v>3226</v>
      </c>
      <c r="K172" t="s">
        <v>74</v>
      </c>
      <c r="L172" t="s">
        <v>74</v>
      </c>
      <c r="M172" t="s">
        <v>78</v>
      </c>
      <c r="N172" t="s">
        <v>79</v>
      </c>
      <c r="O172" t="s">
        <v>74</v>
      </c>
      <c r="P172" t="s">
        <v>74</v>
      </c>
      <c r="Q172" t="s">
        <v>74</v>
      </c>
      <c r="R172" t="s">
        <v>74</v>
      </c>
      <c r="S172" t="s">
        <v>74</v>
      </c>
      <c r="T172" t="s">
        <v>3709</v>
      </c>
      <c r="U172" t="s">
        <v>3710</v>
      </c>
      <c r="V172" t="s">
        <v>3711</v>
      </c>
      <c r="W172" t="s">
        <v>3712</v>
      </c>
      <c r="X172" t="s">
        <v>3713</v>
      </c>
      <c r="Y172" t="s">
        <v>3714</v>
      </c>
      <c r="Z172" t="s">
        <v>3715</v>
      </c>
      <c r="AA172" t="s">
        <v>3716</v>
      </c>
      <c r="AB172" t="s">
        <v>3717</v>
      </c>
      <c r="AC172" t="s">
        <v>3718</v>
      </c>
      <c r="AD172" t="s">
        <v>3719</v>
      </c>
      <c r="AE172" t="s">
        <v>3720</v>
      </c>
      <c r="AF172" t="s">
        <v>74</v>
      </c>
      <c r="AG172">
        <v>55</v>
      </c>
      <c r="AH172">
        <v>22</v>
      </c>
      <c r="AI172">
        <v>23</v>
      </c>
      <c r="AJ172">
        <v>6</v>
      </c>
      <c r="AK172">
        <v>53</v>
      </c>
      <c r="AL172" t="s">
        <v>503</v>
      </c>
      <c r="AM172" t="s">
        <v>504</v>
      </c>
      <c r="AN172" t="s">
        <v>505</v>
      </c>
      <c r="AO172" t="s">
        <v>3239</v>
      </c>
      <c r="AP172" t="s">
        <v>3240</v>
      </c>
      <c r="AQ172" t="s">
        <v>74</v>
      </c>
      <c r="AR172" t="s">
        <v>3241</v>
      </c>
      <c r="AS172" t="s">
        <v>3242</v>
      </c>
      <c r="AT172" t="s">
        <v>3702</v>
      </c>
      <c r="AU172">
        <v>2018</v>
      </c>
      <c r="AV172">
        <v>123</v>
      </c>
      <c r="AW172">
        <v>17</v>
      </c>
      <c r="AX172" t="s">
        <v>74</v>
      </c>
      <c r="AY172" t="s">
        <v>74</v>
      </c>
      <c r="AZ172" t="s">
        <v>74</v>
      </c>
      <c r="BA172" t="s">
        <v>74</v>
      </c>
      <c r="BB172">
        <v>9801</v>
      </c>
      <c r="BC172">
        <v>9812</v>
      </c>
      <c r="BD172" t="s">
        <v>74</v>
      </c>
      <c r="BE172" t="s">
        <v>3721</v>
      </c>
      <c r="BF172" t="str">
        <f>HYPERLINK("http://dx.doi.org/10.1029/2018JD028456","http://dx.doi.org/10.1029/2018JD028456")</f>
        <v>http://dx.doi.org/10.1029/2018JD028456</v>
      </c>
      <c r="BG172" t="s">
        <v>74</v>
      </c>
      <c r="BH172" t="s">
        <v>74</v>
      </c>
      <c r="BI172">
        <v>12</v>
      </c>
      <c r="BJ172" t="s">
        <v>369</v>
      </c>
      <c r="BK172" t="s">
        <v>101</v>
      </c>
      <c r="BL172" t="s">
        <v>369</v>
      </c>
      <c r="BM172" t="s">
        <v>3704</v>
      </c>
      <c r="BN172" t="s">
        <v>74</v>
      </c>
      <c r="BO172" t="s">
        <v>1818</v>
      </c>
      <c r="BP172" t="s">
        <v>74</v>
      </c>
      <c r="BQ172" t="s">
        <v>74</v>
      </c>
      <c r="BR172" t="s">
        <v>104</v>
      </c>
      <c r="BS172" t="s">
        <v>3722</v>
      </c>
      <c r="BT172" t="str">
        <f>HYPERLINK("https%3A%2F%2Fwww.webofscience.com%2Fwos%2Fwoscc%2Ffull-record%2FWOS:000445617500050","View Full Record in Web of Science")</f>
        <v>View Full Record in Web of Science</v>
      </c>
    </row>
    <row r="173" spans="1:72" x14ac:dyDescent="0.15">
      <c r="A173" t="s">
        <v>72</v>
      </c>
      <c r="B173" t="s">
        <v>3723</v>
      </c>
      <c r="C173" t="s">
        <v>74</v>
      </c>
      <c r="D173" t="s">
        <v>74</v>
      </c>
      <c r="E173" t="s">
        <v>74</v>
      </c>
      <c r="F173" t="s">
        <v>3724</v>
      </c>
      <c r="G173" t="s">
        <v>74</v>
      </c>
      <c r="H173" t="s">
        <v>74</v>
      </c>
      <c r="I173" t="s">
        <v>3725</v>
      </c>
      <c r="J173" t="s">
        <v>3226</v>
      </c>
      <c r="K173" t="s">
        <v>74</v>
      </c>
      <c r="L173" t="s">
        <v>74</v>
      </c>
      <c r="M173" t="s">
        <v>78</v>
      </c>
      <c r="N173" t="s">
        <v>79</v>
      </c>
      <c r="O173" t="s">
        <v>74</v>
      </c>
      <c r="P173" t="s">
        <v>74</v>
      </c>
      <c r="Q173" t="s">
        <v>74</v>
      </c>
      <c r="R173" t="s">
        <v>74</v>
      </c>
      <c r="S173" t="s">
        <v>74</v>
      </c>
      <c r="T173" t="s">
        <v>3726</v>
      </c>
      <c r="U173" t="s">
        <v>3727</v>
      </c>
      <c r="V173" t="s">
        <v>3728</v>
      </c>
      <c r="W173" t="s">
        <v>3729</v>
      </c>
      <c r="X173" t="s">
        <v>3730</v>
      </c>
      <c r="Y173" t="s">
        <v>3731</v>
      </c>
      <c r="Z173" t="s">
        <v>3732</v>
      </c>
      <c r="AA173" t="s">
        <v>3733</v>
      </c>
      <c r="AB173" t="s">
        <v>3734</v>
      </c>
      <c r="AC173" t="s">
        <v>3735</v>
      </c>
      <c r="AD173" t="s">
        <v>3736</v>
      </c>
      <c r="AE173" t="s">
        <v>3737</v>
      </c>
      <c r="AF173" t="s">
        <v>74</v>
      </c>
      <c r="AG173">
        <v>66</v>
      </c>
      <c r="AH173">
        <v>8</v>
      </c>
      <c r="AI173">
        <v>8</v>
      </c>
      <c r="AJ173">
        <v>0</v>
      </c>
      <c r="AK173">
        <v>8</v>
      </c>
      <c r="AL173" t="s">
        <v>503</v>
      </c>
      <c r="AM173" t="s">
        <v>504</v>
      </c>
      <c r="AN173" t="s">
        <v>505</v>
      </c>
      <c r="AO173" t="s">
        <v>3239</v>
      </c>
      <c r="AP173" t="s">
        <v>3240</v>
      </c>
      <c r="AQ173" t="s">
        <v>74</v>
      </c>
      <c r="AR173" t="s">
        <v>3241</v>
      </c>
      <c r="AS173" t="s">
        <v>3242</v>
      </c>
      <c r="AT173" t="s">
        <v>3702</v>
      </c>
      <c r="AU173">
        <v>2018</v>
      </c>
      <c r="AV173">
        <v>123</v>
      </c>
      <c r="AW173">
        <v>17</v>
      </c>
      <c r="AX173" t="s">
        <v>74</v>
      </c>
      <c r="AY173" t="s">
        <v>74</v>
      </c>
      <c r="AZ173" t="s">
        <v>74</v>
      </c>
      <c r="BA173" t="s">
        <v>74</v>
      </c>
      <c r="BB173">
        <v>8993</v>
      </c>
      <c r="BC173">
        <v>9010</v>
      </c>
      <c r="BD173" t="s">
        <v>74</v>
      </c>
      <c r="BE173" t="s">
        <v>3738</v>
      </c>
      <c r="BF173" t="str">
        <f>HYPERLINK("http://dx.doi.org/10.1029/2017JD028128","http://dx.doi.org/10.1029/2017JD028128")</f>
        <v>http://dx.doi.org/10.1029/2017JD028128</v>
      </c>
      <c r="BG173" t="s">
        <v>74</v>
      </c>
      <c r="BH173" t="s">
        <v>74</v>
      </c>
      <c r="BI173">
        <v>18</v>
      </c>
      <c r="BJ173" t="s">
        <v>369</v>
      </c>
      <c r="BK173" t="s">
        <v>101</v>
      </c>
      <c r="BL173" t="s">
        <v>369</v>
      </c>
      <c r="BM173" t="s">
        <v>3704</v>
      </c>
      <c r="BN173" t="s">
        <v>74</v>
      </c>
      <c r="BO173" t="s">
        <v>486</v>
      </c>
      <c r="BP173" t="s">
        <v>74</v>
      </c>
      <c r="BQ173" t="s">
        <v>74</v>
      </c>
      <c r="BR173" t="s">
        <v>104</v>
      </c>
      <c r="BS173" t="s">
        <v>3739</v>
      </c>
      <c r="BT173" t="str">
        <f>HYPERLINK("https%3A%2F%2Fwww.webofscience.com%2Fwos%2Fwoscc%2Ffull-record%2FWOS:000445617500006","View Full Record in Web of Science")</f>
        <v>View Full Record in Web of Science</v>
      </c>
    </row>
    <row r="174" spans="1:72" x14ac:dyDescent="0.15">
      <c r="A174" t="s">
        <v>72</v>
      </c>
      <c r="B174" t="s">
        <v>3740</v>
      </c>
      <c r="C174" t="s">
        <v>74</v>
      </c>
      <c r="D174" t="s">
        <v>74</v>
      </c>
      <c r="E174" t="s">
        <v>74</v>
      </c>
      <c r="F174" t="s">
        <v>3741</v>
      </c>
      <c r="G174" t="s">
        <v>74</v>
      </c>
      <c r="H174" t="s">
        <v>74</v>
      </c>
      <c r="I174" t="s">
        <v>3742</v>
      </c>
      <c r="J174" t="s">
        <v>3226</v>
      </c>
      <c r="K174" t="s">
        <v>74</v>
      </c>
      <c r="L174" t="s">
        <v>74</v>
      </c>
      <c r="M174" t="s">
        <v>78</v>
      </c>
      <c r="N174" t="s">
        <v>79</v>
      </c>
      <c r="O174" t="s">
        <v>74</v>
      </c>
      <c r="P174" t="s">
        <v>74</v>
      </c>
      <c r="Q174" t="s">
        <v>74</v>
      </c>
      <c r="R174" t="s">
        <v>74</v>
      </c>
      <c r="S174" t="s">
        <v>74</v>
      </c>
      <c r="T174" t="s">
        <v>3743</v>
      </c>
      <c r="U174" t="s">
        <v>3744</v>
      </c>
      <c r="V174" t="s">
        <v>3745</v>
      </c>
      <c r="W174" t="s">
        <v>3746</v>
      </c>
      <c r="X174" t="s">
        <v>3747</v>
      </c>
      <c r="Y174" t="s">
        <v>3748</v>
      </c>
      <c r="Z174" t="s">
        <v>3749</v>
      </c>
      <c r="AA174" t="s">
        <v>3750</v>
      </c>
      <c r="AB174" t="s">
        <v>3751</v>
      </c>
      <c r="AC174" t="s">
        <v>3752</v>
      </c>
      <c r="AD174" t="s">
        <v>3753</v>
      </c>
      <c r="AE174" t="s">
        <v>3754</v>
      </c>
      <c r="AF174" t="s">
        <v>74</v>
      </c>
      <c r="AG174">
        <v>129</v>
      </c>
      <c r="AH174">
        <v>20</v>
      </c>
      <c r="AI174">
        <v>21</v>
      </c>
      <c r="AJ174">
        <v>2</v>
      </c>
      <c r="AK174">
        <v>14</v>
      </c>
      <c r="AL174" t="s">
        <v>503</v>
      </c>
      <c r="AM174" t="s">
        <v>504</v>
      </c>
      <c r="AN174" t="s">
        <v>505</v>
      </c>
      <c r="AO174" t="s">
        <v>3239</v>
      </c>
      <c r="AP174" t="s">
        <v>3240</v>
      </c>
      <c r="AQ174" t="s">
        <v>74</v>
      </c>
      <c r="AR174" t="s">
        <v>3241</v>
      </c>
      <c r="AS174" t="s">
        <v>3242</v>
      </c>
      <c r="AT174" t="s">
        <v>3702</v>
      </c>
      <c r="AU174">
        <v>2018</v>
      </c>
      <c r="AV174">
        <v>123</v>
      </c>
      <c r="AW174">
        <v>17</v>
      </c>
      <c r="AX174" t="s">
        <v>74</v>
      </c>
      <c r="AY174" t="s">
        <v>74</v>
      </c>
      <c r="AZ174" t="s">
        <v>74</v>
      </c>
      <c r="BA174" t="s">
        <v>74</v>
      </c>
      <c r="BB174">
        <v>9171</v>
      </c>
      <c r="BC174">
        <v>9191</v>
      </c>
      <c r="BD174" t="s">
        <v>74</v>
      </c>
      <c r="BE174" t="s">
        <v>3755</v>
      </c>
      <c r="BF174" t="str">
        <f>HYPERLINK("http://dx.doi.org/10.1029/2018JD028815","http://dx.doi.org/10.1029/2018JD028815")</f>
        <v>http://dx.doi.org/10.1029/2018JD028815</v>
      </c>
      <c r="BG174" t="s">
        <v>74</v>
      </c>
      <c r="BH174" t="s">
        <v>74</v>
      </c>
      <c r="BI174">
        <v>21</v>
      </c>
      <c r="BJ174" t="s">
        <v>369</v>
      </c>
      <c r="BK174" t="s">
        <v>101</v>
      </c>
      <c r="BL174" t="s">
        <v>369</v>
      </c>
      <c r="BM174" t="s">
        <v>3704</v>
      </c>
      <c r="BN174" t="s">
        <v>74</v>
      </c>
      <c r="BO174" t="s">
        <v>712</v>
      </c>
      <c r="BP174" t="s">
        <v>74</v>
      </c>
      <c r="BQ174" t="s">
        <v>74</v>
      </c>
      <c r="BR174" t="s">
        <v>104</v>
      </c>
      <c r="BS174" t="s">
        <v>3756</v>
      </c>
      <c r="BT174" t="str">
        <f>HYPERLINK("https%3A%2F%2Fwww.webofscience.com%2Fwos%2Fwoscc%2Ffull-record%2FWOS:000445617500016","View Full Record in Web of Science")</f>
        <v>View Full Record in Web of Science</v>
      </c>
    </row>
    <row r="175" spans="1:72" x14ac:dyDescent="0.15">
      <c r="A175" t="s">
        <v>72</v>
      </c>
      <c r="B175" t="s">
        <v>3757</v>
      </c>
      <c r="C175" t="s">
        <v>74</v>
      </c>
      <c r="D175" t="s">
        <v>74</v>
      </c>
      <c r="E175" t="s">
        <v>74</v>
      </c>
      <c r="F175" t="s">
        <v>3758</v>
      </c>
      <c r="G175" t="s">
        <v>74</v>
      </c>
      <c r="H175" t="s">
        <v>74</v>
      </c>
      <c r="I175" t="s">
        <v>3759</v>
      </c>
      <c r="J175" t="s">
        <v>3226</v>
      </c>
      <c r="K175" t="s">
        <v>74</v>
      </c>
      <c r="L175" t="s">
        <v>74</v>
      </c>
      <c r="M175" t="s">
        <v>78</v>
      </c>
      <c r="N175" t="s">
        <v>79</v>
      </c>
      <c r="O175" t="s">
        <v>74</v>
      </c>
      <c r="P175" t="s">
        <v>74</v>
      </c>
      <c r="Q175" t="s">
        <v>74</v>
      </c>
      <c r="R175" t="s">
        <v>74</v>
      </c>
      <c r="S175" t="s">
        <v>74</v>
      </c>
      <c r="T175" t="s">
        <v>3760</v>
      </c>
      <c r="U175" t="s">
        <v>3761</v>
      </c>
      <c r="V175" t="s">
        <v>3762</v>
      </c>
      <c r="W175" t="s">
        <v>3763</v>
      </c>
      <c r="X175" t="s">
        <v>3764</v>
      </c>
      <c r="Y175" t="s">
        <v>3765</v>
      </c>
      <c r="Z175" t="s">
        <v>3766</v>
      </c>
      <c r="AA175" t="s">
        <v>3767</v>
      </c>
      <c r="AB175" t="s">
        <v>74</v>
      </c>
      <c r="AC175" t="s">
        <v>3768</v>
      </c>
      <c r="AD175" t="s">
        <v>3769</v>
      </c>
      <c r="AE175" t="s">
        <v>3770</v>
      </c>
      <c r="AF175" t="s">
        <v>74</v>
      </c>
      <c r="AG175">
        <v>48</v>
      </c>
      <c r="AH175">
        <v>8</v>
      </c>
      <c r="AI175">
        <v>8</v>
      </c>
      <c r="AJ175">
        <v>0</v>
      </c>
      <c r="AK175">
        <v>10</v>
      </c>
      <c r="AL175" t="s">
        <v>503</v>
      </c>
      <c r="AM175" t="s">
        <v>504</v>
      </c>
      <c r="AN175" t="s">
        <v>505</v>
      </c>
      <c r="AO175" t="s">
        <v>3239</v>
      </c>
      <c r="AP175" t="s">
        <v>3240</v>
      </c>
      <c r="AQ175" t="s">
        <v>74</v>
      </c>
      <c r="AR175" t="s">
        <v>3241</v>
      </c>
      <c r="AS175" t="s">
        <v>3242</v>
      </c>
      <c r="AT175" t="s">
        <v>3702</v>
      </c>
      <c r="AU175">
        <v>2018</v>
      </c>
      <c r="AV175">
        <v>123</v>
      </c>
      <c r="AW175">
        <v>17</v>
      </c>
      <c r="AX175" t="s">
        <v>74</v>
      </c>
      <c r="AY175" t="s">
        <v>74</v>
      </c>
      <c r="AZ175" t="s">
        <v>74</v>
      </c>
      <c r="BA175" t="s">
        <v>74</v>
      </c>
      <c r="BB175">
        <v>9296</v>
      </c>
      <c r="BC175">
        <v>9325</v>
      </c>
      <c r="BD175" t="s">
        <v>74</v>
      </c>
      <c r="BE175" t="s">
        <v>3771</v>
      </c>
      <c r="BF175" t="str">
        <f>HYPERLINK("http://dx.doi.org/10.1029/2017JD027970","http://dx.doi.org/10.1029/2017JD027970")</f>
        <v>http://dx.doi.org/10.1029/2017JD027970</v>
      </c>
      <c r="BG175" t="s">
        <v>74</v>
      </c>
      <c r="BH175" t="s">
        <v>74</v>
      </c>
      <c r="BI175">
        <v>30</v>
      </c>
      <c r="BJ175" t="s">
        <v>369</v>
      </c>
      <c r="BK175" t="s">
        <v>101</v>
      </c>
      <c r="BL175" t="s">
        <v>369</v>
      </c>
      <c r="BM175" t="s">
        <v>3704</v>
      </c>
      <c r="BN175" t="s">
        <v>74</v>
      </c>
      <c r="BO175" t="s">
        <v>835</v>
      </c>
      <c r="BP175" t="s">
        <v>74</v>
      </c>
      <c r="BQ175" t="s">
        <v>74</v>
      </c>
      <c r="BR175" t="s">
        <v>104</v>
      </c>
      <c r="BS175" t="s">
        <v>3772</v>
      </c>
      <c r="BT175" t="str">
        <f>HYPERLINK("https%3A%2F%2Fwww.webofscience.com%2Fwos%2Fwoscc%2Ffull-record%2FWOS:000445617500022","View Full Record in Web of Science")</f>
        <v>View Full Record in Web of Science</v>
      </c>
    </row>
    <row r="176" spans="1:72" x14ac:dyDescent="0.15">
      <c r="A176" t="s">
        <v>72</v>
      </c>
      <c r="B176" t="s">
        <v>3773</v>
      </c>
      <c r="C176" t="s">
        <v>74</v>
      </c>
      <c r="D176" t="s">
        <v>74</v>
      </c>
      <c r="E176" t="s">
        <v>74</v>
      </c>
      <c r="F176" t="s">
        <v>3774</v>
      </c>
      <c r="G176" t="s">
        <v>74</v>
      </c>
      <c r="H176" t="s">
        <v>74</v>
      </c>
      <c r="I176" t="s">
        <v>3775</v>
      </c>
      <c r="J176" t="s">
        <v>3226</v>
      </c>
      <c r="K176" t="s">
        <v>74</v>
      </c>
      <c r="L176" t="s">
        <v>74</v>
      </c>
      <c r="M176" t="s">
        <v>78</v>
      </c>
      <c r="N176" t="s">
        <v>79</v>
      </c>
      <c r="O176" t="s">
        <v>74</v>
      </c>
      <c r="P176" t="s">
        <v>74</v>
      </c>
      <c r="Q176" t="s">
        <v>74</v>
      </c>
      <c r="R176" t="s">
        <v>74</v>
      </c>
      <c r="S176" t="s">
        <v>74</v>
      </c>
      <c r="T176" t="s">
        <v>74</v>
      </c>
      <c r="U176" t="s">
        <v>3776</v>
      </c>
      <c r="V176" t="s">
        <v>3777</v>
      </c>
      <c r="W176" t="s">
        <v>3778</v>
      </c>
      <c r="X176" t="s">
        <v>3779</v>
      </c>
      <c r="Y176" t="s">
        <v>3780</v>
      </c>
      <c r="Z176" t="s">
        <v>3781</v>
      </c>
      <c r="AA176" t="s">
        <v>3782</v>
      </c>
      <c r="AB176" t="s">
        <v>3783</v>
      </c>
      <c r="AC176" t="s">
        <v>3784</v>
      </c>
      <c r="AD176" t="s">
        <v>3785</v>
      </c>
      <c r="AE176" t="s">
        <v>3786</v>
      </c>
      <c r="AF176" t="s">
        <v>74</v>
      </c>
      <c r="AG176">
        <v>45</v>
      </c>
      <c r="AH176">
        <v>6</v>
      </c>
      <c r="AI176">
        <v>6</v>
      </c>
      <c r="AJ176">
        <v>0</v>
      </c>
      <c r="AK176">
        <v>12</v>
      </c>
      <c r="AL176" t="s">
        <v>503</v>
      </c>
      <c r="AM176" t="s">
        <v>504</v>
      </c>
      <c r="AN176" t="s">
        <v>505</v>
      </c>
      <c r="AO176" t="s">
        <v>3239</v>
      </c>
      <c r="AP176" t="s">
        <v>3240</v>
      </c>
      <c r="AQ176" t="s">
        <v>74</v>
      </c>
      <c r="AR176" t="s">
        <v>3241</v>
      </c>
      <c r="AS176" t="s">
        <v>3242</v>
      </c>
      <c r="AT176" t="s">
        <v>3702</v>
      </c>
      <c r="AU176">
        <v>2018</v>
      </c>
      <c r="AV176">
        <v>123</v>
      </c>
      <c r="AW176">
        <v>17</v>
      </c>
      <c r="AX176" t="s">
        <v>74</v>
      </c>
      <c r="AY176" t="s">
        <v>74</v>
      </c>
      <c r="AZ176" t="s">
        <v>74</v>
      </c>
      <c r="BA176" t="s">
        <v>74</v>
      </c>
      <c r="BB176">
        <v>9559</v>
      </c>
      <c r="BC176">
        <v>9570</v>
      </c>
      <c r="BD176" t="s">
        <v>74</v>
      </c>
      <c r="BE176" t="s">
        <v>3787</v>
      </c>
      <c r="BF176" t="str">
        <f>HYPERLINK("http://dx.doi.org/10.1029/2018JD028347","http://dx.doi.org/10.1029/2018JD028347")</f>
        <v>http://dx.doi.org/10.1029/2018JD028347</v>
      </c>
      <c r="BG176" t="s">
        <v>74</v>
      </c>
      <c r="BH176" t="s">
        <v>74</v>
      </c>
      <c r="BI176">
        <v>12</v>
      </c>
      <c r="BJ176" t="s">
        <v>369</v>
      </c>
      <c r="BK176" t="s">
        <v>101</v>
      </c>
      <c r="BL176" t="s">
        <v>369</v>
      </c>
      <c r="BM176" t="s">
        <v>3704</v>
      </c>
      <c r="BN176" t="s">
        <v>74</v>
      </c>
      <c r="BO176" t="s">
        <v>1818</v>
      </c>
      <c r="BP176" t="s">
        <v>74</v>
      </c>
      <c r="BQ176" t="s">
        <v>74</v>
      </c>
      <c r="BR176" t="s">
        <v>104</v>
      </c>
      <c r="BS176" t="s">
        <v>3788</v>
      </c>
      <c r="BT176" t="str">
        <f>HYPERLINK("https%3A%2F%2Fwww.webofscience.com%2Fwos%2Fwoscc%2Ffull-record%2FWOS:000445617500036","View Full Record in Web of Science")</f>
        <v>View Full Record in Web of Science</v>
      </c>
    </row>
    <row r="177" spans="1:72" x14ac:dyDescent="0.15">
      <c r="A177" t="s">
        <v>72</v>
      </c>
      <c r="B177" t="s">
        <v>3789</v>
      </c>
      <c r="C177" t="s">
        <v>74</v>
      </c>
      <c r="D177" t="s">
        <v>74</v>
      </c>
      <c r="E177" t="s">
        <v>74</v>
      </c>
      <c r="F177" t="s">
        <v>3790</v>
      </c>
      <c r="G177" t="s">
        <v>74</v>
      </c>
      <c r="H177" t="s">
        <v>74</v>
      </c>
      <c r="I177" t="s">
        <v>3791</v>
      </c>
      <c r="J177" t="s">
        <v>3226</v>
      </c>
      <c r="K177" t="s">
        <v>74</v>
      </c>
      <c r="L177" t="s">
        <v>74</v>
      </c>
      <c r="M177" t="s">
        <v>78</v>
      </c>
      <c r="N177" t="s">
        <v>79</v>
      </c>
      <c r="O177" t="s">
        <v>74</v>
      </c>
      <c r="P177" t="s">
        <v>74</v>
      </c>
      <c r="Q177" t="s">
        <v>74</v>
      </c>
      <c r="R177" t="s">
        <v>74</v>
      </c>
      <c r="S177" t="s">
        <v>74</v>
      </c>
      <c r="T177" t="s">
        <v>3792</v>
      </c>
      <c r="U177" t="s">
        <v>3793</v>
      </c>
      <c r="V177" t="s">
        <v>3794</v>
      </c>
      <c r="W177" t="s">
        <v>3795</v>
      </c>
      <c r="X177" t="s">
        <v>1767</v>
      </c>
      <c r="Y177" t="s">
        <v>3796</v>
      </c>
      <c r="Z177" t="s">
        <v>3797</v>
      </c>
      <c r="AA177" t="s">
        <v>3798</v>
      </c>
      <c r="AB177" t="s">
        <v>3799</v>
      </c>
      <c r="AC177" t="s">
        <v>3800</v>
      </c>
      <c r="AD177" t="s">
        <v>3801</v>
      </c>
      <c r="AE177" t="s">
        <v>3802</v>
      </c>
      <c r="AF177" t="s">
        <v>74</v>
      </c>
      <c r="AG177">
        <v>51</v>
      </c>
      <c r="AH177">
        <v>35</v>
      </c>
      <c r="AI177">
        <v>37</v>
      </c>
      <c r="AJ177">
        <v>0</v>
      </c>
      <c r="AK177">
        <v>18</v>
      </c>
      <c r="AL177" t="s">
        <v>503</v>
      </c>
      <c r="AM177" t="s">
        <v>504</v>
      </c>
      <c r="AN177" t="s">
        <v>505</v>
      </c>
      <c r="AO177" t="s">
        <v>3239</v>
      </c>
      <c r="AP177" t="s">
        <v>3240</v>
      </c>
      <c r="AQ177" t="s">
        <v>74</v>
      </c>
      <c r="AR177" t="s">
        <v>3241</v>
      </c>
      <c r="AS177" t="s">
        <v>3242</v>
      </c>
      <c r="AT177" t="s">
        <v>3702</v>
      </c>
      <c r="AU177">
        <v>2018</v>
      </c>
      <c r="AV177">
        <v>123</v>
      </c>
      <c r="AW177">
        <v>17</v>
      </c>
      <c r="AX177" t="s">
        <v>74</v>
      </c>
      <c r="AY177" t="s">
        <v>74</v>
      </c>
      <c r="AZ177" t="s">
        <v>74</v>
      </c>
      <c r="BA177" t="s">
        <v>74</v>
      </c>
      <c r="BB177">
        <v>9891</v>
      </c>
      <c r="BC177">
        <v>9915</v>
      </c>
      <c r="BD177" t="s">
        <v>74</v>
      </c>
      <c r="BE177" t="s">
        <v>3803</v>
      </c>
      <c r="BF177" t="str">
        <f>HYPERLINK("http://dx.doi.org/10.1029/2017JD028253","http://dx.doi.org/10.1029/2017JD028253")</f>
        <v>http://dx.doi.org/10.1029/2017JD028253</v>
      </c>
      <c r="BG177" t="s">
        <v>74</v>
      </c>
      <c r="BH177" t="s">
        <v>74</v>
      </c>
      <c r="BI177">
        <v>25</v>
      </c>
      <c r="BJ177" t="s">
        <v>369</v>
      </c>
      <c r="BK177" t="s">
        <v>101</v>
      </c>
      <c r="BL177" t="s">
        <v>369</v>
      </c>
      <c r="BM177" t="s">
        <v>3704</v>
      </c>
      <c r="BN177" t="s">
        <v>74</v>
      </c>
      <c r="BO177" t="s">
        <v>871</v>
      </c>
      <c r="BP177" t="s">
        <v>74</v>
      </c>
      <c r="BQ177" t="s">
        <v>74</v>
      </c>
      <c r="BR177" t="s">
        <v>104</v>
      </c>
      <c r="BS177" t="s">
        <v>3804</v>
      </c>
      <c r="BT177" t="str">
        <f>HYPERLINK("https%3A%2F%2Fwww.webofscience.com%2Fwos%2Fwoscc%2Ffull-record%2FWOS:000445617500056","View Full Record in Web of Science")</f>
        <v>View Full Record in Web of Science</v>
      </c>
    </row>
    <row r="178" spans="1:72" x14ac:dyDescent="0.15">
      <c r="A178" t="s">
        <v>72</v>
      </c>
      <c r="B178" t="s">
        <v>3805</v>
      </c>
      <c r="C178" t="s">
        <v>74</v>
      </c>
      <c r="D178" t="s">
        <v>74</v>
      </c>
      <c r="E178" t="s">
        <v>74</v>
      </c>
      <c r="F178" t="s">
        <v>3806</v>
      </c>
      <c r="G178" t="s">
        <v>74</v>
      </c>
      <c r="H178" t="s">
        <v>74</v>
      </c>
      <c r="I178" t="s">
        <v>3807</v>
      </c>
      <c r="J178" t="s">
        <v>3089</v>
      </c>
      <c r="K178" t="s">
        <v>74</v>
      </c>
      <c r="L178" t="s">
        <v>74</v>
      </c>
      <c r="M178" t="s">
        <v>78</v>
      </c>
      <c r="N178" t="s">
        <v>79</v>
      </c>
      <c r="O178" t="s">
        <v>74</v>
      </c>
      <c r="P178" t="s">
        <v>74</v>
      </c>
      <c r="Q178" t="s">
        <v>74</v>
      </c>
      <c r="R178" t="s">
        <v>74</v>
      </c>
      <c r="S178" t="s">
        <v>74</v>
      </c>
      <c r="T178" t="s">
        <v>3808</v>
      </c>
      <c r="U178" t="s">
        <v>3809</v>
      </c>
      <c r="V178" t="s">
        <v>3810</v>
      </c>
      <c r="W178" t="s">
        <v>3811</v>
      </c>
      <c r="X178" t="s">
        <v>3812</v>
      </c>
      <c r="Y178" t="s">
        <v>3813</v>
      </c>
      <c r="Z178" t="s">
        <v>3814</v>
      </c>
      <c r="AA178" t="s">
        <v>3815</v>
      </c>
      <c r="AB178" t="s">
        <v>3816</v>
      </c>
      <c r="AC178" t="s">
        <v>3817</v>
      </c>
      <c r="AD178" t="s">
        <v>3818</v>
      </c>
      <c r="AE178" t="s">
        <v>3819</v>
      </c>
      <c r="AF178" t="s">
        <v>74</v>
      </c>
      <c r="AG178">
        <v>65</v>
      </c>
      <c r="AH178">
        <v>120</v>
      </c>
      <c r="AI178">
        <v>132</v>
      </c>
      <c r="AJ178">
        <v>2</v>
      </c>
      <c r="AK178">
        <v>41</v>
      </c>
      <c r="AL178" t="s">
        <v>503</v>
      </c>
      <c r="AM178" t="s">
        <v>504</v>
      </c>
      <c r="AN178" t="s">
        <v>505</v>
      </c>
      <c r="AO178" t="s">
        <v>3100</v>
      </c>
      <c r="AP178" t="s">
        <v>3101</v>
      </c>
      <c r="AQ178" t="s">
        <v>74</v>
      </c>
      <c r="AR178" t="s">
        <v>3102</v>
      </c>
      <c r="AS178" t="s">
        <v>3103</v>
      </c>
      <c r="AT178" t="s">
        <v>3702</v>
      </c>
      <c r="AU178">
        <v>2018</v>
      </c>
      <c r="AV178">
        <v>45</v>
      </c>
      <c r="AW178">
        <v>17</v>
      </c>
      <c r="AX178" t="s">
        <v>74</v>
      </c>
      <c r="AY178" t="s">
        <v>74</v>
      </c>
      <c r="AZ178" t="s">
        <v>74</v>
      </c>
      <c r="BA178" t="s">
        <v>74</v>
      </c>
      <c r="BB178">
        <v>9049</v>
      </c>
      <c r="BC178">
        <v>9057</v>
      </c>
      <c r="BD178" t="s">
        <v>74</v>
      </c>
      <c r="BE178" t="s">
        <v>3820</v>
      </c>
      <c r="BF178" t="str">
        <f>HYPERLINK("http://dx.doi.org/10.1029/2018GL078013","http://dx.doi.org/10.1029/2018GL078013")</f>
        <v>http://dx.doi.org/10.1029/2018GL078013</v>
      </c>
      <c r="BG178" t="s">
        <v>74</v>
      </c>
      <c r="BH178" t="s">
        <v>74</v>
      </c>
      <c r="BI178">
        <v>9</v>
      </c>
      <c r="BJ178" t="s">
        <v>182</v>
      </c>
      <c r="BK178" t="s">
        <v>101</v>
      </c>
      <c r="BL178" t="s">
        <v>183</v>
      </c>
      <c r="BM178" t="s">
        <v>3821</v>
      </c>
      <c r="BN178" t="s">
        <v>74</v>
      </c>
      <c r="BO178" t="s">
        <v>3822</v>
      </c>
      <c r="BP178" t="s">
        <v>74</v>
      </c>
      <c r="BQ178" t="s">
        <v>74</v>
      </c>
      <c r="BR178" t="s">
        <v>104</v>
      </c>
      <c r="BS178" t="s">
        <v>3823</v>
      </c>
      <c r="BT178" t="str">
        <f>HYPERLINK("https%3A%2F%2Fwww.webofscience.com%2Fwos%2Fwoscc%2Ffull-record%2FWOS:000445727500039","View Full Record in Web of Science")</f>
        <v>View Full Record in Web of Science</v>
      </c>
    </row>
    <row r="179" spans="1:72" x14ac:dyDescent="0.15">
      <c r="A179" t="s">
        <v>72</v>
      </c>
      <c r="B179" t="s">
        <v>3824</v>
      </c>
      <c r="C179" t="s">
        <v>74</v>
      </c>
      <c r="D179" t="s">
        <v>74</v>
      </c>
      <c r="E179" t="s">
        <v>74</v>
      </c>
      <c r="F179" t="s">
        <v>3825</v>
      </c>
      <c r="G179" t="s">
        <v>74</v>
      </c>
      <c r="H179" t="s">
        <v>74</v>
      </c>
      <c r="I179" t="s">
        <v>3826</v>
      </c>
      <c r="J179" t="s">
        <v>3089</v>
      </c>
      <c r="K179" t="s">
        <v>74</v>
      </c>
      <c r="L179" t="s">
        <v>74</v>
      </c>
      <c r="M179" t="s">
        <v>78</v>
      </c>
      <c r="N179" t="s">
        <v>79</v>
      </c>
      <c r="O179" t="s">
        <v>74</v>
      </c>
      <c r="P179" t="s">
        <v>74</v>
      </c>
      <c r="Q179" t="s">
        <v>74</v>
      </c>
      <c r="R179" t="s">
        <v>74</v>
      </c>
      <c r="S179" t="s">
        <v>74</v>
      </c>
      <c r="T179" t="s">
        <v>3827</v>
      </c>
      <c r="U179" t="s">
        <v>3828</v>
      </c>
      <c r="V179" t="s">
        <v>3829</v>
      </c>
      <c r="W179" t="s">
        <v>3830</v>
      </c>
      <c r="X179" t="s">
        <v>3831</v>
      </c>
      <c r="Y179" t="s">
        <v>3832</v>
      </c>
      <c r="Z179" t="s">
        <v>3833</v>
      </c>
      <c r="AA179" t="s">
        <v>3834</v>
      </c>
      <c r="AB179" t="s">
        <v>3835</v>
      </c>
      <c r="AC179" t="s">
        <v>3836</v>
      </c>
      <c r="AD179" t="s">
        <v>3837</v>
      </c>
      <c r="AE179" t="s">
        <v>3838</v>
      </c>
      <c r="AF179" t="s">
        <v>74</v>
      </c>
      <c r="AG179">
        <v>67</v>
      </c>
      <c r="AH179">
        <v>23</v>
      </c>
      <c r="AI179">
        <v>25</v>
      </c>
      <c r="AJ179">
        <v>1</v>
      </c>
      <c r="AK179">
        <v>25</v>
      </c>
      <c r="AL179" t="s">
        <v>503</v>
      </c>
      <c r="AM179" t="s">
        <v>504</v>
      </c>
      <c r="AN179" t="s">
        <v>505</v>
      </c>
      <c r="AO179" t="s">
        <v>3100</v>
      </c>
      <c r="AP179" t="s">
        <v>3101</v>
      </c>
      <c r="AQ179" t="s">
        <v>74</v>
      </c>
      <c r="AR179" t="s">
        <v>3102</v>
      </c>
      <c r="AS179" t="s">
        <v>3103</v>
      </c>
      <c r="AT179" t="s">
        <v>3702</v>
      </c>
      <c r="AU179">
        <v>2018</v>
      </c>
      <c r="AV179">
        <v>45</v>
      </c>
      <c r="AW179">
        <v>17</v>
      </c>
      <c r="AX179" t="s">
        <v>74</v>
      </c>
      <c r="AY179" t="s">
        <v>74</v>
      </c>
      <c r="AZ179" t="s">
        <v>74</v>
      </c>
      <c r="BA179" t="s">
        <v>74</v>
      </c>
      <c r="BB179">
        <v>9160</v>
      </c>
      <c r="BC179">
        <v>9170</v>
      </c>
      <c r="BD179" t="s">
        <v>74</v>
      </c>
      <c r="BE179" t="s">
        <v>3839</v>
      </c>
      <c r="BF179" t="str">
        <f>HYPERLINK("http://dx.doi.org/10.1029/2018GL077019","http://dx.doi.org/10.1029/2018GL077019")</f>
        <v>http://dx.doi.org/10.1029/2018GL077019</v>
      </c>
      <c r="BG179" t="s">
        <v>74</v>
      </c>
      <c r="BH179" t="s">
        <v>74</v>
      </c>
      <c r="BI179">
        <v>11</v>
      </c>
      <c r="BJ179" t="s">
        <v>182</v>
      </c>
      <c r="BK179" t="s">
        <v>101</v>
      </c>
      <c r="BL179" t="s">
        <v>183</v>
      </c>
      <c r="BM179" t="s">
        <v>3821</v>
      </c>
      <c r="BN179" t="s">
        <v>74</v>
      </c>
      <c r="BO179" t="s">
        <v>3263</v>
      </c>
      <c r="BP179" t="s">
        <v>74</v>
      </c>
      <c r="BQ179" t="s">
        <v>74</v>
      </c>
      <c r="BR179" t="s">
        <v>104</v>
      </c>
      <c r="BS179" t="s">
        <v>3840</v>
      </c>
      <c r="BT179" t="str">
        <f>HYPERLINK("https%3A%2F%2Fwww.webofscience.com%2Fwos%2Fwoscc%2Ffull-record%2FWOS:000445727500051","View Full Record in Web of Science")</f>
        <v>View Full Record in Web of Science</v>
      </c>
    </row>
    <row r="180" spans="1:72" x14ac:dyDescent="0.15">
      <c r="A180" t="s">
        <v>72</v>
      </c>
      <c r="B180" t="s">
        <v>3841</v>
      </c>
      <c r="C180" t="s">
        <v>74</v>
      </c>
      <c r="D180" t="s">
        <v>74</v>
      </c>
      <c r="E180" t="s">
        <v>74</v>
      </c>
      <c r="F180" t="s">
        <v>3842</v>
      </c>
      <c r="G180" t="s">
        <v>74</v>
      </c>
      <c r="H180" t="s">
        <v>74</v>
      </c>
      <c r="I180" t="s">
        <v>3843</v>
      </c>
      <c r="J180" t="s">
        <v>3226</v>
      </c>
      <c r="K180" t="s">
        <v>74</v>
      </c>
      <c r="L180" t="s">
        <v>74</v>
      </c>
      <c r="M180" t="s">
        <v>78</v>
      </c>
      <c r="N180" t="s">
        <v>79</v>
      </c>
      <c r="O180" t="s">
        <v>74</v>
      </c>
      <c r="P180" t="s">
        <v>74</v>
      </c>
      <c r="Q180" t="s">
        <v>74</v>
      </c>
      <c r="R180" t="s">
        <v>74</v>
      </c>
      <c r="S180" t="s">
        <v>74</v>
      </c>
      <c r="T180" t="s">
        <v>3844</v>
      </c>
      <c r="U180" t="s">
        <v>3845</v>
      </c>
      <c r="V180" t="s">
        <v>3846</v>
      </c>
      <c r="W180" t="s">
        <v>3847</v>
      </c>
      <c r="X180" t="s">
        <v>3848</v>
      </c>
      <c r="Y180" t="s">
        <v>3849</v>
      </c>
      <c r="Z180" t="s">
        <v>3850</v>
      </c>
      <c r="AA180" t="s">
        <v>74</v>
      </c>
      <c r="AB180" t="s">
        <v>3851</v>
      </c>
      <c r="AC180" t="s">
        <v>3852</v>
      </c>
      <c r="AD180" t="s">
        <v>3853</v>
      </c>
      <c r="AE180" t="s">
        <v>3854</v>
      </c>
      <c r="AF180" t="s">
        <v>74</v>
      </c>
      <c r="AG180">
        <v>83</v>
      </c>
      <c r="AH180">
        <v>61</v>
      </c>
      <c r="AI180">
        <v>64</v>
      </c>
      <c r="AJ180">
        <v>0</v>
      </c>
      <c r="AK180">
        <v>9</v>
      </c>
      <c r="AL180" t="s">
        <v>503</v>
      </c>
      <c r="AM180" t="s">
        <v>504</v>
      </c>
      <c r="AN180" t="s">
        <v>505</v>
      </c>
      <c r="AO180" t="s">
        <v>3239</v>
      </c>
      <c r="AP180" t="s">
        <v>3240</v>
      </c>
      <c r="AQ180" t="s">
        <v>74</v>
      </c>
      <c r="AR180" t="s">
        <v>3241</v>
      </c>
      <c r="AS180" t="s">
        <v>3242</v>
      </c>
      <c r="AT180" t="s">
        <v>3702</v>
      </c>
      <c r="AU180">
        <v>2018</v>
      </c>
      <c r="AV180">
        <v>123</v>
      </c>
      <c r="AW180">
        <v>17</v>
      </c>
      <c r="AX180" t="s">
        <v>74</v>
      </c>
      <c r="AY180" t="s">
        <v>74</v>
      </c>
      <c r="AZ180" t="s">
        <v>74</v>
      </c>
      <c r="BA180" t="s">
        <v>74</v>
      </c>
      <c r="BB180">
        <v>9326</v>
      </c>
      <c r="BC180">
        <v>9369</v>
      </c>
      <c r="BD180" t="s">
        <v>74</v>
      </c>
      <c r="BE180" t="s">
        <v>3855</v>
      </c>
      <c r="BF180" t="str">
        <f>HYPERLINK("http://dx.doi.org/10.1029/2017JD027974","http://dx.doi.org/10.1029/2017JD027974")</f>
        <v>http://dx.doi.org/10.1029/2017JD027974</v>
      </c>
      <c r="BG180" t="s">
        <v>74</v>
      </c>
      <c r="BH180" t="s">
        <v>74</v>
      </c>
      <c r="BI180">
        <v>44</v>
      </c>
      <c r="BJ180" t="s">
        <v>369</v>
      </c>
      <c r="BK180" t="s">
        <v>101</v>
      </c>
      <c r="BL180" t="s">
        <v>369</v>
      </c>
      <c r="BM180" t="s">
        <v>3704</v>
      </c>
      <c r="BN180" t="s">
        <v>74</v>
      </c>
      <c r="BO180" t="s">
        <v>712</v>
      </c>
      <c r="BP180" t="s">
        <v>74</v>
      </c>
      <c r="BQ180" t="s">
        <v>74</v>
      </c>
      <c r="BR180" t="s">
        <v>104</v>
      </c>
      <c r="BS180" t="s">
        <v>3856</v>
      </c>
      <c r="BT180" t="str">
        <f>HYPERLINK("https%3A%2F%2Fwww.webofscience.com%2Fwos%2Fwoscc%2Ffull-record%2FWOS:000445617500023","View Full Record in Web of Science")</f>
        <v>View Full Record in Web of Science</v>
      </c>
    </row>
    <row r="181" spans="1:72" x14ac:dyDescent="0.15">
      <c r="A181" t="s">
        <v>72</v>
      </c>
      <c r="B181" t="s">
        <v>3857</v>
      </c>
      <c r="C181" t="s">
        <v>74</v>
      </c>
      <c r="D181" t="s">
        <v>74</v>
      </c>
      <c r="E181" t="s">
        <v>74</v>
      </c>
      <c r="F181" t="s">
        <v>3858</v>
      </c>
      <c r="G181" t="s">
        <v>74</v>
      </c>
      <c r="H181" t="s">
        <v>74</v>
      </c>
      <c r="I181" t="s">
        <v>3859</v>
      </c>
      <c r="J181" t="s">
        <v>3860</v>
      </c>
      <c r="K181" t="s">
        <v>74</v>
      </c>
      <c r="L181" t="s">
        <v>74</v>
      </c>
      <c r="M181" t="s">
        <v>78</v>
      </c>
      <c r="N181" t="s">
        <v>79</v>
      </c>
      <c r="O181" t="s">
        <v>74</v>
      </c>
      <c r="P181" t="s">
        <v>74</v>
      </c>
      <c r="Q181" t="s">
        <v>74</v>
      </c>
      <c r="R181" t="s">
        <v>74</v>
      </c>
      <c r="S181" t="s">
        <v>74</v>
      </c>
      <c r="T181" t="s">
        <v>3861</v>
      </c>
      <c r="U181" t="s">
        <v>3862</v>
      </c>
      <c r="V181" t="s">
        <v>3863</v>
      </c>
      <c r="W181" t="s">
        <v>3864</v>
      </c>
      <c r="X181" t="s">
        <v>3865</v>
      </c>
      <c r="Y181" t="s">
        <v>3866</v>
      </c>
      <c r="Z181" t="s">
        <v>3867</v>
      </c>
      <c r="AA181" t="s">
        <v>3868</v>
      </c>
      <c r="AB181" t="s">
        <v>3869</v>
      </c>
      <c r="AC181" t="s">
        <v>3870</v>
      </c>
      <c r="AD181" t="s">
        <v>3871</v>
      </c>
      <c r="AE181" t="s">
        <v>3872</v>
      </c>
      <c r="AF181" t="s">
        <v>74</v>
      </c>
      <c r="AG181">
        <v>23</v>
      </c>
      <c r="AH181">
        <v>37</v>
      </c>
      <c r="AI181">
        <v>42</v>
      </c>
      <c r="AJ181">
        <v>1</v>
      </c>
      <c r="AK181">
        <v>32</v>
      </c>
      <c r="AL181" t="s">
        <v>201</v>
      </c>
      <c r="AM181" t="s">
        <v>93</v>
      </c>
      <c r="AN181" t="s">
        <v>202</v>
      </c>
      <c r="AO181" t="s">
        <v>3873</v>
      </c>
      <c r="AP181" t="s">
        <v>3874</v>
      </c>
      <c r="AQ181" t="s">
        <v>74</v>
      </c>
      <c r="AR181" t="s">
        <v>3875</v>
      </c>
      <c r="AS181" t="s">
        <v>3876</v>
      </c>
      <c r="AT181" t="s">
        <v>3877</v>
      </c>
      <c r="AU181">
        <v>2018</v>
      </c>
      <c r="AV181">
        <v>62</v>
      </c>
      <c r="AW181">
        <v>6</v>
      </c>
      <c r="AX181" t="s">
        <v>74</v>
      </c>
      <c r="AY181" t="s">
        <v>74</v>
      </c>
      <c r="AZ181" t="s">
        <v>74</v>
      </c>
      <c r="BA181" t="s">
        <v>74</v>
      </c>
      <c r="BB181">
        <v>1243</v>
      </c>
      <c r="BC181">
        <v>1250</v>
      </c>
      <c r="BD181" t="s">
        <v>74</v>
      </c>
      <c r="BE181" t="s">
        <v>3878</v>
      </c>
      <c r="BF181" t="str">
        <f>HYPERLINK("http://dx.doi.org/10.1016/j.asr.2017.09.007","http://dx.doi.org/10.1016/j.asr.2017.09.007")</f>
        <v>http://dx.doi.org/10.1016/j.asr.2017.09.007</v>
      </c>
      <c r="BG181" t="s">
        <v>74</v>
      </c>
      <c r="BH181" t="s">
        <v>74</v>
      </c>
      <c r="BI181">
        <v>8</v>
      </c>
      <c r="BJ181" t="s">
        <v>3879</v>
      </c>
      <c r="BK181" t="s">
        <v>101</v>
      </c>
      <c r="BL181" t="s">
        <v>3880</v>
      </c>
      <c r="BM181" t="s">
        <v>3881</v>
      </c>
      <c r="BN181" t="s">
        <v>74</v>
      </c>
      <c r="BO181" t="s">
        <v>74</v>
      </c>
      <c r="BP181" t="s">
        <v>74</v>
      </c>
      <c r="BQ181" t="s">
        <v>74</v>
      </c>
      <c r="BR181" t="s">
        <v>104</v>
      </c>
      <c r="BS181" t="s">
        <v>3882</v>
      </c>
      <c r="BT181" t="str">
        <f>HYPERLINK("https%3A%2F%2Fwww.webofscience.com%2Fwos%2Fwoscc%2Ffull-record%2FWOS:000442977600006","View Full Record in Web of Science")</f>
        <v>View Full Record in Web of Science</v>
      </c>
    </row>
    <row r="182" spans="1:72" x14ac:dyDescent="0.15">
      <c r="A182" t="s">
        <v>72</v>
      </c>
      <c r="B182" t="s">
        <v>3883</v>
      </c>
      <c r="C182" t="s">
        <v>74</v>
      </c>
      <c r="D182" t="s">
        <v>74</v>
      </c>
      <c r="E182" t="s">
        <v>74</v>
      </c>
      <c r="F182" t="s">
        <v>3884</v>
      </c>
      <c r="G182" t="s">
        <v>74</v>
      </c>
      <c r="H182" t="s">
        <v>3885</v>
      </c>
      <c r="I182" t="s">
        <v>3886</v>
      </c>
      <c r="J182" t="s">
        <v>3887</v>
      </c>
      <c r="K182" t="s">
        <v>74</v>
      </c>
      <c r="L182" t="s">
        <v>74</v>
      </c>
      <c r="M182" t="s">
        <v>78</v>
      </c>
      <c r="N182" t="s">
        <v>79</v>
      </c>
      <c r="O182" t="s">
        <v>74</v>
      </c>
      <c r="P182" t="s">
        <v>74</v>
      </c>
      <c r="Q182" t="s">
        <v>74</v>
      </c>
      <c r="R182" t="s">
        <v>74</v>
      </c>
      <c r="S182" t="s">
        <v>74</v>
      </c>
      <c r="T182" t="s">
        <v>3888</v>
      </c>
      <c r="U182" t="s">
        <v>3889</v>
      </c>
      <c r="V182" t="s">
        <v>3890</v>
      </c>
      <c r="W182" t="s">
        <v>3891</v>
      </c>
      <c r="X182" t="s">
        <v>3892</v>
      </c>
      <c r="Y182" t="s">
        <v>3893</v>
      </c>
      <c r="Z182" t="s">
        <v>3894</v>
      </c>
      <c r="AA182" t="s">
        <v>3895</v>
      </c>
      <c r="AB182" t="s">
        <v>3896</v>
      </c>
      <c r="AC182" t="s">
        <v>3897</v>
      </c>
      <c r="AD182" t="s">
        <v>3898</v>
      </c>
      <c r="AE182" t="s">
        <v>3899</v>
      </c>
      <c r="AF182" t="s">
        <v>74</v>
      </c>
      <c r="AG182">
        <v>69</v>
      </c>
      <c r="AH182">
        <v>18</v>
      </c>
      <c r="AI182">
        <v>19</v>
      </c>
      <c r="AJ182">
        <v>0</v>
      </c>
      <c r="AK182">
        <v>24</v>
      </c>
      <c r="AL182" t="s">
        <v>430</v>
      </c>
      <c r="AM182" t="s">
        <v>286</v>
      </c>
      <c r="AN182" t="s">
        <v>431</v>
      </c>
      <c r="AO182" t="s">
        <v>3900</v>
      </c>
      <c r="AP182" t="s">
        <v>3901</v>
      </c>
      <c r="AQ182" t="s">
        <v>74</v>
      </c>
      <c r="AR182" t="s">
        <v>3887</v>
      </c>
      <c r="AS182" t="s">
        <v>3902</v>
      </c>
      <c r="AT182" t="s">
        <v>3877</v>
      </c>
      <c r="AU182">
        <v>2018</v>
      </c>
      <c r="AV182">
        <v>317</v>
      </c>
      <c r="AW182" t="s">
        <v>74</v>
      </c>
      <c r="AX182" t="s">
        <v>74</v>
      </c>
      <c r="AY182" t="s">
        <v>74</v>
      </c>
      <c r="AZ182" t="s">
        <v>74</v>
      </c>
      <c r="BA182" t="s">
        <v>74</v>
      </c>
      <c r="BB182">
        <v>10</v>
      </c>
      <c r="BC182">
        <v>22</v>
      </c>
      <c r="BD182" t="s">
        <v>74</v>
      </c>
      <c r="BE182" t="s">
        <v>3903</v>
      </c>
      <c r="BF182" t="str">
        <f>HYPERLINK("http://dx.doi.org/10.1016/j.geomorph.2018.05.020","http://dx.doi.org/10.1016/j.geomorph.2018.05.020")</f>
        <v>http://dx.doi.org/10.1016/j.geomorph.2018.05.020</v>
      </c>
      <c r="BG182" t="s">
        <v>74</v>
      </c>
      <c r="BH182" t="s">
        <v>74</v>
      </c>
      <c r="BI182">
        <v>13</v>
      </c>
      <c r="BJ182" t="s">
        <v>208</v>
      </c>
      <c r="BK182" t="s">
        <v>101</v>
      </c>
      <c r="BL182" t="s">
        <v>209</v>
      </c>
      <c r="BM182" t="s">
        <v>3904</v>
      </c>
      <c r="BN182" t="s">
        <v>74</v>
      </c>
      <c r="BO182" t="s">
        <v>486</v>
      </c>
      <c r="BP182" t="s">
        <v>74</v>
      </c>
      <c r="BQ182" t="s">
        <v>74</v>
      </c>
      <c r="BR182" t="s">
        <v>104</v>
      </c>
      <c r="BS182" t="s">
        <v>3905</v>
      </c>
      <c r="BT182" t="str">
        <f>HYPERLINK("https%3A%2F%2Fwww.webofscience.com%2Fwos%2Fwoscc%2Ffull-record%2FWOS:000440120600002","View Full Record in Web of Science")</f>
        <v>View Full Record in Web of Science</v>
      </c>
    </row>
    <row r="183" spans="1:72" x14ac:dyDescent="0.15">
      <c r="A183" t="s">
        <v>72</v>
      </c>
      <c r="B183" t="s">
        <v>3906</v>
      </c>
      <c r="C183" t="s">
        <v>74</v>
      </c>
      <c r="D183" t="s">
        <v>74</v>
      </c>
      <c r="E183" t="s">
        <v>74</v>
      </c>
      <c r="F183" t="s">
        <v>3907</v>
      </c>
      <c r="G183" t="s">
        <v>74</v>
      </c>
      <c r="H183" t="s">
        <v>74</v>
      </c>
      <c r="I183" t="s">
        <v>3908</v>
      </c>
      <c r="J183" t="s">
        <v>1173</v>
      </c>
      <c r="K183" t="s">
        <v>74</v>
      </c>
      <c r="L183" t="s">
        <v>74</v>
      </c>
      <c r="M183" t="s">
        <v>78</v>
      </c>
      <c r="N183" t="s">
        <v>79</v>
      </c>
      <c r="O183" t="s">
        <v>74</v>
      </c>
      <c r="P183" t="s">
        <v>74</v>
      </c>
      <c r="Q183" t="s">
        <v>74</v>
      </c>
      <c r="R183" t="s">
        <v>74</v>
      </c>
      <c r="S183" t="s">
        <v>74</v>
      </c>
      <c r="T183" t="s">
        <v>3909</v>
      </c>
      <c r="U183" t="s">
        <v>3910</v>
      </c>
      <c r="V183" t="s">
        <v>3911</v>
      </c>
      <c r="W183" t="s">
        <v>3912</v>
      </c>
      <c r="X183" t="s">
        <v>3913</v>
      </c>
      <c r="Y183" t="s">
        <v>3914</v>
      </c>
      <c r="Z183" t="s">
        <v>3915</v>
      </c>
      <c r="AA183" t="s">
        <v>3916</v>
      </c>
      <c r="AB183" t="s">
        <v>3917</v>
      </c>
      <c r="AC183" t="s">
        <v>3918</v>
      </c>
      <c r="AD183" t="s">
        <v>3919</v>
      </c>
      <c r="AE183" t="s">
        <v>3920</v>
      </c>
      <c r="AF183" t="s">
        <v>74</v>
      </c>
      <c r="AG183">
        <v>69</v>
      </c>
      <c r="AH183">
        <v>12</v>
      </c>
      <c r="AI183">
        <v>15</v>
      </c>
      <c r="AJ183">
        <v>0</v>
      </c>
      <c r="AK183">
        <v>27</v>
      </c>
      <c r="AL183" t="s">
        <v>430</v>
      </c>
      <c r="AM183" t="s">
        <v>286</v>
      </c>
      <c r="AN183" t="s">
        <v>431</v>
      </c>
      <c r="AO183" t="s">
        <v>1180</v>
      </c>
      <c r="AP183" t="s">
        <v>1181</v>
      </c>
      <c r="AQ183" t="s">
        <v>74</v>
      </c>
      <c r="AR183" t="s">
        <v>1182</v>
      </c>
      <c r="AS183" t="s">
        <v>1183</v>
      </c>
      <c r="AT183" t="s">
        <v>3877</v>
      </c>
      <c r="AU183">
        <v>2018</v>
      </c>
      <c r="AV183">
        <v>505</v>
      </c>
      <c r="AW183" t="s">
        <v>74</v>
      </c>
      <c r="AX183" t="s">
        <v>74</v>
      </c>
      <c r="AY183" t="s">
        <v>74</v>
      </c>
      <c r="AZ183" t="s">
        <v>74</v>
      </c>
      <c r="BA183" t="s">
        <v>74</v>
      </c>
      <c r="BB183">
        <v>359</v>
      </c>
      <c r="BC183">
        <v>370</v>
      </c>
      <c r="BD183" t="s">
        <v>74</v>
      </c>
      <c r="BE183" t="s">
        <v>3921</v>
      </c>
      <c r="BF183" t="str">
        <f>HYPERLINK("http://dx.doi.org/10.1016/j.palaeo.2018.06.016","http://dx.doi.org/10.1016/j.palaeo.2018.06.016")</f>
        <v>http://dx.doi.org/10.1016/j.palaeo.2018.06.016</v>
      </c>
      <c r="BG183" t="s">
        <v>74</v>
      </c>
      <c r="BH183" t="s">
        <v>74</v>
      </c>
      <c r="BI183">
        <v>12</v>
      </c>
      <c r="BJ183" t="s">
        <v>1185</v>
      </c>
      <c r="BK183" t="s">
        <v>101</v>
      </c>
      <c r="BL183" t="s">
        <v>1186</v>
      </c>
      <c r="BM183" t="s">
        <v>3922</v>
      </c>
      <c r="BN183" t="s">
        <v>74</v>
      </c>
      <c r="BO183" t="s">
        <v>74</v>
      </c>
      <c r="BP183" t="s">
        <v>74</v>
      </c>
      <c r="BQ183" t="s">
        <v>74</v>
      </c>
      <c r="BR183" t="s">
        <v>104</v>
      </c>
      <c r="BS183" t="s">
        <v>3923</v>
      </c>
      <c r="BT183" t="str">
        <f>HYPERLINK("https%3A%2F%2Fwww.webofscience.com%2Fwos%2Fwoscc%2Ffull-record%2FWOS:000438477700031","View Full Record in Web of Science")</f>
        <v>View Full Record in Web of Science</v>
      </c>
    </row>
    <row r="184" spans="1:72" x14ac:dyDescent="0.15">
      <c r="A184" t="s">
        <v>72</v>
      </c>
      <c r="B184" t="s">
        <v>3924</v>
      </c>
      <c r="C184" t="s">
        <v>74</v>
      </c>
      <c r="D184" t="s">
        <v>74</v>
      </c>
      <c r="E184" t="s">
        <v>74</v>
      </c>
      <c r="F184" t="s">
        <v>3925</v>
      </c>
      <c r="G184" t="s">
        <v>74</v>
      </c>
      <c r="H184" t="s">
        <v>74</v>
      </c>
      <c r="I184" t="s">
        <v>3926</v>
      </c>
      <c r="J184" t="s">
        <v>3860</v>
      </c>
      <c r="K184" t="s">
        <v>74</v>
      </c>
      <c r="L184" t="s">
        <v>74</v>
      </c>
      <c r="M184" t="s">
        <v>78</v>
      </c>
      <c r="N184" t="s">
        <v>79</v>
      </c>
      <c r="O184" t="s">
        <v>74</v>
      </c>
      <c r="P184" t="s">
        <v>74</v>
      </c>
      <c r="Q184" t="s">
        <v>74</v>
      </c>
      <c r="R184" t="s">
        <v>74</v>
      </c>
      <c r="S184" t="s">
        <v>74</v>
      </c>
      <c r="T184" t="s">
        <v>3927</v>
      </c>
      <c r="U184" t="s">
        <v>3928</v>
      </c>
      <c r="V184" t="s">
        <v>3929</v>
      </c>
      <c r="W184" t="s">
        <v>3930</v>
      </c>
      <c r="X184" t="s">
        <v>3931</v>
      </c>
      <c r="Y184" t="s">
        <v>3932</v>
      </c>
      <c r="Z184" t="s">
        <v>3933</v>
      </c>
      <c r="AA184" t="s">
        <v>74</v>
      </c>
      <c r="AB184" t="s">
        <v>3934</v>
      </c>
      <c r="AC184" t="s">
        <v>3935</v>
      </c>
      <c r="AD184" t="s">
        <v>3936</v>
      </c>
      <c r="AE184" t="s">
        <v>3937</v>
      </c>
      <c r="AF184" t="s">
        <v>74</v>
      </c>
      <c r="AG184">
        <v>54</v>
      </c>
      <c r="AH184">
        <v>9</v>
      </c>
      <c r="AI184">
        <v>11</v>
      </c>
      <c r="AJ184">
        <v>0</v>
      </c>
      <c r="AK184">
        <v>10</v>
      </c>
      <c r="AL184" t="s">
        <v>201</v>
      </c>
      <c r="AM184" t="s">
        <v>93</v>
      </c>
      <c r="AN184" t="s">
        <v>202</v>
      </c>
      <c r="AO184" t="s">
        <v>3873</v>
      </c>
      <c r="AP184" t="s">
        <v>3874</v>
      </c>
      <c r="AQ184" t="s">
        <v>74</v>
      </c>
      <c r="AR184" t="s">
        <v>3875</v>
      </c>
      <c r="AS184" t="s">
        <v>3876</v>
      </c>
      <c r="AT184" t="s">
        <v>3877</v>
      </c>
      <c r="AU184">
        <v>2018</v>
      </c>
      <c r="AV184">
        <v>62</v>
      </c>
      <c r="AW184">
        <v>6</v>
      </c>
      <c r="AX184" t="s">
        <v>74</v>
      </c>
      <c r="AY184" t="s">
        <v>74</v>
      </c>
      <c r="AZ184" t="s">
        <v>74</v>
      </c>
      <c r="BA184" t="s">
        <v>74</v>
      </c>
      <c r="BB184">
        <v>1307</v>
      </c>
      <c r="BC184">
        <v>1323</v>
      </c>
      <c r="BD184" t="s">
        <v>74</v>
      </c>
      <c r="BE184" t="s">
        <v>3938</v>
      </c>
      <c r="BF184" t="str">
        <f>HYPERLINK("http://dx.doi.org/10.1016/j.asr.2018.06.043","http://dx.doi.org/10.1016/j.asr.2018.06.043")</f>
        <v>http://dx.doi.org/10.1016/j.asr.2018.06.043</v>
      </c>
      <c r="BG184" t="s">
        <v>74</v>
      </c>
      <c r="BH184" t="s">
        <v>74</v>
      </c>
      <c r="BI184">
        <v>17</v>
      </c>
      <c r="BJ184" t="s">
        <v>3879</v>
      </c>
      <c r="BK184" t="s">
        <v>101</v>
      </c>
      <c r="BL184" t="s">
        <v>3880</v>
      </c>
      <c r="BM184" t="s">
        <v>3881</v>
      </c>
      <c r="BN184" t="s">
        <v>74</v>
      </c>
      <c r="BO184" t="s">
        <v>74</v>
      </c>
      <c r="BP184" t="s">
        <v>74</v>
      </c>
      <c r="BQ184" t="s">
        <v>74</v>
      </c>
      <c r="BR184" t="s">
        <v>104</v>
      </c>
      <c r="BS184" t="s">
        <v>3939</v>
      </c>
      <c r="BT184" t="str">
        <f>HYPERLINK("https%3A%2F%2Fwww.webofscience.com%2Fwos%2Fwoscc%2Ffull-record%2FWOS:000442977600011","View Full Record in Web of Science")</f>
        <v>View Full Record in Web of Science</v>
      </c>
    </row>
    <row r="185" spans="1:72" x14ac:dyDescent="0.15">
      <c r="A185" t="s">
        <v>72</v>
      </c>
      <c r="B185" t="s">
        <v>3940</v>
      </c>
      <c r="C185" t="s">
        <v>74</v>
      </c>
      <c r="D185" t="s">
        <v>74</v>
      </c>
      <c r="E185" t="s">
        <v>74</v>
      </c>
      <c r="F185" t="s">
        <v>3941</v>
      </c>
      <c r="G185" t="s">
        <v>74</v>
      </c>
      <c r="H185" t="s">
        <v>74</v>
      </c>
      <c r="I185" t="s">
        <v>3942</v>
      </c>
      <c r="J185" t="s">
        <v>3860</v>
      </c>
      <c r="K185" t="s">
        <v>74</v>
      </c>
      <c r="L185" t="s">
        <v>74</v>
      </c>
      <c r="M185" t="s">
        <v>78</v>
      </c>
      <c r="N185" t="s">
        <v>79</v>
      </c>
      <c r="O185" t="s">
        <v>74</v>
      </c>
      <c r="P185" t="s">
        <v>74</v>
      </c>
      <c r="Q185" t="s">
        <v>74</v>
      </c>
      <c r="R185" t="s">
        <v>74</v>
      </c>
      <c r="S185" t="s">
        <v>74</v>
      </c>
      <c r="T185" t="s">
        <v>3943</v>
      </c>
      <c r="U185" t="s">
        <v>3944</v>
      </c>
      <c r="V185" t="s">
        <v>3945</v>
      </c>
      <c r="W185" t="s">
        <v>3946</v>
      </c>
      <c r="X185" t="s">
        <v>3947</v>
      </c>
      <c r="Y185" t="s">
        <v>3948</v>
      </c>
      <c r="Z185" t="s">
        <v>3949</v>
      </c>
      <c r="AA185" t="s">
        <v>3950</v>
      </c>
      <c r="AB185" t="s">
        <v>3951</v>
      </c>
      <c r="AC185" t="s">
        <v>3952</v>
      </c>
      <c r="AD185" t="s">
        <v>3953</v>
      </c>
      <c r="AE185" t="s">
        <v>3954</v>
      </c>
      <c r="AF185" t="s">
        <v>74</v>
      </c>
      <c r="AG185">
        <v>25</v>
      </c>
      <c r="AH185">
        <v>14</v>
      </c>
      <c r="AI185">
        <v>14</v>
      </c>
      <c r="AJ185">
        <v>1</v>
      </c>
      <c r="AK185">
        <v>12</v>
      </c>
      <c r="AL185" t="s">
        <v>201</v>
      </c>
      <c r="AM185" t="s">
        <v>93</v>
      </c>
      <c r="AN185" t="s">
        <v>202</v>
      </c>
      <c r="AO185" t="s">
        <v>3873</v>
      </c>
      <c r="AP185" t="s">
        <v>3874</v>
      </c>
      <c r="AQ185" t="s">
        <v>74</v>
      </c>
      <c r="AR185" t="s">
        <v>3875</v>
      </c>
      <c r="AS185" t="s">
        <v>3876</v>
      </c>
      <c r="AT185" t="s">
        <v>3877</v>
      </c>
      <c r="AU185">
        <v>2018</v>
      </c>
      <c r="AV185">
        <v>62</v>
      </c>
      <c r="AW185">
        <v>6</v>
      </c>
      <c r="AX185" t="s">
        <v>74</v>
      </c>
      <c r="AY185" t="s">
        <v>74</v>
      </c>
      <c r="AZ185" t="s">
        <v>74</v>
      </c>
      <c r="BA185" t="s">
        <v>74</v>
      </c>
      <c r="BB185">
        <v>1610</v>
      </c>
      <c r="BC185">
        <v>1625</v>
      </c>
      <c r="BD185" t="s">
        <v>74</v>
      </c>
      <c r="BE185" t="s">
        <v>3955</v>
      </c>
      <c r="BF185" t="str">
        <f>HYPERLINK("http://dx.doi.org/10.1016/j.asr.2017.07.011","http://dx.doi.org/10.1016/j.asr.2017.07.011")</f>
        <v>http://dx.doi.org/10.1016/j.asr.2017.07.011</v>
      </c>
      <c r="BG185" t="s">
        <v>74</v>
      </c>
      <c r="BH185" t="s">
        <v>74</v>
      </c>
      <c r="BI185">
        <v>16</v>
      </c>
      <c r="BJ185" t="s">
        <v>3879</v>
      </c>
      <c r="BK185" t="s">
        <v>101</v>
      </c>
      <c r="BL185" t="s">
        <v>3880</v>
      </c>
      <c r="BM185" t="s">
        <v>3881</v>
      </c>
      <c r="BN185" t="s">
        <v>74</v>
      </c>
      <c r="BO185" t="s">
        <v>74</v>
      </c>
      <c r="BP185" t="s">
        <v>74</v>
      </c>
      <c r="BQ185" t="s">
        <v>74</v>
      </c>
      <c r="BR185" t="s">
        <v>104</v>
      </c>
      <c r="BS185" t="s">
        <v>3956</v>
      </c>
      <c r="BT185" t="str">
        <f>HYPERLINK("https%3A%2F%2Fwww.webofscience.com%2Fwos%2Fwoscc%2Ffull-record%2FWOS:000442977600029","View Full Record in Web of Science")</f>
        <v>View Full Record in Web of Science</v>
      </c>
    </row>
    <row r="186" spans="1:72" x14ac:dyDescent="0.15">
      <c r="A186" t="s">
        <v>72</v>
      </c>
      <c r="B186" t="s">
        <v>3957</v>
      </c>
      <c r="C186" t="s">
        <v>74</v>
      </c>
      <c r="D186" t="s">
        <v>74</v>
      </c>
      <c r="E186" t="s">
        <v>74</v>
      </c>
      <c r="F186" t="s">
        <v>3958</v>
      </c>
      <c r="G186" t="s">
        <v>74</v>
      </c>
      <c r="H186" t="s">
        <v>74</v>
      </c>
      <c r="I186" t="s">
        <v>3959</v>
      </c>
      <c r="J186" t="s">
        <v>466</v>
      </c>
      <c r="K186" t="s">
        <v>74</v>
      </c>
      <c r="L186" t="s">
        <v>74</v>
      </c>
      <c r="M186" t="s">
        <v>78</v>
      </c>
      <c r="N186" t="s">
        <v>79</v>
      </c>
      <c r="O186" t="s">
        <v>74</v>
      </c>
      <c r="P186" t="s">
        <v>74</v>
      </c>
      <c r="Q186" t="s">
        <v>74</v>
      </c>
      <c r="R186" t="s">
        <v>74</v>
      </c>
      <c r="S186" t="s">
        <v>74</v>
      </c>
      <c r="T186" t="s">
        <v>3960</v>
      </c>
      <c r="U186" t="s">
        <v>3961</v>
      </c>
      <c r="V186" t="s">
        <v>3962</v>
      </c>
      <c r="W186" t="s">
        <v>3963</v>
      </c>
      <c r="X186" t="s">
        <v>3964</v>
      </c>
      <c r="Y186" t="s">
        <v>3965</v>
      </c>
      <c r="Z186" t="s">
        <v>3966</v>
      </c>
      <c r="AA186" t="s">
        <v>3967</v>
      </c>
      <c r="AB186" t="s">
        <v>3968</v>
      </c>
      <c r="AC186" t="s">
        <v>3969</v>
      </c>
      <c r="AD186" t="s">
        <v>3970</v>
      </c>
      <c r="AE186" t="s">
        <v>3971</v>
      </c>
      <c r="AF186" t="s">
        <v>74</v>
      </c>
      <c r="AG186">
        <v>50</v>
      </c>
      <c r="AH186">
        <v>33</v>
      </c>
      <c r="AI186">
        <v>37</v>
      </c>
      <c r="AJ186">
        <v>0</v>
      </c>
      <c r="AK186">
        <v>10</v>
      </c>
      <c r="AL186" t="s">
        <v>430</v>
      </c>
      <c r="AM186" t="s">
        <v>286</v>
      </c>
      <c r="AN186" t="s">
        <v>431</v>
      </c>
      <c r="AO186" t="s">
        <v>479</v>
      </c>
      <c r="AP186" t="s">
        <v>480</v>
      </c>
      <c r="AQ186" t="s">
        <v>74</v>
      </c>
      <c r="AR186" t="s">
        <v>481</v>
      </c>
      <c r="AS186" t="s">
        <v>482</v>
      </c>
      <c r="AT186" t="s">
        <v>3877</v>
      </c>
      <c r="AU186">
        <v>2018</v>
      </c>
      <c r="AV186">
        <v>498</v>
      </c>
      <c r="AW186" t="s">
        <v>74</v>
      </c>
      <c r="AX186" t="s">
        <v>74</v>
      </c>
      <c r="AY186" t="s">
        <v>74</v>
      </c>
      <c r="AZ186" t="s">
        <v>74</v>
      </c>
      <c r="BA186" t="s">
        <v>74</v>
      </c>
      <c r="BB186">
        <v>17</v>
      </c>
      <c r="BC186">
        <v>26</v>
      </c>
      <c r="BD186" t="s">
        <v>74</v>
      </c>
      <c r="BE186" t="s">
        <v>3972</v>
      </c>
      <c r="BF186" t="str">
        <f>HYPERLINK("http://dx.doi.org/10.1016/j.epsl.2018.06.028","http://dx.doi.org/10.1016/j.epsl.2018.06.028")</f>
        <v>http://dx.doi.org/10.1016/j.epsl.2018.06.028</v>
      </c>
      <c r="BG186" t="s">
        <v>74</v>
      </c>
      <c r="BH186" t="s">
        <v>74</v>
      </c>
      <c r="BI186">
        <v>10</v>
      </c>
      <c r="BJ186" t="s">
        <v>484</v>
      </c>
      <c r="BK186" t="s">
        <v>101</v>
      </c>
      <c r="BL186" t="s">
        <v>484</v>
      </c>
      <c r="BM186" t="s">
        <v>3973</v>
      </c>
      <c r="BN186" t="s">
        <v>74</v>
      </c>
      <c r="BO186" t="s">
        <v>486</v>
      </c>
      <c r="BP186" t="s">
        <v>74</v>
      </c>
      <c r="BQ186" t="s">
        <v>74</v>
      </c>
      <c r="BR186" t="s">
        <v>104</v>
      </c>
      <c r="BS186" t="s">
        <v>3974</v>
      </c>
      <c r="BT186" t="str">
        <f>HYPERLINK("https%3A%2F%2Fwww.webofscience.com%2Fwos%2Fwoscc%2Ffull-record%2FWOS:000442060600003","View Full Record in Web of Science")</f>
        <v>View Full Record in Web of Science</v>
      </c>
    </row>
    <row r="187" spans="1:72" x14ac:dyDescent="0.15">
      <c r="A187" t="s">
        <v>72</v>
      </c>
      <c r="B187" t="s">
        <v>3975</v>
      </c>
      <c r="C187" t="s">
        <v>74</v>
      </c>
      <c r="D187" t="s">
        <v>74</v>
      </c>
      <c r="E187" t="s">
        <v>74</v>
      </c>
      <c r="F187" t="s">
        <v>3976</v>
      </c>
      <c r="G187" t="s">
        <v>74</v>
      </c>
      <c r="H187" t="s">
        <v>74</v>
      </c>
      <c r="I187" t="s">
        <v>3977</v>
      </c>
      <c r="J187" t="s">
        <v>466</v>
      </c>
      <c r="K187" t="s">
        <v>74</v>
      </c>
      <c r="L187" t="s">
        <v>74</v>
      </c>
      <c r="M187" t="s">
        <v>78</v>
      </c>
      <c r="N187" t="s">
        <v>79</v>
      </c>
      <c r="O187" t="s">
        <v>74</v>
      </c>
      <c r="P187" t="s">
        <v>74</v>
      </c>
      <c r="Q187" t="s">
        <v>74</v>
      </c>
      <c r="R187" t="s">
        <v>74</v>
      </c>
      <c r="S187" t="s">
        <v>74</v>
      </c>
      <c r="T187" t="s">
        <v>3978</v>
      </c>
      <c r="U187" t="s">
        <v>3979</v>
      </c>
      <c r="V187" t="s">
        <v>3980</v>
      </c>
      <c r="W187" t="s">
        <v>3981</v>
      </c>
      <c r="X187" t="s">
        <v>3982</v>
      </c>
      <c r="Y187" t="s">
        <v>3983</v>
      </c>
      <c r="Z187" t="s">
        <v>3984</v>
      </c>
      <c r="AA187" t="s">
        <v>3985</v>
      </c>
      <c r="AB187" t="s">
        <v>3986</v>
      </c>
      <c r="AC187" t="s">
        <v>3987</v>
      </c>
      <c r="AD187" t="s">
        <v>3988</v>
      </c>
      <c r="AE187" t="s">
        <v>3989</v>
      </c>
      <c r="AF187" t="s">
        <v>74</v>
      </c>
      <c r="AG187">
        <v>89</v>
      </c>
      <c r="AH187">
        <v>35</v>
      </c>
      <c r="AI187">
        <v>41</v>
      </c>
      <c r="AJ187">
        <v>1</v>
      </c>
      <c r="AK187">
        <v>27</v>
      </c>
      <c r="AL187" t="s">
        <v>285</v>
      </c>
      <c r="AM187" t="s">
        <v>286</v>
      </c>
      <c r="AN187" t="s">
        <v>287</v>
      </c>
      <c r="AO187" t="s">
        <v>479</v>
      </c>
      <c r="AP187" t="s">
        <v>480</v>
      </c>
      <c r="AQ187" t="s">
        <v>74</v>
      </c>
      <c r="AR187" t="s">
        <v>481</v>
      </c>
      <c r="AS187" t="s">
        <v>482</v>
      </c>
      <c r="AT187" t="s">
        <v>3877</v>
      </c>
      <c r="AU187">
        <v>2018</v>
      </c>
      <c r="AV187">
        <v>498</v>
      </c>
      <c r="AW187" t="s">
        <v>74</v>
      </c>
      <c r="AX187" t="s">
        <v>74</v>
      </c>
      <c r="AY187" t="s">
        <v>74</v>
      </c>
      <c r="AZ187" t="s">
        <v>74</v>
      </c>
      <c r="BA187" t="s">
        <v>74</v>
      </c>
      <c r="BB187">
        <v>38</v>
      </c>
      <c r="BC187">
        <v>53</v>
      </c>
      <c r="BD187" t="s">
        <v>74</v>
      </c>
      <c r="BE187" t="s">
        <v>3990</v>
      </c>
      <c r="BF187" t="str">
        <f>HYPERLINK("http://dx.doi.org/10.1016/j.epsl.2018.05.049","http://dx.doi.org/10.1016/j.epsl.2018.05.049")</f>
        <v>http://dx.doi.org/10.1016/j.epsl.2018.05.049</v>
      </c>
      <c r="BG187" t="s">
        <v>74</v>
      </c>
      <c r="BH187" t="s">
        <v>74</v>
      </c>
      <c r="BI187">
        <v>16</v>
      </c>
      <c r="BJ187" t="s">
        <v>484</v>
      </c>
      <c r="BK187" t="s">
        <v>101</v>
      </c>
      <c r="BL187" t="s">
        <v>484</v>
      </c>
      <c r="BM187" t="s">
        <v>3973</v>
      </c>
      <c r="BN187" t="s">
        <v>74</v>
      </c>
      <c r="BO187" t="s">
        <v>486</v>
      </c>
      <c r="BP187" t="s">
        <v>74</v>
      </c>
      <c r="BQ187" t="s">
        <v>74</v>
      </c>
      <c r="BR187" t="s">
        <v>104</v>
      </c>
      <c r="BS187" t="s">
        <v>3991</v>
      </c>
      <c r="BT187" t="str">
        <f>HYPERLINK("https%3A%2F%2Fwww.webofscience.com%2Fwos%2Fwoscc%2Ffull-record%2FWOS:000442060600005","View Full Record in Web of Science")</f>
        <v>View Full Record in Web of Science</v>
      </c>
    </row>
    <row r="188" spans="1:72" x14ac:dyDescent="0.15">
      <c r="A188" t="s">
        <v>72</v>
      </c>
      <c r="B188" t="s">
        <v>3992</v>
      </c>
      <c r="C188" t="s">
        <v>74</v>
      </c>
      <c r="D188" t="s">
        <v>74</v>
      </c>
      <c r="E188" t="s">
        <v>74</v>
      </c>
      <c r="F188" t="s">
        <v>3993</v>
      </c>
      <c r="G188" t="s">
        <v>74</v>
      </c>
      <c r="H188" t="s">
        <v>74</v>
      </c>
      <c r="I188" t="s">
        <v>3994</v>
      </c>
      <c r="J188" t="s">
        <v>3887</v>
      </c>
      <c r="K188" t="s">
        <v>74</v>
      </c>
      <c r="L188" t="s">
        <v>74</v>
      </c>
      <c r="M188" t="s">
        <v>78</v>
      </c>
      <c r="N188" t="s">
        <v>79</v>
      </c>
      <c r="O188" t="s">
        <v>74</v>
      </c>
      <c r="P188" t="s">
        <v>74</v>
      </c>
      <c r="Q188" t="s">
        <v>74</v>
      </c>
      <c r="R188" t="s">
        <v>74</v>
      </c>
      <c r="S188" t="s">
        <v>74</v>
      </c>
      <c r="T188" t="s">
        <v>3995</v>
      </c>
      <c r="U188" t="s">
        <v>3996</v>
      </c>
      <c r="V188" t="s">
        <v>3997</v>
      </c>
      <c r="W188" t="s">
        <v>3998</v>
      </c>
      <c r="X188" t="s">
        <v>3999</v>
      </c>
      <c r="Y188" t="s">
        <v>4000</v>
      </c>
      <c r="Z188" t="s">
        <v>4001</v>
      </c>
      <c r="AA188" t="s">
        <v>74</v>
      </c>
      <c r="AB188" t="s">
        <v>4002</v>
      </c>
      <c r="AC188" t="s">
        <v>4003</v>
      </c>
      <c r="AD188" t="s">
        <v>4004</v>
      </c>
      <c r="AE188" t="s">
        <v>4005</v>
      </c>
      <c r="AF188" t="s">
        <v>74</v>
      </c>
      <c r="AG188">
        <v>50</v>
      </c>
      <c r="AH188">
        <v>16</v>
      </c>
      <c r="AI188">
        <v>19</v>
      </c>
      <c r="AJ188">
        <v>1</v>
      </c>
      <c r="AK188">
        <v>30</v>
      </c>
      <c r="AL188" t="s">
        <v>285</v>
      </c>
      <c r="AM188" t="s">
        <v>286</v>
      </c>
      <c r="AN188" t="s">
        <v>287</v>
      </c>
      <c r="AO188" t="s">
        <v>3900</v>
      </c>
      <c r="AP188" t="s">
        <v>3901</v>
      </c>
      <c r="AQ188" t="s">
        <v>74</v>
      </c>
      <c r="AR188" t="s">
        <v>3887</v>
      </c>
      <c r="AS188" t="s">
        <v>3902</v>
      </c>
      <c r="AT188" t="s">
        <v>3877</v>
      </c>
      <c r="AU188">
        <v>2018</v>
      </c>
      <c r="AV188">
        <v>317</v>
      </c>
      <c r="AW188" t="s">
        <v>74</v>
      </c>
      <c r="AX188" t="s">
        <v>74</v>
      </c>
      <c r="AY188" t="s">
        <v>74</v>
      </c>
      <c r="AZ188" t="s">
        <v>74</v>
      </c>
      <c r="BA188" t="s">
        <v>74</v>
      </c>
      <c r="BB188">
        <v>62</v>
      </c>
      <c r="BC188">
        <v>74</v>
      </c>
      <c r="BD188" t="s">
        <v>74</v>
      </c>
      <c r="BE188" t="s">
        <v>4006</v>
      </c>
      <c r="BF188" t="str">
        <f>HYPERLINK("http://dx.doi.org/10.1016/j.geomorph.2018.05.015","http://dx.doi.org/10.1016/j.geomorph.2018.05.015")</f>
        <v>http://dx.doi.org/10.1016/j.geomorph.2018.05.015</v>
      </c>
      <c r="BG188" t="s">
        <v>74</v>
      </c>
      <c r="BH188" t="s">
        <v>74</v>
      </c>
      <c r="BI188">
        <v>13</v>
      </c>
      <c r="BJ188" t="s">
        <v>208</v>
      </c>
      <c r="BK188" t="s">
        <v>101</v>
      </c>
      <c r="BL188" t="s">
        <v>209</v>
      </c>
      <c r="BM188" t="s">
        <v>3904</v>
      </c>
      <c r="BN188" t="s">
        <v>74</v>
      </c>
      <c r="BO188" t="s">
        <v>486</v>
      </c>
      <c r="BP188" t="s">
        <v>74</v>
      </c>
      <c r="BQ188" t="s">
        <v>74</v>
      </c>
      <c r="BR188" t="s">
        <v>104</v>
      </c>
      <c r="BS188" t="s">
        <v>4007</v>
      </c>
      <c r="BT188" t="str">
        <f>HYPERLINK("https%3A%2F%2Fwww.webofscience.com%2Fwos%2Fwoscc%2Ffull-record%2FWOS:000440120600005","View Full Record in Web of Science")</f>
        <v>View Full Record in Web of Science</v>
      </c>
    </row>
    <row r="189" spans="1:72" x14ac:dyDescent="0.15">
      <c r="A189" t="s">
        <v>72</v>
      </c>
      <c r="B189" t="s">
        <v>4008</v>
      </c>
      <c r="C189" t="s">
        <v>74</v>
      </c>
      <c r="D189" t="s">
        <v>74</v>
      </c>
      <c r="E189" t="s">
        <v>74</v>
      </c>
      <c r="F189" t="s">
        <v>4009</v>
      </c>
      <c r="G189" t="s">
        <v>74</v>
      </c>
      <c r="H189" t="s">
        <v>74</v>
      </c>
      <c r="I189" t="s">
        <v>4010</v>
      </c>
      <c r="J189" t="s">
        <v>4011</v>
      </c>
      <c r="K189" t="s">
        <v>74</v>
      </c>
      <c r="L189" t="s">
        <v>74</v>
      </c>
      <c r="M189" t="s">
        <v>78</v>
      </c>
      <c r="N189" t="s">
        <v>79</v>
      </c>
      <c r="O189" t="s">
        <v>74</v>
      </c>
      <c r="P189" t="s">
        <v>74</v>
      </c>
      <c r="Q189" t="s">
        <v>74</v>
      </c>
      <c r="R189" t="s">
        <v>74</v>
      </c>
      <c r="S189" t="s">
        <v>74</v>
      </c>
      <c r="T189" t="s">
        <v>4012</v>
      </c>
      <c r="U189" t="s">
        <v>4013</v>
      </c>
      <c r="V189" t="s">
        <v>4014</v>
      </c>
      <c r="W189" t="s">
        <v>4015</v>
      </c>
      <c r="X189" t="s">
        <v>4016</v>
      </c>
      <c r="Y189" t="s">
        <v>4017</v>
      </c>
      <c r="Z189" t="s">
        <v>4018</v>
      </c>
      <c r="AA189" t="s">
        <v>74</v>
      </c>
      <c r="AB189" t="s">
        <v>74</v>
      </c>
      <c r="AC189" t="s">
        <v>4019</v>
      </c>
      <c r="AD189" t="s">
        <v>4020</v>
      </c>
      <c r="AE189" t="s">
        <v>4021</v>
      </c>
      <c r="AF189" t="s">
        <v>74</v>
      </c>
      <c r="AG189">
        <v>72</v>
      </c>
      <c r="AH189">
        <v>11</v>
      </c>
      <c r="AI189">
        <v>11</v>
      </c>
      <c r="AJ189">
        <v>0</v>
      </c>
      <c r="AK189">
        <v>11</v>
      </c>
      <c r="AL189" t="s">
        <v>149</v>
      </c>
      <c r="AM189" t="s">
        <v>93</v>
      </c>
      <c r="AN189" t="s">
        <v>150</v>
      </c>
      <c r="AO189" t="s">
        <v>4022</v>
      </c>
      <c r="AP189" t="s">
        <v>4023</v>
      </c>
      <c r="AQ189" t="s">
        <v>74</v>
      </c>
      <c r="AR189" t="s">
        <v>4024</v>
      </c>
      <c r="AS189" t="s">
        <v>4025</v>
      </c>
      <c r="AT189" t="s">
        <v>3877</v>
      </c>
      <c r="AU189">
        <v>2018</v>
      </c>
      <c r="AV189">
        <v>237</v>
      </c>
      <c r="AW189" t="s">
        <v>74</v>
      </c>
      <c r="AX189" t="s">
        <v>74</v>
      </c>
      <c r="AY189" t="s">
        <v>74</v>
      </c>
      <c r="AZ189" t="s">
        <v>74</v>
      </c>
      <c r="BA189" t="s">
        <v>74</v>
      </c>
      <c r="BB189">
        <v>1</v>
      </c>
      <c r="BC189">
        <v>17</v>
      </c>
      <c r="BD189" t="s">
        <v>74</v>
      </c>
      <c r="BE189" t="s">
        <v>4026</v>
      </c>
      <c r="BF189" t="str">
        <f>HYPERLINK("http://dx.doi.org/10.1016/j.gca.2018.06.020","http://dx.doi.org/10.1016/j.gca.2018.06.020")</f>
        <v>http://dx.doi.org/10.1016/j.gca.2018.06.020</v>
      </c>
      <c r="BG189" t="s">
        <v>74</v>
      </c>
      <c r="BH189" t="s">
        <v>74</v>
      </c>
      <c r="BI189">
        <v>17</v>
      </c>
      <c r="BJ189" t="s">
        <v>484</v>
      </c>
      <c r="BK189" t="s">
        <v>101</v>
      </c>
      <c r="BL189" t="s">
        <v>484</v>
      </c>
      <c r="BM189" t="s">
        <v>4027</v>
      </c>
      <c r="BN189" t="s">
        <v>74</v>
      </c>
      <c r="BO189" t="s">
        <v>486</v>
      </c>
      <c r="BP189" t="s">
        <v>74</v>
      </c>
      <c r="BQ189" t="s">
        <v>74</v>
      </c>
      <c r="BR189" t="s">
        <v>104</v>
      </c>
      <c r="BS189" t="s">
        <v>4028</v>
      </c>
      <c r="BT189" t="str">
        <f>HYPERLINK("https%3A%2F%2Fwww.webofscience.com%2Fwos%2Fwoscc%2Ffull-record%2FWOS:000439574400001","View Full Record in Web of Science")</f>
        <v>View Full Record in Web of Science</v>
      </c>
    </row>
    <row r="190" spans="1:72" x14ac:dyDescent="0.15">
      <c r="A190" t="s">
        <v>72</v>
      </c>
      <c r="B190" t="s">
        <v>4029</v>
      </c>
      <c r="C190" t="s">
        <v>74</v>
      </c>
      <c r="D190" t="s">
        <v>74</v>
      </c>
      <c r="E190" t="s">
        <v>74</v>
      </c>
      <c r="F190" t="s">
        <v>4030</v>
      </c>
      <c r="G190" t="s">
        <v>74</v>
      </c>
      <c r="H190" t="s">
        <v>74</v>
      </c>
      <c r="I190" t="s">
        <v>4031</v>
      </c>
      <c r="J190" t="s">
        <v>4011</v>
      </c>
      <c r="K190" t="s">
        <v>74</v>
      </c>
      <c r="L190" t="s">
        <v>74</v>
      </c>
      <c r="M190" t="s">
        <v>78</v>
      </c>
      <c r="N190" t="s">
        <v>79</v>
      </c>
      <c r="O190" t="s">
        <v>74</v>
      </c>
      <c r="P190" t="s">
        <v>74</v>
      </c>
      <c r="Q190" t="s">
        <v>74</v>
      </c>
      <c r="R190" t="s">
        <v>74</v>
      </c>
      <c r="S190" t="s">
        <v>74</v>
      </c>
      <c r="T190" t="s">
        <v>4032</v>
      </c>
      <c r="U190" t="s">
        <v>4033</v>
      </c>
      <c r="V190" t="s">
        <v>4034</v>
      </c>
      <c r="W190" t="s">
        <v>4035</v>
      </c>
      <c r="X190" t="s">
        <v>4036</v>
      </c>
      <c r="Y190" t="s">
        <v>4037</v>
      </c>
      <c r="Z190" t="s">
        <v>4038</v>
      </c>
      <c r="AA190" t="s">
        <v>4039</v>
      </c>
      <c r="AB190" t="s">
        <v>4040</v>
      </c>
      <c r="AC190" t="s">
        <v>4041</v>
      </c>
      <c r="AD190" t="s">
        <v>4042</v>
      </c>
      <c r="AE190" t="s">
        <v>4043</v>
      </c>
      <c r="AF190" t="s">
        <v>74</v>
      </c>
      <c r="AG190">
        <v>116</v>
      </c>
      <c r="AH190">
        <v>35</v>
      </c>
      <c r="AI190">
        <v>41</v>
      </c>
      <c r="AJ190">
        <v>5</v>
      </c>
      <c r="AK190">
        <v>71</v>
      </c>
      <c r="AL190" t="s">
        <v>149</v>
      </c>
      <c r="AM190" t="s">
        <v>93</v>
      </c>
      <c r="AN190" t="s">
        <v>150</v>
      </c>
      <c r="AO190" t="s">
        <v>4022</v>
      </c>
      <c r="AP190" t="s">
        <v>4023</v>
      </c>
      <c r="AQ190" t="s">
        <v>74</v>
      </c>
      <c r="AR190" t="s">
        <v>4024</v>
      </c>
      <c r="AS190" t="s">
        <v>4025</v>
      </c>
      <c r="AT190" t="s">
        <v>3877</v>
      </c>
      <c r="AU190">
        <v>2018</v>
      </c>
      <c r="AV190">
        <v>237</v>
      </c>
      <c r="AW190" t="s">
        <v>74</v>
      </c>
      <c r="AX190" t="s">
        <v>74</v>
      </c>
      <c r="AY190" t="s">
        <v>74</v>
      </c>
      <c r="AZ190" t="s">
        <v>74</v>
      </c>
      <c r="BA190" t="s">
        <v>74</v>
      </c>
      <c r="BB190">
        <v>320</v>
      </c>
      <c r="BC190">
        <v>338</v>
      </c>
      <c r="BD190" t="s">
        <v>74</v>
      </c>
      <c r="BE190" t="s">
        <v>4044</v>
      </c>
      <c r="BF190" t="str">
        <f>HYPERLINK("http://dx.doi.org/10.1016/j.gca.2018.06.042","http://dx.doi.org/10.1016/j.gca.2018.06.042")</f>
        <v>http://dx.doi.org/10.1016/j.gca.2018.06.042</v>
      </c>
      <c r="BG190" t="s">
        <v>74</v>
      </c>
      <c r="BH190" t="s">
        <v>74</v>
      </c>
      <c r="BI190">
        <v>19</v>
      </c>
      <c r="BJ190" t="s">
        <v>484</v>
      </c>
      <c r="BK190" t="s">
        <v>101</v>
      </c>
      <c r="BL190" t="s">
        <v>484</v>
      </c>
      <c r="BM190" t="s">
        <v>4027</v>
      </c>
      <c r="BN190" t="s">
        <v>74</v>
      </c>
      <c r="BO190" t="s">
        <v>1477</v>
      </c>
      <c r="BP190" t="s">
        <v>74</v>
      </c>
      <c r="BQ190" t="s">
        <v>74</v>
      </c>
      <c r="BR190" t="s">
        <v>104</v>
      </c>
      <c r="BS190" t="s">
        <v>4045</v>
      </c>
      <c r="BT190" t="str">
        <f>HYPERLINK("https%3A%2F%2Fwww.webofscience.com%2Fwos%2Fwoscc%2Ffull-record%2FWOS:000439574400020","View Full Record in Web of Science")</f>
        <v>View Full Record in Web of Science</v>
      </c>
    </row>
    <row r="191" spans="1:72" x14ac:dyDescent="0.15">
      <c r="A191" t="s">
        <v>72</v>
      </c>
      <c r="B191" t="s">
        <v>4046</v>
      </c>
      <c r="C191" t="s">
        <v>74</v>
      </c>
      <c r="D191" t="s">
        <v>74</v>
      </c>
      <c r="E191" t="s">
        <v>74</v>
      </c>
      <c r="F191" t="s">
        <v>4047</v>
      </c>
      <c r="G191" t="s">
        <v>74</v>
      </c>
      <c r="H191" t="s">
        <v>4048</v>
      </c>
      <c r="I191" t="s">
        <v>4049</v>
      </c>
      <c r="J191" t="s">
        <v>1173</v>
      </c>
      <c r="K191" t="s">
        <v>74</v>
      </c>
      <c r="L191" t="s">
        <v>74</v>
      </c>
      <c r="M191" t="s">
        <v>78</v>
      </c>
      <c r="N191" t="s">
        <v>79</v>
      </c>
      <c r="O191" t="s">
        <v>74</v>
      </c>
      <c r="P191" t="s">
        <v>74</v>
      </c>
      <c r="Q191" t="s">
        <v>74</v>
      </c>
      <c r="R191" t="s">
        <v>74</v>
      </c>
      <c r="S191" t="s">
        <v>74</v>
      </c>
      <c r="T191" t="s">
        <v>4050</v>
      </c>
      <c r="U191" t="s">
        <v>4051</v>
      </c>
      <c r="V191" t="s">
        <v>4052</v>
      </c>
      <c r="W191" t="s">
        <v>4053</v>
      </c>
      <c r="X191" t="s">
        <v>4054</v>
      </c>
      <c r="Y191" t="s">
        <v>4055</v>
      </c>
      <c r="Z191" t="s">
        <v>4056</v>
      </c>
      <c r="AA191" t="s">
        <v>4057</v>
      </c>
      <c r="AB191" t="s">
        <v>4058</v>
      </c>
      <c r="AC191" t="s">
        <v>4059</v>
      </c>
      <c r="AD191" t="s">
        <v>4060</v>
      </c>
      <c r="AE191" t="s">
        <v>4061</v>
      </c>
      <c r="AF191" t="s">
        <v>74</v>
      </c>
      <c r="AG191">
        <v>75</v>
      </c>
      <c r="AH191">
        <v>9</v>
      </c>
      <c r="AI191">
        <v>10</v>
      </c>
      <c r="AJ191">
        <v>1</v>
      </c>
      <c r="AK191">
        <v>22</v>
      </c>
      <c r="AL191" t="s">
        <v>285</v>
      </c>
      <c r="AM191" t="s">
        <v>286</v>
      </c>
      <c r="AN191" t="s">
        <v>287</v>
      </c>
      <c r="AO191" t="s">
        <v>1180</v>
      </c>
      <c r="AP191" t="s">
        <v>1181</v>
      </c>
      <c r="AQ191" t="s">
        <v>74</v>
      </c>
      <c r="AR191" t="s">
        <v>1182</v>
      </c>
      <c r="AS191" t="s">
        <v>1183</v>
      </c>
      <c r="AT191" t="s">
        <v>3877</v>
      </c>
      <c r="AU191">
        <v>2018</v>
      </c>
      <c r="AV191">
        <v>505</v>
      </c>
      <c r="AW191" t="s">
        <v>74</v>
      </c>
      <c r="AX191" t="s">
        <v>74</v>
      </c>
      <c r="AY191" t="s">
        <v>74</v>
      </c>
      <c r="AZ191" t="s">
        <v>74</v>
      </c>
      <c r="BA191" t="s">
        <v>74</v>
      </c>
      <c r="BB191">
        <v>187</v>
      </c>
      <c r="BC191">
        <v>197</v>
      </c>
      <c r="BD191" t="s">
        <v>74</v>
      </c>
      <c r="BE191" t="s">
        <v>4062</v>
      </c>
      <c r="BF191" t="str">
        <f>HYPERLINK("http://dx.doi.org/10.1016/j.palaeo.2018.05.043","http://dx.doi.org/10.1016/j.palaeo.2018.05.043")</f>
        <v>http://dx.doi.org/10.1016/j.palaeo.2018.05.043</v>
      </c>
      <c r="BG191" t="s">
        <v>74</v>
      </c>
      <c r="BH191" t="s">
        <v>74</v>
      </c>
      <c r="BI191">
        <v>11</v>
      </c>
      <c r="BJ191" t="s">
        <v>1185</v>
      </c>
      <c r="BK191" t="s">
        <v>101</v>
      </c>
      <c r="BL191" t="s">
        <v>1186</v>
      </c>
      <c r="BM191" t="s">
        <v>3922</v>
      </c>
      <c r="BN191" t="s">
        <v>74</v>
      </c>
      <c r="BO191" t="s">
        <v>1884</v>
      </c>
      <c r="BP191" t="s">
        <v>74</v>
      </c>
      <c r="BQ191" t="s">
        <v>74</v>
      </c>
      <c r="BR191" t="s">
        <v>104</v>
      </c>
      <c r="BS191" t="s">
        <v>4063</v>
      </c>
      <c r="BT191" t="str">
        <f>HYPERLINK("https%3A%2F%2Fwww.webofscience.com%2Fwos%2Fwoscc%2Ffull-record%2FWOS:000438477700016","View Full Record in Web of Science")</f>
        <v>View Full Record in Web of Science</v>
      </c>
    </row>
    <row r="192" spans="1:72" x14ac:dyDescent="0.15">
      <c r="A192" t="s">
        <v>72</v>
      </c>
      <c r="B192" t="s">
        <v>4064</v>
      </c>
      <c r="C192" t="s">
        <v>74</v>
      </c>
      <c r="D192" t="s">
        <v>74</v>
      </c>
      <c r="E192" t="s">
        <v>74</v>
      </c>
      <c r="F192" t="s">
        <v>4065</v>
      </c>
      <c r="G192" t="s">
        <v>74</v>
      </c>
      <c r="H192" t="s">
        <v>74</v>
      </c>
      <c r="I192" t="s">
        <v>4066</v>
      </c>
      <c r="J192" t="s">
        <v>4067</v>
      </c>
      <c r="K192" t="s">
        <v>74</v>
      </c>
      <c r="L192" t="s">
        <v>74</v>
      </c>
      <c r="M192" t="s">
        <v>78</v>
      </c>
      <c r="N192" t="s">
        <v>79</v>
      </c>
      <c r="O192" t="s">
        <v>74</v>
      </c>
      <c r="P192" t="s">
        <v>74</v>
      </c>
      <c r="Q192" t="s">
        <v>74</v>
      </c>
      <c r="R192" t="s">
        <v>74</v>
      </c>
      <c r="S192" t="s">
        <v>74</v>
      </c>
      <c r="T192" t="s">
        <v>4068</v>
      </c>
      <c r="U192" t="s">
        <v>4069</v>
      </c>
      <c r="V192" t="s">
        <v>4070</v>
      </c>
      <c r="W192" t="s">
        <v>4071</v>
      </c>
      <c r="X192" t="s">
        <v>4072</v>
      </c>
      <c r="Y192" t="s">
        <v>4073</v>
      </c>
      <c r="Z192" t="s">
        <v>4074</v>
      </c>
      <c r="AA192" t="s">
        <v>4075</v>
      </c>
      <c r="AB192" t="s">
        <v>4076</v>
      </c>
      <c r="AC192" t="s">
        <v>4077</v>
      </c>
      <c r="AD192" t="s">
        <v>4078</v>
      </c>
      <c r="AE192" t="s">
        <v>4079</v>
      </c>
      <c r="AF192" t="s">
        <v>74</v>
      </c>
      <c r="AG192">
        <v>32</v>
      </c>
      <c r="AH192">
        <v>5</v>
      </c>
      <c r="AI192">
        <v>5</v>
      </c>
      <c r="AJ192">
        <v>1</v>
      </c>
      <c r="AK192">
        <v>56</v>
      </c>
      <c r="AL192" t="s">
        <v>758</v>
      </c>
      <c r="AM192" t="s">
        <v>759</v>
      </c>
      <c r="AN192" t="s">
        <v>760</v>
      </c>
      <c r="AO192" t="s">
        <v>4080</v>
      </c>
      <c r="AP192" t="s">
        <v>4081</v>
      </c>
      <c r="AQ192" t="s">
        <v>74</v>
      </c>
      <c r="AR192" t="s">
        <v>4082</v>
      </c>
      <c r="AS192" t="s">
        <v>4083</v>
      </c>
      <c r="AT192" t="s">
        <v>3877</v>
      </c>
      <c r="AU192">
        <v>2018</v>
      </c>
      <c r="AV192">
        <v>135</v>
      </c>
      <c r="AW192">
        <v>35</v>
      </c>
      <c r="AX192" t="s">
        <v>74</v>
      </c>
      <c r="AY192" t="s">
        <v>74</v>
      </c>
      <c r="AZ192" t="s">
        <v>74</v>
      </c>
      <c r="BA192" t="s">
        <v>74</v>
      </c>
      <c r="BB192" t="s">
        <v>74</v>
      </c>
      <c r="BC192" t="s">
        <v>74</v>
      </c>
      <c r="BD192">
        <v>46642</v>
      </c>
      <c r="BE192" t="s">
        <v>4084</v>
      </c>
      <c r="BF192" t="str">
        <f>HYPERLINK("http://dx.doi.org/10.1002/app.46642","http://dx.doi.org/10.1002/app.46642")</f>
        <v>http://dx.doi.org/10.1002/app.46642</v>
      </c>
      <c r="BG192" t="s">
        <v>74</v>
      </c>
      <c r="BH192" t="s">
        <v>74</v>
      </c>
      <c r="BI192">
        <v>9</v>
      </c>
      <c r="BJ192" t="s">
        <v>4085</v>
      </c>
      <c r="BK192" t="s">
        <v>101</v>
      </c>
      <c r="BL192" t="s">
        <v>4085</v>
      </c>
      <c r="BM192" t="s">
        <v>4086</v>
      </c>
      <c r="BN192" t="s">
        <v>74</v>
      </c>
      <c r="BO192" t="s">
        <v>74</v>
      </c>
      <c r="BP192" t="s">
        <v>74</v>
      </c>
      <c r="BQ192" t="s">
        <v>74</v>
      </c>
      <c r="BR192" t="s">
        <v>104</v>
      </c>
      <c r="BS192" t="s">
        <v>4087</v>
      </c>
      <c r="BT192" t="str">
        <f>HYPERLINK("https%3A%2F%2Fwww.webofscience.com%2Fwos%2Fwoscc%2Ffull-record%2FWOS:000435940900004","View Full Record in Web of Science")</f>
        <v>View Full Record in Web of Science</v>
      </c>
    </row>
    <row r="193" spans="1:72" x14ac:dyDescent="0.15">
      <c r="A193" t="s">
        <v>72</v>
      </c>
      <c r="B193" t="s">
        <v>4088</v>
      </c>
      <c r="C193" t="s">
        <v>74</v>
      </c>
      <c r="D193" t="s">
        <v>74</v>
      </c>
      <c r="E193" t="s">
        <v>74</v>
      </c>
      <c r="F193" t="s">
        <v>4089</v>
      </c>
      <c r="G193" t="s">
        <v>74</v>
      </c>
      <c r="H193" t="s">
        <v>74</v>
      </c>
      <c r="I193" t="s">
        <v>4090</v>
      </c>
      <c r="J193" t="s">
        <v>3366</v>
      </c>
      <c r="K193" t="s">
        <v>74</v>
      </c>
      <c r="L193" t="s">
        <v>74</v>
      </c>
      <c r="M193" t="s">
        <v>78</v>
      </c>
      <c r="N193" t="s">
        <v>79</v>
      </c>
      <c r="O193" t="s">
        <v>74</v>
      </c>
      <c r="P193" t="s">
        <v>74</v>
      </c>
      <c r="Q193" t="s">
        <v>74</v>
      </c>
      <c r="R193" t="s">
        <v>74</v>
      </c>
      <c r="S193" t="s">
        <v>74</v>
      </c>
      <c r="T193" t="s">
        <v>74</v>
      </c>
      <c r="U193" t="s">
        <v>4091</v>
      </c>
      <c r="V193" t="s">
        <v>4092</v>
      </c>
      <c r="W193" t="s">
        <v>4093</v>
      </c>
      <c r="X193" t="s">
        <v>4094</v>
      </c>
      <c r="Y193" t="s">
        <v>4095</v>
      </c>
      <c r="Z193" t="s">
        <v>4096</v>
      </c>
      <c r="AA193" t="s">
        <v>4097</v>
      </c>
      <c r="AB193" t="s">
        <v>4098</v>
      </c>
      <c r="AC193" t="s">
        <v>4099</v>
      </c>
      <c r="AD193" t="s">
        <v>4100</v>
      </c>
      <c r="AE193" t="s">
        <v>4101</v>
      </c>
      <c r="AF193" t="s">
        <v>74</v>
      </c>
      <c r="AG193">
        <v>50</v>
      </c>
      <c r="AH193">
        <v>25</v>
      </c>
      <c r="AI193">
        <v>27</v>
      </c>
      <c r="AJ193">
        <v>2</v>
      </c>
      <c r="AK193">
        <v>23</v>
      </c>
      <c r="AL193" t="s">
        <v>3353</v>
      </c>
      <c r="AM193" t="s">
        <v>3354</v>
      </c>
      <c r="AN193" t="s">
        <v>3355</v>
      </c>
      <c r="AO193" t="s">
        <v>3377</v>
      </c>
      <c r="AP193" t="s">
        <v>3378</v>
      </c>
      <c r="AQ193" t="s">
        <v>74</v>
      </c>
      <c r="AR193" t="s">
        <v>3366</v>
      </c>
      <c r="AS193" t="s">
        <v>3379</v>
      </c>
      <c r="AT193" t="s">
        <v>4102</v>
      </c>
      <c r="AU193">
        <v>2018</v>
      </c>
      <c r="AV193">
        <v>12</v>
      </c>
      <c r="AW193">
        <v>9</v>
      </c>
      <c r="AX193" t="s">
        <v>74</v>
      </c>
      <c r="AY193" t="s">
        <v>74</v>
      </c>
      <c r="AZ193" t="s">
        <v>74</v>
      </c>
      <c r="BA193" t="s">
        <v>74</v>
      </c>
      <c r="BB193">
        <v>2941</v>
      </c>
      <c r="BC193">
        <v>2953</v>
      </c>
      <c r="BD193" t="s">
        <v>74</v>
      </c>
      <c r="BE193" t="s">
        <v>4103</v>
      </c>
      <c r="BF193" t="str">
        <f>HYPERLINK("http://dx.doi.org/10.5194/tc-12-2941-2018","http://dx.doi.org/10.5194/tc-12-2941-2018")</f>
        <v>http://dx.doi.org/10.5194/tc-12-2941-2018</v>
      </c>
      <c r="BG193" t="s">
        <v>74</v>
      </c>
      <c r="BH193" t="s">
        <v>74</v>
      </c>
      <c r="BI193">
        <v>13</v>
      </c>
      <c r="BJ193" t="s">
        <v>208</v>
      </c>
      <c r="BK193" t="s">
        <v>101</v>
      </c>
      <c r="BL193" t="s">
        <v>209</v>
      </c>
      <c r="BM193" t="s">
        <v>4104</v>
      </c>
      <c r="BN193" t="s">
        <v>74</v>
      </c>
      <c r="BO193" t="s">
        <v>1524</v>
      </c>
      <c r="BP193" t="s">
        <v>74</v>
      </c>
      <c r="BQ193" t="s">
        <v>74</v>
      </c>
      <c r="BR193" t="s">
        <v>104</v>
      </c>
      <c r="BS193" t="s">
        <v>4105</v>
      </c>
      <c r="BT193" t="str">
        <f>HYPERLINK("https%3A%2F%2Fwww.webofscience.com%2Fwos%2Fwoscc%2Ffull-record%2FWOS:000444723200002","View Full Record in Web of Science")</f>
        <v>View Full Record in Web of Science</v>
      </c>
    </row>
    <row r="194" spans="1:72" x14ac:dyDescent="0.15">
      <c r="A194" t="s">
        <v>72</v>
      </c>
      <c r="B194" t="s">
        <v>4106</v>
      </c>
      <c r="C194" t="s">
        <v>74</v>
      </c>
      <c r="D194" t="s">
        <v>74</v>
      </c>
      <c r="E194" t="s">
        <v>74</v>
      </c>
      <c r="F194" t="s">
        <v>4107</v>
      </c>
      <c r="G194" t="s">
        <v>74</v>
      </c>
      <c r="H194" t="s">
        <v>74</v>
      </c>
      <c r="I194" t="s">
        <v>4108</v>
      </c>
      <c r="J194" t="s">
        <v>4109</v>
      </c>
      <c r="K194" t="s">
        <v>74</v>
      </c>
      <c r="L194" t="s">
        <v>74</v>
      </c>
      <c r="M194" t="s">
        <v>78</v>
      </c>
      <c r="N194" t="s">
        <v>79</v>
      </c>
      <c r="O194" t="s">
        <v>74</v>
      </c>
      <c r="P194" t="s">
        <v>74</v>
      </c>
      <c r="Q194" t="s">
        <v>74</v>
      </c>
      <c r="R194" t="s">
        <v>74</v>
      </c>
      <c r="S194" t="s">
        <v>74</v>
      </c>
      <c r="T194" t="s">
        <v>74</v>
      </c>
      <c r="U194" t="s">
        <v>4110</v>
      </c>
      <c r="V194" t="s">
        <v>4111</v>
      </c>
      <c r="W194" t="s">
        <v>4112</v>
      </c>
      <c r="X194" t="s">
        <v>4113</v>
      </c>
      <c r="Y194" t="s">
        <v>4114</v>
      </c>
      <c r="Z194" t="s">
        <v>4115</v>
      </c>
      <c r="AA194" t="s">
        <v>4116</v>
      </c>
      <c r="AB194" t="s">
        <v>4117</v>
      </c>
      <c r="AC194" t="s">
        <v>4118</v>
      </c>
      <c r="AD194" t="s">
        <v>4119</v>
      </c>
      <c r="AE194" t="s">
        <v>4120</v>
      </c>
      <c r="AF194" t="s">
        <v>74</v>
      </c>
      <c r="AG194">
        <v>64</v>
      </c>
      <c r="AH194">
        <v>64</v>
      </c>
      <c r="AI194">
        <v>71</v>
      </c>
      <c r="AJ194">
        <v>3</v>
      </c>
      <c r="AK194">
        <v>34</v>
      </c>
      <c r="AL194" t="s">
        <v>1130</v>
      </c>
      <c r="AM194" t="s">
        <v>1131</v>
      </c>
      <c r="AN194" t="s">
        <v>1132</v>
      </c>
      <c r="AO194" t="s">
        <v>4121</v>
      </c>
      <c r="AP194" t="s">
        <v>74</v>
      </c>
      <c r="AQ194" t="s">
        <v>74</v>
      </c>
      <c r="AR194" t="s">
        <v>4122</v>
      </c>
      <c r="AS194" t="s">
        <v>4123</v>
      </c>
      <c r="AT194" t="s">
        <v>4102</v>
      </c>
      <c r="AU194">
        <v>2018</v>
      </c>
      <c r="AV194">
        <v>8</v>
      </c>
      <c r="AW194" t="s">
        <v>74</v>
      </c>
      <c r="AX194" t="s">
        <v>74</v>
      </c>
      <c r="AY194" t="s">
        <v>74</v>
      </c>
      <c r="AZ194" t="s">
        <v>74</v>
      </c>
      <c r="BA194" t="s">
        <v>74</v>
      </c>
      <c r="BB194" t="s">
        <v>74</v>
      </c>
      <c r="BC194" t="s">
        <v>74</v>
      </c>
      <c r="BD194">
        <v>13844</v>
      </c>
      <c r="BE194" t="s">
        <v>4124</v>
      </c>
      <c r="BF194" t="str">
        <f>HYPERLINK("http://dx.doi.org/10.1038/s41598-018-32047-4","http://dx.doi.org/10.1038/s41598-018-32047-4")</f>
        <v>http://dx.doi.org/10.1038/s41598-018-32047-4</v>
      </c>
      <c r="BG194" t="s">
        <v>74</v>
      </c>
      <c r="BH194" t="s">
        <v>74</v>
      </c>
      <c r="BI194">
        <v>14</v>
      </c>
      <c r="BJ194" t="s">
        <v>436</v>
      </c>
      <c r="BK194" t="s">
        <v>101</v>
      </c>
      <c r="BL194" t="s">
        <v>437</v>
      </c>
      <c r="BM194" t="s">
        <v>4125</v>
      </c>
      <c r="BN194">
        <v>30218089</v>
      </c>
      <c r="BO194" t="s">
        <v>439</v>
      </c>
      <c r="BP194" t="s">
        <v>74</v>
      </c>
      <c r="BQ194" t="s">
        <v>74</v>
      </c>
      <c r="BR194" t="s">
        <v>104</v>
      </c>
      <c r="BS194" t="s">
        <v>4126</v>
      </c>
      <c r="BT194" t="str">
        <f>HYPERLINK("https%3A%2F%2Fwww.webofscience.com%2Fwos%2Fwoscc%2Ffull-record%2FWOS:000444571200052","View Full Record in Web of Science")</f>
        <v>View Full Record in Web of Science</v>
      </c>
    </row>
    <row r="195" spans="1:72" x14ac:dyDescent="0.15">
      <c r="A195" t="s">
        <v>72</v>
      </c>
      <c r="B195" t="s">
        <v>4127</v>
      </c>
      <c r="C195" t="s">
        <v>74</v>
      </c>
      <c r="D195" t="s">
        <v>74</v>
      </c>
      <c r="E195" t="s">
        <v>74</v>
      </c>
      <c r="F195" t="s">
        <v>4128</v>
      </c>
      <c r="G195" t="s">
        <v>74</v>
      </c>
      <c r="H195" t="s">
        <v>4129</v>
      </c>
      <c r="I195" t="s">
        <v>4130</v>
      </c>
      <c r="J195" t="s">
        <v>4131</v>
      </c>
      <c r="K195" t="s">
        <v>74</v>
      </c>
      <c r="L195" t="s">
        <v>74</v>
      </c>
      <c r="M195" t="s">
        <v>78</v>
      </c>
      <c r="N195" t="s">
        <v>79</v>
      </c>
      <c r="O195" t="s">
        <v>74</v>
      </c>
      <c r="P195" t="s">
        <v>74</v>
      </c>
      <c r="Q195" t="s">
        <v>74</v>
      </c>
      <c r="R195" t="s">
        <v>74</v>
      </c>
      <c r="S195" t="s">
        <v>74</v>
      </c>
      <c r="T195" t="s">
        <v>74</v>
      </c>
      <c r="U195" t="s">
        <v>4132</v>
      </c>
      <c r="V195" t="s">
        <v>4133</v>
      </c>
      <c r="W195" t="s">
        <v>4134</v>
      </c>
      <c r="X195" t="s">
        <v>4135</v>
      </c>
      <c r="Y195" t="s">
        <v>4136</v>
      </c>
      <c r="Z195" t="s">
        <v>4137</v>
      </c>
      <c r="AA195" t="s">
        <v>4138</v>
      </c>
      <c r="AB195" t="s">
        <v>4139</v>
      </c>
      <c r="AC195" t="s">
        <v>4140</v>
      </c>
      <c r="AD195" t="s">
        <v>4141</v>
      </c>
      <c r="AE195" t="s">
        <v>4142</v>
      </c>
      <c r="AF195" t="s">
        <v>74</v>
      </c>
      <c r="AG195">
        <v>269</v>
      </c>
      <c r="AH195">
        <v>62</v>
      </c>
      <c r="AI195">
        <v>68</v>
      </c>
      <c r="AJ195">
        <v>2</v>
      </c>
      <c r="AK195">
        <v>42</v>
      </c>
      <c r="AL195" t="s">
        <v>3353</v>
      </c>
      <c r="AM195" t="s">
        <v>3354</v>
      </c>
      <c r="AN195" t="s">
        <v>3355</v>
      </c>
      <c r="AO195" t="s">
        <v>4143</v>
      </c>
      <c r="AP195" t="s">
        <v>4144</v>
      </c>
      <c r="AQ195" t="s">
        <v>74</v>
      </c>
      <c r="AR195" t="s">
        <v>4145</v>
      </c>
      <c r="AS195" t="s">
        <v>4146</v>
      </c>
      <c r="AT195" t="s">
        <v>4102</v>
      </c>
      <c r="AU195">
        <v>2018</v>
      </c>
      <c r="AV195">
        <v>10</v>
      </c>
      <c r="AW195">
        <v>3</v>
      </c>
      <c r="AX195" t="s">
        <v>74</v>
      </c>
      <c r="AY195" t="s">
        <v>74</v>
      </c>
      <c r="AZ195" t="s">
        <v>74</v>
      </c>
      <c r="BA195" t="s">
        <v>74</v>
      </c>
      <c r="BB195">
        <v>1687</v>
      </c>
      <c r="BC195">
        <v>1713</v>
      </c>
      <c r="BD195" t="s">
        <v>74</v>
      </c>
      <c r="BE195" t="s">
        <v>4147</v>
      </c>
      <c r="BF195" t="str">
        <f>HYPERLINK("http://dx.doi.org/10.5194/essd-10-1687-2018","http://dx.doi.org/10.5194/essd-10-1687-2018")</f>
        <v>http://dx.doi.org/10.5194/essd-10-1687-2018</v>
      </c>
      <c r="BG195" t="s">
        <v>74</v>
      </c>
      <c r="BH195" t="s">
        <v>74</v>
      </c>
      <c r="BI195">
        <v>27</v>
      </c>
      <c r="BJ195" t="s">
        <v>4148</v>
      </c>
      <c r="BK195" t="s">
        <v>101</v>
      </c>
      <c r="BL195" t="s">
        <v>4149</v>
      </c>
      <c r="BM195" t="s">
        <v>4150</v>
      </c>
      <c r="BN195" t="s">
        <v>74</v>
      </c>
      <c r="BO195" t="s">
        <v>4151</v>
      </c>
      <c r="BP195" t="s">
        <v>74</v>
      </c>
      <c r="BQ195" t="s">
        <v>74</v>
      </c>
      <c r="BR195" t="s">
        <v>104</v>
      </c>
      <c r="BS195" t="s">
        <v>4152</v>
      </c>
      <c r="BT195" t="str">
        <f>HYPERLINK("https%3A%2F%2Fwww.webofscience.com%2Fwos%2Fwoscc%2Ffull-record%2FWOS:000444721100001","View Full Record in Web of Science")</f>
        <v>View Full Record in Web of Science</v>
      </c>
    </row>
    <row r="196" spans="1:72" x14ac:dyDescent="0.15">
      <c r="A196" t="s">
        <v>72</v>
      </c>
      <c r="B196" t="s">
        <v>4153</v>
      </c>
      <c r="C196" t="s">
        <v>74</v>
      </c>
      <c r="D196" t="s">
        <v>74</v>
      </c>
      <c r="E196" t="s">
        <v>74</v>
      </c>
      <c r="F196" t="s">
        <v>4154</v>
      </c>
      <c r="G196" t="s">
        <v>74</v>
      </c>
      <c r="H196" t="s">
        <v>74</v>
      </c>
      <c r="I196" t="s">
        <v>4155</v>
      </c>
      <c r="J196" t="s">
        <v>4109</v>
      </c>
      <c r="K196" t="s">
        <v>74</v>
      </c>
      <c r="L196" t="s">
        <v>74</v>
      </c>
      <c r="M196" t="s">
        <v>78</v>
      </c>
      <c r="N196" t="s">
        <v>79</v>
      </c>
      <c r="O196" t="s">
        <v>74</v>
      </c>
      <c r="P196" t="s">
        <v>74</v>
      </c>
      <c r="Q196" t="s">
        <v>74</v>
      </c>
      <c r="R196" t="s">
        <v>74</v>
      </c>
      <c r="S196" t="s">
        <v>74</v>
      </c>
      <c r="T196" t="s">
        <v>74</v>
      </c>
      <c r="U196" t="s">
        <v>4156</v>
      </c>
      <c r="V196" t="s">
        <v>4157</v>
      </c>
      <c r="W196" t="s">
        <v>4158</v>
      </c>
      <c r="X196" t="s">
        <v>4159</v>
      </c>
      <c r="Y196" t="s">
        <v>4160</v>
      </c>
      <c r="Z196" t="s">
        <v>4161</v>
      </c>
      <c r="AA196" t="s">
        <v>4162</v>
      </c>
      <c r="AB196" t="s">
        <v>4163</v>
      </c>
      <c r="AC196" t="s">
        <v>4164</v>
      </c>
      <c r="AD196" t="s">
        <v>4165</v>
      </c>
      <c r="AE196" t="s">
        <v>4166</v>
      </c>
      <c r="AF196" t="s">
        <v>74</v>
      </c>
      <c r="AG196">
        <v>28</v>
      </c>
      <c r="AH196">
        <v>17</v>
      </c>
      <c r="AI196">
        <v>18</v>
      </c>
      <c r="AJ196">
        <v>0</v>
      </c>
      <c r="AK196">
        <v>19</v>
      </c>
      <c r="AL196" t="s">
        <v>1130</v>
      </c>
      <c r="AM196" t="s">
        <v>1131</v>
      </c>
      <c r="AN196" t="s">
        <v>1132</v>
      </c>
      <c r="AO196" t="s">
        <v>4121</v>
      </c>
      <c r="AP196" t="s">
        <v>74</v>
      </c>
      <c r="AQ196" t="s">
        <v>74</v>
      </c>
      <c r="AR196" t="s">
        <v>4122</v>
      </c>
      <c r="AS196" t="s">
        <v>4123</v>
      </c>
      <c r="AT196" t="s">
        <v>4102</v>
      </c>
      <c r="AU196">
        <v>2018</v>
      </c>
      <c r="AV196">
        <v>8</v>
      </c>
      <c r="AW196" t="s">
        <v>74</v>
      </c>
      <c r="AX196" t="s">
        <v>74</v>
      </c>
      <c r="AY196" t="s">
        <v>74</v>
      </c>
      <c r="AZ196" t="s">
        <v>74</v>
      </c>
      <c r="BA196" t="s">
        <v>74</v>
      </c>
      <c r="BB196" t="s">
        <v>74</v>
      </c>
      <c r="BC196" t="s">
        <v>74</v>
      </c>
      <c r="BD196">
        <v>13852</v>
      </c>
      <c r="BE196" t="s">
        <v>4167</v>
      </c>
      <c r="BF196" t="str">
        <f>HYPERLINK("http://dx.doi.org/10.1038/s41598-018-32287-4","http://dx.doi.org/10.1038/s41598-018-32287-4")</f>
        <v>http://dx.doi.org/10.1038/s41598-018-32287-4</v>
      </c>
      <c r="BG196" t="s">
        <v>74</v>
      </c>
      <c r="BH196" t="s">
        <v>74</v>
      </c>
      <c r="BI196">
        <v>8</v>
      </c>
      <c r="BJ196" t="s">
        <v>436</v>
      </c>
      <c r="BK196" t="s">
        <v>101</v>
      </c>
      <c r="BL196" t="s">
        <v>437</v>
      </c>
      <c r="BM196" t="s">
        <v>4125</v>
      </c>
      <c r="BN196">
        <v>30218011</v>
      </c>
      <c r="BO196" t="s">
        <v>4168</v>
      </c>
      <c r="BP196" t="s">
        <v>74</v>
      </c>
      <c r="BQ196" t="s">
        <v>74</v>
      </c>
      <c r="BR196" t="s">
        <v>104</v>
      </c>
      <c r="BS196" t="s">
        <v>4169</v>
      </c>
      <c r="BT196" t="str">
        <f>HYPERLINK("https%3A%2F%2Fwww.webofscience.com%2Fwos%2Fwoscc%2Ffull-record%2FWOS:000444571200060","View Full Record in Web of Science")</f>
        <v>View Full Record in Web of Science</v>
      </c>
    </row>
    <row r="197" spans="1:72" x14ac:dyDescent="0.15">
      <c r="A197" t="s">
        <v>72</v>
      </c>
      <c r="B197" t="s">
        <v>4170</v>
      </c>
      <c r="C197" t="s">
        <v>74</v>
      </c>
      <c r="D197" t="s">
        <v>74</v>
      </c>
      <c r="E197" t="s">
        <v>74</v>
      </c>
      <c r="F197" t="s">
        <v>4171</v>
      </c>
      <c r="G197" t="s">
        <v>74</v>
      </c>
      <c r="H197" t="s">
        <v>74</v>
      </c>
      <c r="I197" t="s">
        <v>4172</v>
      </c>
      <c r="J197" t="s">
        <v>4173</v>
      </c>
      <c r="K197" t="s">
        <v>74</v>
      </c>
      <c r="L197" t="s">
        <v>74</v>
      </c>
      <c r="M197" t="s">
        <v>78</v>
      </c>
      <c r="N197" t="s">
        <v>79</v>
      </c>
      <c r="O197" t="s">
        <v>74</v>
      </c>
      <c r="P197" t="s">
        <v>74</v>
      </c>
      <c r="Q197" t="s">
        <v>74</v>
      </c>
      <c r="R197" t="s">
        <v>74</v>
      </c>
      <c r="S197" t="s">
        <v>74</v>
      </c>
      <c r="T197" t="s">
        <v>4174</v>
      </c>
      <c r="U197" t="s">
        <v>4175</v>
      </c>
      <c r="V197" t="s">
        <v>4176</v>
      </c>
      <c r="W197" t="s">
        <v>4177</v>
      </c>
      <c r="X197" t="s">
        <v>4178</v>
      </c>
      <c r="Y197" t="s">
        <v>4179</v>
      </c>
      <c r="Z197" t="s">
        <v>4180</v>
      </c>
      <c r="AA197" t="s">
        <v>4181</v>
      </c>
      <c r="AB197" t="s">
        <v>4182</v>
      </c>
      <c r="AC197" t="s">
        <v>4183</v>
      </c>
      <c r="AD197" t="s">
        <v>4184</v>
      </c>
      <c r="AE197" t="s">
        <v>4185</v>
      </c>
      <c r="AF197" t="s">
        <v>74</v>
      </c>
      <c r="AG197">
        <v>67</v>
      </c>
      <c r="AH197">
        <v>20</v>
      </c>
      <c r="AI197">
        <v>21</v>
      </c>
      <c r="AJ197">
        <v>3</v>
      </c>
      <c r="AK197">
        <v>52</v>
      </c>
      <c r="AL197" t="s">
        <v>3174</v>
      </c>
      <c r="AM197" t="s">
        <v>3175</v>
      </c>
      <c r="AN197" t="s">
        <v>3176</v>
      </c>
      <c r="AO197" t="s">
        <v>74</v>
      </c>
      <c r="AP197" t="s">
        <v>4186</v>
      </c>
      <c r="AQ197" t="s">
        <v>74</v>
      </c>
      <c r="AR197" t="s">
        <v>4187</v>
      </c>
      <c r="AS197" t="s">
        <v>4188</v>
      </c>
      <c r="AT197" t="s">
        <v>4189</v>
      </c>
      <c r="AU197">
        <v>2018</v>
      </c>
      <c r="AV197">
        <v>6</v>
      </c>
      <c r="AW197" t="s">
        <v>74</v>
      </c>
      <c r="AX197" t="s">
        <v>74</v>
      </c>
      <c r="AY197" t="s">
        <v>74</v>
      </c>
      <c r="AZ197" t="s">
        <v>74</v>
      </c>
      <c r="BA197" t="s">
        <v>74</v>
      </c>
      <c r="BB197" t="s">
        <v>74</v>
      </c>
      <c r="BC197" t="s">
        <v>74</v>
      </c>
      <c r="BD197">
        <v>130</v>
      </c>
      <c r="BE197" t="s">
        <v>4190</v>
      </c>
      <c r="BF197" t="str">
        <f>HYPERLINK("http://dx.doi.org/10.3389/feart.2018.00130","http://dx.doi.org/10.3389/feart.2018.00130")</f>
        <v>http://dx.doi.org/10.3389/feart.2018.00130</v>
      </c>
      <c r="BG197" t="s">
        <v>74</v>
      </c>
      <c r="BH197" t="s">
        <v>74</v>
      </c>
      <c r="BI197">
        <v>20</v>
      </c>
      <c r="BJ197" t="s">
        <v>182</v>
      </c>
      <c r="BK197" t="s">
        <v>101</v>
      </c>
      <c r="BL197" t="s">
        <v>183</v>
      </c>
      <c r="BM197" t="s">
        <v>4191</v>
      </c>
      <c r="BN197" t="s">
        <v>74</v>
      </c>
      <c r="BO197" t="s">
        <v>1584</v>
      </c>
      <c r="BP197" t="s">
        <v>74</v>
      </c>
      <c r="BQ197" t="s">
        <v>74</v>
      </c>
      <c r="BR197" t="s">
        <v>104</v>
      </c>
      <c r="BS197" t="s">
        <v>4192</v>
      </c>
      <c r="BT197" t="str">
        <f>HYPERLINK("https%3A%2F%2Fwww.webofscience.com%2Fwos%2Fwoscc%2Ffull-record%2FWOS:000447405800001","View Full Record in Web of Science")</f>
        <v>View Full Record in Web of Science</v>
      </c>
    </row>
    <row r="198" spans="1:72" x14ac:dyDescent="0.15">
      <c r="A198" t="s">
        <v>72</v>
      </c>
      <c r="B198" t="s">
        <v>4193</v>
      </c>
      <c r="C198" t="s">
        <v>74</v>
      </c>
      <c r="D198" t="s">
        <v>74</v>
      </c>
      <c r="E198" t="s">
        <v>74</v>
      </c>
      <c r="F198" t="s">
        <v>4194</v>
      </c>
      <c r="G198" t="s">
        <v>74</v>
      </c>
      <c r="H198" t="s">
        <v>74</v>
      </c>
      <c r="I198" t="s">
        <v>4195</v>
      </c>
      <c r="J198" t="s">
        <v>4196</v>
      </c>
      <c r="K198" t="s">
        <v>74</v>
      </c>
      <c r="L198" t="s">
        <v>74</v>
      </c>
      <c r="M198" t="s">
        <v>78</v>
      </c>
      <c r="N198" t="s">
        <v>273</v>
      </c>
      <c r="O198" t="s">
        <v>74</v>
      </c>
      <c r="P198" t="s">
        <v>74</v>
      </c>
      <c r="Q198" t="s">
        <v>74</v>
      </c>
      <c r="R198" t="s">
        <v>74</v>
      </c>
      <c r="S198" t="s">
        <v>74</v>
      </c>
      <c r="T198" t="s">
        <v>4197</v>
      </c>
      <c r="U198" t="s">
        <v>4198</v>
      </c>
      <c r="V198" t="s">
        <v>4199</v>
      </c>
      <c r="W198" t="s">
        <v>4200</v>
      </c>
      <c r="X198" t="s">
        <v>4201</v>
      </c>
      <c r="Y198" t="s">
        <v>4202</v>
      </c>
      <c r="Z198" t="s">
        <v>4203</v>
      </c>
      <c r="AA198" t="s">
        <v>4204</v>
      </c>
      <c r="AB198" t="s">
        <v>4205</v>
      </c>
      <c r="AC198" t="s">
        <v>4206</v>
      </c>
      <c r="AD198" t="s">
        <v>4207</v>
      </c>
      <c r="AE198" t="s">
        <v>4208</v>
      </c>
      <c r="AF198" t="s">
        <v>74</v>
      </c>
      <c r="AG198">
        <v>25</v>
      </c>
      <c r="AH198">
        <v>9</v>
      </c>
      <c r="AI198">
        <v>11</v>
      </c>
      <c r="AJ198">
        <v>2</v>
      </c>
      <c r="AK198">
        <v>16</v>
      </c>
      <c r="AL198" t="s">
        <v>3174</v>
      </c>
      <c r="AM198" t="s">
        <v>3175</v>
      </c>
      <c r="AN198" t="s">
        <v>3176</v>
      </c>
      <c r="AO198" t="s">
        <v>74</v>
      </c>
      <c r="AP198" t="s">
        <v>4209</v>
      </c>
      <c r="AQ198" t="s">
        <v>74</v>
      </c>
      <c r="AR198" t="s">
        <v>4210</v>
      </c>
      <c r="AS198" t="s">
        <v>4211</v>
      </c>
      <c r="AT198" t="s">
        <v>4212</v>
      </c>
      <c r="AU198">
        <v>2018</v>
      </c>
      <c r="AV198">
        <v>6</v>
      </c>
      <c r="AW198" t="s">
        <v>74</v>
      </c>
      <c r="AX198" t="s">
        <v>74</v>
      </c>
      <c r="AY198" t="s">
        <v>74</v>
      </c>
      <c r="AZ198" t="s">
        <v>74</v>
      </c>
      <c r="BA198" t="s">
        <v>74</v>
      </c>
      <c r="BB198" t="s">
        <v>74</v>
      </c>
      <c r="BC198" t="s">
        <v>74</v>
      </c>
      <c r="BD198">
        <v>103</v>
      </c>
      <c r="BE198" t="s">
        <v>4213</v>
      </c>
      <c r="BF198" t="str">
        <f>HYPERLINK("http://dx.doi.org/10.3389/fenvs.2018.00103","http://dx.doi.org/10.3389/fenvs.2018.00103")</f>
        <v>http://dx.doi.org/10.3389/fenvs.2018.00103</v>
      </c>
      <c r="BG198" t="s">
        <v>74</v>
      </c>
      <c r="BH198" t="s">
        <v>74</v>
      </c>
      <c r="BI198">
        <v>6</v>
      </c>
      <c r="BJ198" t="s">
        <v>558</v>
      </c>
      <c r="BK198" t="s">
        <v>101</v>
      </c>
      <c r="BL198" t="s">
        <v>559</v>
      </c>
      <c r="BM198" t="s">
        <v>4214</v>
      </c>
      <c r="BN198" t="s">
        <v>74</v>
      </c>
      <c r="BO198" t="s">
        <v>1584</v>
      </c>
      <c r="BP198" t="s">
        <v>74</v>
      </c>
      <c r="BQ198" t="s">
        <v>74</v>
      </c>
      <c r="BR198" t="s">
        <v>104</v>
      </c>
      <c r="BS198" t="s">
        <v>4215</v>
      </c>
      <c r="BT198" t="str">
        <f>HYPERLINK("https%3A%2F%2Fwww.webofscience.com%2Fwos%2Fwoscc%2Ffull-record%2FWOS:000452176200001","View Full Record in Web of Science")</f>
        <v>View Full Record in Web of Science</v>
      </c>
    </row>
    <row r="199" spans="1:72" x14ac:dyDescent="0.15">
      <c r="A199" t="s">
        <v>72</v>
      </c>
      <c r="B199" t="s">
        <v>4216</v>
      </c>
      <c r="C199" t="s">
        <v>74</v>
      </c>
      <c r="D199" t="s">
        <v>74</v>
      </c>
      <c r="E199" t="s">
        <v>74</v>
      </c>
      <c r="F199" t="s">
        <v>4217</v>
      </c>
      <c r="G199" t="s">
        <v>74</v>
      </c>
      <c r="H199" t="s">
        <v>74</v>
      </c>
      <c r="I199" t="s">
        <v>4218</v>
      </c>
      <c r="J199" t="s">
        <v>4219</v>
      </c>
      <c r="K199" t="s">
        <v>74</v>
      </c>
      <c r="L199" t="s">
        <v>74</v>
      </c>
      <c r="M199" t="s">
        <v>78</v>
      </c>
      <c r="N199" t="s">
        <v>79</v>
      </c>
      <c r="O199" t="s">
        <v>74</v>
      </c>
      <c r="P199" t="s">
        <v>74</v>
      </c>
      <c r="Q199" t="s">
        <v>74</v>
      </c>
      <c r="R199" t="s">
        <v>74</v>
      </c>
      <c r="S199" t="s">
        <v>74</v>
      </c>
      <c r="T199" t="s">
        <v>4220</v>
      </c>
      <c r="U199" t="s">
        <v>4221</v>
      </c>
      <c r="V199" t="s">
        <v>4222</v>
      </c>
      <c r="W199" t="s">
        <v>4223</v>
      </c>
      <c r="X199" t="s">
        <v>4224</v>
      </c>
      <c r="Y199" t="s">
        <v>4225</v>
      </c>
      <c r="Z199" t="s">
        <v>4226</v>
      </c>
      <c r="AA199" t="s">
        <v>4227</v>
      </c>
      <c r="AB199" t="s">
        <v>4228</v>
      </c>
      <c r="AC199" t="s">
        <v>4229</v>
      </c>
      <c r="AD199" t="s">
        <v>4230</v>
      </c>
      <c r="AE199" t="s">
        <v>4231</v>
      </c>
      <c r="AF199" t="s">
        <v>74</v>
      </c>
      <c r="AG199">
        <v>66</v>
      </c>
      <c r="AH199">
        <v>13</v>
      </c>
      <c r="AI199">
        <v>13</v>
      </c>
      <c r="AJ199">
        <v>0</v>
      </c>
      <c r="AK199">
        <v>21</v>
      </c>
      <c r="AL199" t="s">
        <v>4232</v>
      </c>
      <c r="AM199" t="s">
        <v>704</v>
      </c>
      <c r="AN199" t="s">
        <v>4233</v>
      </c>
      <c r="AO199" t="s">
        <v>4234</v>
      </c>
      <c r="AP199" t="s">
        <v>74</v>
      </c>
      <c r="AQ199" t="s">
        <v>74</v>
      </c>
      <c r="AR199" t="s">
        <v>4219</v>
      </c>
      <c r="AS199" t="s">
        <v>4235</v>
      </c>
      <c r="AT199" t="s">
        <v>4212</v>
      </c>
      <c r="AU199">
        <v>2018</v>
      </c>
      <c r="AV199">
        <v>6</v>
      </c>
      <c r="AW199" t="s">
        <v>74</v>
      </c>
      <c r="AX199" t="s">
        <v>74</v>
      </c>
      <c r="AY199" t="s">
        <v>74</v>
      </c>
      <c r="AZ199" t="s">
        <v>74</v>
      </c>
      <c r="BA199" t="s">
        <v>74</v>
      </c>
      <c r="BB199" t="s">
        <v>74</v>
      </c>
      <c r="BC199" t="s">
        <v>74</v>
      </c>
      <c r="BD199" t="s">
        <v>4236</v>
      </c>
      <c r="BE199" t="s">
        <v>4237</v>
      </c>
      <c r="BF199" t="str">
        <f>HYPERLINK("http://dx.doi.org/10.7717/peerj.5531","http://dx.doi.org/10.7717/peerj.5531")</f>
        <v>http://dx.doi.org/10.7717/peerj.5531</v>
      </c>
      <c r="BG199" t="s">
        <v>74</v>
      </c>
      <c r="BH199" t="s">
        <v>74</v>
      </c>
      <c r="BI199">
        <v>20</v>
      </c>
      <c r="BJ199" t="s">
        <v>436</v>
      </c>
      <c r="BK199" t="s">
        <v>101</v>
      </c>
      <c r="BL199" t="s">
        <v>437</v>
      </c>
      <c r="BM199" t="s">
        <v>4238</v>
      </c>
      <c r="BN199">
        <v>30225167</v>
      </c>
      <c r="BO199" t="s">
        <v>239</v>
      </c>
      <c r="BP199" t="s">
        <v>74</v>
      </c>
      <c r="BQ199" t="s">
        <v>74</v>
      </c>
      <c r="BR199" t="s">
        <v>104</v>
      </c>
      <c r="BS199" t="s">
        <v>4239</v>
      </c>
      <c r="BT199" t="str">
        <f>HYPERLINK("https%3A%2F%2Fwww.webofscience.com%2Fwos%2Fwoscc%2Ffull-record%2FWOS:000444677900007","View Full Record in Web of Science")</f>
        <v>View Full Record in Web of Science</v>
      </c>
    </row>
    <row r="200" spans="1:72" x14ac:dyDescent="0.15">
      <c r="A200" t="s">
        <v>72</v>
      </c>
      <c r="B200" t="s">
        <v>4240</v>
      </c>
      <c r="C200" t="s">
        <v>74</v>
      </c>
      <c r="D200" t="s">
        <v>74</v>
      </c>
      <c r="E200" t="s">
        <v>74</v>
      </c>
      <c r="F200" t="s">
        <v>4241</v>
      </c>
      <c r="G200" t="s">
        <v>74</v>
      </c>
      <c r="H200" t="s">
        <v>74</v>
      </c>
      <c r="I200" t="s">
        <v>4242</v>
      </c>
      <c r="J200" t="s">
        <v>3387</v>
      </c>
      <c r="K200" t="s">
        <v>74</v>
      </c>
      <c r="L200" t="s">
        <v>74</v>
      </c>
      <c r="M200" t="s">
        <v>78</v>
      </c>
      <c r="N200" t="s">
        <v>79</v>
      </c>
      <c r="O200" t="s">
        <v>74</v>
      </c>
      <c r="P200" t="s">
        <v>74</v>
      </c>
      <c r="Q200" t="s">
        <v>74</v>
      </c>
      <c r="R200" t="s">
        <v>74</v>
      </c>
      <c r="S200" t="s">
        <v>74</v>
      </c>
      <c r="T200" t="s">
        <v>74</v>
      </c>
      <c r="U200" t="s">
        <v>4243</v>
      </c>
      <c r="V200" t="s">
        <v>4244</v>
      </c>
      <c r="W200" t="s">
        <v>4245</v>
      </c>
      <c r="X200" t="s">
        <v>4246</v>
      </c>
      <c r="Y200" t="s">
        <v>4247</v>
      </c>
      <c r="Z200" t="s">
        <v>4248</v>
      </c>
      <c r="AA200" t="s">
        <v>4249</v>
      </c>
      <c r="AB200" t="s">
        <v>4250</v>
      </c>
      <c r="AC200" t="s">
        <v>4251</v>
      </c>
      <c r="AD200" t="s">
        <v>4252</v>
      </c>
      <c r="AE200" t="s">
        <v>4253</v>
      </c>
      <c r="AF200" t="s">
        <v>74</v>
      </c>
      <c r="AG200">
        <v>46</v>
      </c>
      <c r="AH200">
        <v>17</v>
      </c>
      <c r="AI200">
        <v>18</v>
      </c>
      <c r="AJ200">
        <v>5</v>
      </c>
      <c r="AK200">
        <v>27</v>
      </c>
      <c r="AL200" t="s">
        <v>3353</v>
      </c>
      <c r="AM200" t="s">
        <v>3354</v>
      </c>
      <c r="AN200" t="s">
        <v>3355</v>
      </c>
      <c r="AO200" t="s">
        <v>3399</v>
      </c>
      <c r="AP200" t="s">
        <v>3400</v>
      </c>
      <c r="AQ200" t="s">
        <v>74</v>
      </c>
      <c r="AR200" t="s">
        <v>3401</v>
      </c>
      <c r="AS200" t="s">
        <v>3402</v>
      </c>
      <c r="AT200" t="s">
        <v>4212</v>
      </c>
      <c r="AU200">
        <v>2018</v>
      </c>
      <c r="AV200">
        <v>18</v>
      </c>
      <c r="AW200">
        <v>17</v>
      </c>
      <c r="AX200" t="s">
        <v>74</v>
      </c>
      <c r="AY200" t="s">
        <v>74</v>
      </c>
      <c r="AZ200" t="s">
        <v>74</v>
      </c>
      <c r="BA200" t="s">
        <v>74</v>
      </c>
      <c r="BB200">
        <v>13097</v>
      </c>
      <c r="BC200">
        <v>13113</v>
      </c>
      <c r="BD200" t="s">
        <v>74</v>
      </c>
      <c r="BE200" t="s">
        <v>4254</v>
      </c>
      <c r="BF200" t="str">
        <f>HYPERLINK("http://dx.doi.org/10.5194/acp-18-13097-2018","http://dx.doi.org/10.5194/acp-18-13097-2018")</f>
        <v>http://dx.doi.org/10.5194/acp-18-13097-2018</v>
      </c>
      <c r="BG200" t="s">
        <v>74</v>
      </c>
      <c r="BH200" t="s">
        <v>74</v>
      </c>
      <c r="BI200">
        <v>17</v>
      </c>
      <c r="BJ200" t="s">
        <v>317</v>
      </c>
      <c r="BK200" t="s">
        <v>101</v>
      </c>
      <c r="BL200" t="s">
        <v>318</v>
      </c>
      <c r="BM200" t="s">
        <v>4255</v>
      </c>
      <c r="BN200" t="s">
        <v>74</v>
      </c>
      <c r="BO200" t="s">
        <v>4256</v>
      </c>
      <c r="BP200" t="s">
        <v>74</v>
      </c>
      <c r="BQ200" t="s">
        <v>74</v>
      </c>
      <c r="BR200" t="s">
        <v>104</v>
      </c>
      <c r="BS200" t="s">
        <v>4257</v>
      </c>
      <c r="BT200" t="str">
        <f>HYPERLINK("https%3A%2F%2Fwww.webofscience.com%2Fwos%2Fwoscc%2Ffull-record%2FWOS:000444458800001","View Full Record in Web of Science")</f>
        <v>View Full Record in Web of Science</v>
      </c>
    </row>
    <row r="201" spans="1:72" x14ac:dyDescent="0.15">
      <c r="A201" t="s">
        <v>72</v>
      </c>
      <c r="B201" t="s">
        <v>4258</v>
      </c>
      <c r="C201" t="s">
        <v>74</v>
      </c>
      <c r="D201" t="s">
        <v>74</v>
      </c>
      <c r="E201" t="s">
        <v>74</v>
      </c>
      <c r="F201" t="s">
        <v>4259</v>
      </c>
      <c r="G201" t="s">
        <v>74</v>
      </c>
      <c r="H201" t="s">
        <v>74</v>
      </c>
      <c r="I201" t="s">
        <v>4260</v>
      </c>
      <c r="J201" t="s">
        <v>3268</v>
      </c>
      <c r="K201" t="s">
        <v>74</v>
      </c>
      <c r="L201" t="s">
        <v>74</v>
      </c>
      <c r="M201" t="s">
        <v>78</v>
      </c>
      <c r="N201" t="s">
        <v>79</v>
      </c>
      <c r="O201" t="s">
        <v>74</v>
      </c>
      <c r="P201" t="s">
        <v>74</v>
      </c>
      <c r="Q201" t="s">
        <v>74</v>
      </c>
      <c r="R201" t="s">
        <v>74</v>
      </c>
      <c r="S201" t="s">
        <v>74</v>
      </c>
      <c r="T201" t="s">
        <v>74</v>
      </c>
      <c r="U201" t="s">
        <v>4261</v>
      </c>
      <c r="V201" t="s">
        <v>4262</v>
      </c>
      <c r="W201" t="s">
        <v>4263</v>
      </c>
      <c r="X201" t="s">
        <v>4264</v>
      </c>
      <c r="Y201" t="s">
        <v>4265</v>
      </c>
      <c r="Z201" t="s">
        <v>4266</v>
      </c>
      <c r="AA201" t="s">
        <v>4267</v>
      </c>
      <c r="AB201" t="s">
        <v>4268</v>
      </c>
      <c r="AC201" t="s">
        <v>4269</v>
      </c>
      <c r="AD201" t="s">
        <v>4270</v>
      </c>
      <c r="AE201" t="s">
        <v>4271</v>
      </c>
      <c r="AF201" t="s">
        <v>74</v>
      </c>
      <c r="AG201">
        <v>74</v>
      </c>
      <c r="AH201">
        <v>108</v>
      </c>
      <c r="AI201">
        <v>114</v>
      </c>
      <c r="AJ201">
        <v>4</v>
      </c>
      <c r="AK201">
        <v>38</v>
      </c>
      <c r="AL201" t="s">
        <v>1130</v>
      </c>
      <c r="AM201" t="s">
        <v>1131</v>
      </c>
      <c r="AN201" t="s">
        <v>1132</v>
      </c>
      <c r="AO201" t="s">
        <v>74</v>
      </c>
      <c r="AP201" t="s">
        <v>3280</v>
      </c>
      <c r="AQ201" t="s">
        <v>74</v>
      </c>
      <c r="AR201" t="s">
        <v>3281</v>
      </c>
      <c r="AS201" t="s">
        <v>3282</v>
      </c>
      <c r="AT201" t="s">
        <v>4272</v>
      </c>
      <c r="AU201">
        <v>2018</v>
      </c>
      <c r="AV201">
        <v>9</v>
      </c>
      <c r="AW201" t="s">
        <v>74</v>
      </c>
      <c r="AX201" t="s">
        <v>74</v>
      </c>
      <c r="AY201" t="s">
        <v>74</v>
      </c>
      <c r="AZ201" t="s">
        <v>74</v>
      </c>
      <c r="BA201" t="s">
        <v>74</v>
      </c>
      <c r="BB201" t="s">
        <v>74</v>
      </c>
      <c r="BC201" t="s">
        <v>74</v>
      </c>
      <c r="BD201">
        <v>3625</v>
      </c>
      <c r="BE201" t="s">
        <v>4273</v>
      </c>
      <c r="BF201" t="str">
        <f>HYPERLINK("http://dx.doi.org/10.1038/s41467-018-05634-2","http://dx.doi.org/10.1038/s41467-018-05634-2")</f>
        <v>http://dx.doi.org/10.1038/s41467-018-05634-2</v>
      </c>
      <c r="BG201" t="s">
        <v>74</v>
      </c>
      <c r="BH201" t="s">
        <v>74</v>
      </c>
      <c r="BI201">
        <v>17</v>
      </c>
      <c r="BJ201" t="s">
        <v>436</v>
      </c>
      <c r="BK201" t="s">
        <v>101</v>
      </c>
      <c r="BL201" t="s">
        <v>437</v>
      </c>
      <c r="BM201" t="s">
        <v>4274</v>
      </c>
      <c r="BN201">
        <v>30206222</v>
      </c>
      <c r="BO201" t="s">
        <v>4275</v>
      </c>
      <c r="BP201" t="s">
        <v>74</v>
      </c>
      <c r="BQ201" t="s">
        <v>74</v>
      </c>
      <c r="BR201" t="s">
        <v>104</v>
      </c>
      <c r="BS201" t="s">
        <v>4276</v>
      </c>
      <c r="BT201" t="str">
        <f>HYPERLINK("https%3A%2F%2Fwww.webofscience.com%2Fwos%2Fwoscc%2Ffull-record%2FWOS:000444282200001","View Full Record in Web of Science")</f>
        <v>View Full Record in Web of Science</v>
      </c>
    </row>
    <row r="202" spans="1:72" x14ac:dyDescent="0.15">
      <c r="A202" t="s">
        <v>72</v>
      </c>
      <c r="B202" t="s">
        <v>4277</v>
      </c>
      <c r="C202" t="s">
        <v>74</v>
      </c>
      <c r="D202" t="s">
        <v>74</v>
      </c>
      <c r="E202" t="s">
        <v>74</v>
      </c>
      <c r="F202" t="s">
        <v>4278</v>
      </c>
      <c r="G202" t="s">
        <v>74</v>
      </c>
      <c r="H202" t="s">
        <v>74</v>
      </c>
      <c r="I202" t="s">
        <v>4279</v>
      </c>
      <c r="J202" t="s">
        <v>3341</v>
      </c>
      <c r="K202" t="s">
        <v>74</v>
      </c>
      <c r="L202" t="s">
        <v>74</v>
      </c>
      <c r="M202" t="s">
        <v>78</v>
      </c>
      <c r="N202" t="s">
        <v>79</v>
      </c>
      <c r="O202" t="s">
        <v>74</v>
      </c>
      <c r="P202" t="s">
        <v>74</v>
      </c>
      <c r="Q202" t="s">
        <v>74</v>
      </c>
      <c r="R202" t="s">
        <v>74</v>
      </c>
      <c r="S202" t="s">
        <v>74</v>
      </c>
      <c r="T202" t="s">
        <v>74</v>
      </c>
      <c r="U202" t="s">
        <v>4280</v>
      </c>
      <c r="V202" t="s">
        <v>4281</v>
      </c>
      <c r="W202" t="s">
        <v>4282</v>
      </c>
      <c r="X202" t="s">
        <v>4283</v>
      </c>
      <c r="Y202" t="s">
        <v>4284</v>
      </c>
      <c r="Z202" t="s">
        <v>4285</v>
      </c>
      <c r="AA202" t="s">
        <v>4286</v>
      </c>
      <c r="AB202" t="s">
        <v>4287</v>
      </c>
      <c r="AC202" t="s">
        <v>4288</v>
      </c>
      <c r="AD202" t="s">
        <v>4289</v>
      </c>
      <c r="AE202" t="s">
        <v>4290</v>
      </c>
      <c r="AF202" t="s">
        <v>74</v>
      </c>
      <c r="AG202">
        <v>122</v>
      </c>
      <c r="AH202">
        <v>102</v>
      </c>
      <c r="AI202">
        <v>105</v>
      </c>
      <c r="AJ202">
        <v>1</v>
      </c>
      <c r="AK202">
        <v>21</v>
      </c>
      <c r="AL202" t="s">
        <v>3353</v>
      </c>
      <c r="AM202" t="s">
        <v>3354</v>
      </c>
      <c r="AN202" t="s">
        <v>3355</v>
      </c>
      <c r="AO202" t="s">
        <v>3356</v>
      </c>
      <c r="AP202" t="s">
        <v>3357</v>
      </c>
      <c r="AQ202" t="s">
        <v>74</v>
      </c>
      <c r="AR202" t="s">
        <v>3358</v>
      </c>
      <c r="AS202" t="s">
        <v>3359</v>
      </c>
      <c r="AT202" t="s">
        <v>4272</v>
      </c>
      <c r="AU202">
        <v>2018</v>
      </c>
      <c r="AV202">
        <v>11</v>
      </c>
      <c r="AW202">
        <v>9</v>
      </c>
      <c r="AX202" t="s">
        <v>74</v>
      </c>
      <c r="AY202" t="s">
        <v>74</v>
      </c>
      <c r="AZ202" t="s">
        <v>74</v>
      </c>
      <c r="BA202" t="s">
        <v>74</v>
      </c>
      <c r="BB202">
        <v>3681</v>
      </c>
      <c r="BC202">
        <v>3712</v>
      </c>
      <c r="BD202" t="s">
        <v>74</v>
      </c>
      <c r="BE202" t="s">
        <v>4291</v>
      </c>
      <c r="BF202" t="str">
        <f>HYPERLINK("http://dx.doi.org/10.5194/gmd-11-3681-2018","http://dx.doi.org/10.5194/gmd-11-3681-2018")</f>
        <v>http://dx.doi.org/10.5194/gmd-11-3681-2018</v>
      </c>
      <c r="BG202" t="s">
        <v>74</v>
      </c>
      <c r="BH202" t="s">
        <v>74</v>
      </c>
      <c r="BI202">
        <v>32</v>
      </c>
      <c r="BJ202" t="s">
        <v>182</v>
      </c>
      <c r="BK202" t="s">
        <v>101</v>
      </c>
      <c r="BL202" t="s">
        <v>183</v>
      </c>
      <c r="BM202" t="s">
        <v>4292</v>
      </c>
      <c r="BN202" t="s">
        <v>74</v>
      </c>
      <c r="BO202" t="s">
        <v>1524</v>
      </c>
      <c r="BP202" t="s">
        <v>74</v>
      </c>
      <c r="BQ202" t="s">
        <v>74</v>
      </c>
      <c r="BR202" t="s">
        <v>104</v>
      </c>
      <c r="BS202" t="s">
        <v>4293</v>
      </c>
      <c r="BT202" t="str">
        <f>HYPERLINK("https%3A%2F%2Fwww.webofscience.com%2Fwos%2Fwoscc%2Ffull-record%2FWOS:000444329700002","View Full Record in Web of Science")</f>
        <v>View Full Record in Web of Science</v>
      </c>
    </row>
    <row r="203" spans="1:72" x14ac:dyDescent="0.15">
      <c r="A203" t="s">
        <v>72</v>
      </c>
      <c r="B203" t="s">
        <v>4294</v>
      </c>
      <c r="C203" t="s">
        <v>74</v>
      </c>
      <c r="D203" t="s">
        <v>74</v>
      </c>
      <c r="E203" t="s">
        <v>74</v>
      </c>
      <c r="F203" t="s">
        <v>4295</v>
      </c>
      <c r="G203" t="s">
        <v>74</v>
      </c>
      <c r="H203" t="s">
        <v>74</v>
      </c>
      <c r="I203" t="s">
        <v>4296</v>
      </c>
      <c r="J203" t="s">
        <v>3366</v>
      </c>
      <c r="K203" t="s">
        <v>74</v>
      </c>
      <c r="L203" t="s">
        <v>74</v>
      </c>
      <c r="M203" t="s">
        <v>78</v>
      </c>
      <c r="N203" t="s">
        <v>79</v>
      </c>
      <c r="O203" t="s">
        <v>74</v>
      </c>
      <c r="P203" t="s">
        <v>74</v>
      </c>
      <c r="Q203" t="s">
        <v>74</v>
      </c>
      <c r="R203" t="s">
        <v>74</v>
      </c>
      <c r="S203" t="s">
        <v>74</v>
      </c>
      <c r="T203" t="s">
        <v>74</v>
      </c>
      <c r="U203" t="s">
        <v>4297</v>
      </c>
      <c r="V203" t="s">
        <v>4298</v>
      </c>
      <c r="W203" t="s">
        <v>4299</v>
      </c>
      <c r="X203" t="s">
        <v>4300</v>
      </c>
      <c r="Y203" t="s">
        <v>4301</v>
      </c>
      <c r="Z203" t="s">
        <v>4302</v>
      </c>
      <c r="AA203" t="s">
        <v>4303</v>
      </c>
      <c r="AB203" t="s">
        <v>4304</v>
      </c>
      <c r="AC203" t="s">
        <v>4305</v>
      </c>
      <c r="AD203" t="s">
        <v>3898</v>
      </c>
      <c r="AE203" t="s">
        <v>4306</v>
      </c>
      <c r="AF203" t="s">
        <v>74</v>
      </c>
      <c r="AG203">
        <v>79</v>
      </c>
      <c r="AH203">
        <v>19</v>
      </c>
      <c r="AI203">
        <v>23</v>
      </c>
      <c r="AJ203">
        <v>2</v>
      </c>
      <c r="AK203">
        <v>9</v>
      </c>
      <c r="AL203" t="s">
        <v>3353</v>
      </c>
      <c r="AM203" t="s">
        <v>3354</v>
      </c>
      <c r="AN203" t="s">
        <v>3355</v>
      </c>
      <c r="AO203" t="s">
        <v>3377</v>
      </c>
      <c r="AP203" t="s">
        <v>3378</v>
      </c>
      <c r="AQ203" t="s">
        <v>74</v>
      </c>
      <c r="AR203" t="s">
        <v>3366</v>
      </c>
      <c r="AS203" t="s">
        <v>3379</v>
      </c>
      <c r="AT203" t="s">
        <v>4307</v>
      </c>
      <c r="AU203">
        <v>2018</v>
      </c>
      <c r="AV203">
        <v>12</v>
      </c>
      <c r="AW203">
        <v>9</v>
      </c>
      <c r="AX203" t="s">
        <v>74</v>
      </c>
      <c r="AY203" t="s">
        <v>74</v>
      </c>
      <c r="AZ203" t="s">
        <v>74</v>
      </c>
      <c r="BA203" t="s">
        <v>74</v>
      </c>
      <c r="BB203">
        <v>2901</v>
      </c>
      <c r="BC203">
        <v>2922</v>
      </c>
      <c r="BD203" t="s">
        <v>74</v>
      </c>
      <c r="BE203" t="s">
        <v>4308</v>
      </c>
      <c r="BF203" t="str">
        <f>HYPERLINK("http://dx.doi.org/10.5194/tc-12-2901-2018","http://dx.doi.org/10.5194/tc-12-2901-2018")</f>
        <v>http://dx.doi.org/10.5194/tc-12-2901-2018</v>
      </c>
      <c r="BG203" t="s">
        <v>74</v>
      </c>
      <c r="BH203" t="s">
        <v>74</v>
      </c>
      <c r="BI203">
        <v>22</v>
      </c>
      <c r="BJ203" t="s">
        <v>208</v>
      </c>
      <c r="BK203" t="s">
        <v>101</v>
      </c>
      <c r="BL203" t="s">
        <v>209</v>
      </c>
      <c r="BM203" t="s">
        <v>4309</v>
      </c>
      <c r="BN203" t="s">
        <v>74</v>
      </c>
      <c r="BO203" t="s">
        <v>4310</v>
      </c>
      <c r="BP203" t="s">
        <v>74</v>
      </c>
      <c r="BQ203" t="s">
        <v>74</v>
      </c>
      <c r="BR203" t="s">
        <v>104</v>
      </c>
      <c r="BS203" t="s">
        <v>4311</v>
      </c>
      <c r="BT203" t="str">
        <f>HYPERLINK("https%3A%2F%2Fwww.webofscience.com%2Fwos%2Fwoscc%2Ffull-record%2FWOS:000444332300001","View Full Record in Web of Science")</f>
        <v>View Full Record in Web of Science</v>
      </c>
    </row>
    <row r="204" spans="1:72" x14ac:dyDescent="0.15">
      <c r="A204" t="s">
        <v>72</v>
      </c>
      <c r="B204" t="s">
        <v>4312</v>
      </c>
      <c r="C204" t="s">
        <v>74</v>
      </c>
      <c r="D204" t="s">
        <v>74</v>
      </c>
      <c r="E204" t="s">
        <v>74</v>
      </c>
      <c r="F204" t="s">
        <v>4313</v>
      </c>
      <c r="G204" t="s">
        <v>74</v>
      </c>
      <c r="H204" t="s">
        <v>74</v>
      </c>
      <c r="I204" t="s">
        <v>4314</v>
      </c>
      <c r="J204" t="s">
        <v>4315</v>
      </c>
      <c r="K204" t="s">
        <v>74</v>
      </c>
      <c r="L204" t="s">
        <v>74</v>
      </c>
      <c r="M204" t="s">
        <v>78</v>
      </c>
      <c r="N204" t="s">
        <v>79</v>
      </c>
      <c r="O204" t="s">
        <v>74</v>
      </c>
      <c r="P204" t="s">
        <v>74</v>
      </c>
      <c r="Q204" t="s">
        <v>74</v>
      </c>
      <c r="R204" t="s">
        <v>74</v>
      </c>
      <c r="S204" t="s">
        <v>74</v>
      </c>
      <c r="T204" t="s">
        <v>4316</v>
      </c>
      <c r="U204" t="s">
        <v>4317</v>
      </c>
      <c r="V204" t="s">
        <v>4318</v>
      </c>
      <c r="W204" t="s">
        <v>4319</v>
      </c>
      <c r="X204" t="s">
        <v>4320</v>
      </c>
      <c r="Y204" t="s">
        <v>4321</v>
      </c>
      <c r="Z204" t="s">
        <v>4322</v>
      </c>
      <c r="AA204" t="s">
        <v>4323</v>
      </c>
      <c r="AB204" t="s">
        <v>4324</v>
      </c>
      <c r="AC204" t="s">
        <v>4325</v>
      </c>
      <c r="AD204" t="s">
        <v>4326</v>
      </c>
      <c r="AE204" t="s">
        <v>4327</v>
      </c>
      <c r="AF204" t="s">
        <v>74</v>
      </c>
      <c r="AG204">
        <v>100</v>
      </c>
      <c r="AH204">
        <v>52</v>
      </c>
      <c r="AI204">
        <v>57</v>
      </c>
      <c r="AJ204">
        <v>0</v>
      </c>
      <c r="AK204">
        <v>3</v>
      </c>
      <c r="AL204" t="s">
        <v>4328</v>
      </c>
      <c r="AM204" t="s">
        <v>4329</v>
      </c>
      <c r="AN204" t="s">
        <v>4330</v>
      </c>
      <c r="AO204" t="s">
        <v>4331</v>
      </c>
      <c r="AP204" t="s">
        <v>4332</v>
      </c>
      <c r="AQ204" t="s">
        <v>74</v>
      </c>
      <c r="AR204" t="s">
        <v>4315</v>
      </c>
      <c r="AS204" t="s">
        <v>4333</v>
      </c>
      <c r="AT204" t="s">
        <v>4307</v>
      </c>
      <c r="AU204">
        <v>2018</v>
      </c>
      <c r="AV204">
        <v>4472</v>
      </c>
      <c r="AW204">
        <v>2</v>
      </c>
      <c r="AX204" t="s">
        <v>74</v>
      </c>
      <c r="AY204" t="s">
        <v>74</v>
      </c>
      <c r="AZ204" t="s">
        <v>74</v>
      </c>
      <c r="BA204" t="s">
        <v>74</v>
      </c>
      <c r="BB204">
        <v>261</v>
      </c>
      <c r="BC204">
        <v>297</v>
      </c>
      <c r="BD204" t="s">
        <v>74</v>
      </c>
      <c r="BE204" t="s">
        <v>4334</v>
      </c>
      <c r="BF204" t="str">
        <f>HYPERLINK("http://dx.doi.org/10.11646/zootaxa.4472.2.3","http://dx.doi.org/10.11646/zootaxa.4472.2.3")</f>
        <v>http://dx.doi.org/10.11646/zootaxa.4472.2.3</v>
      </c>
      <c r="BG204" t="s">
        <v>74</v>
      </c>
      <c r="BH204" t="s">
        <v>74</v>
      </c>
      <c r="BI204">
        <v>37</v>
      </c>
      <c r="BJ204" t="s">
        <v>2343</v>
      </c>
      <c r="BK204" t="s">
        <v>101</v>
      </c>
      <c r="BL204" t="s">
        <v>2343</v>
      </c>
      <c r="BM204" t="s">
        <v>4335</v>
      </c>
      <c r="BN204">
        <v>30313368</v>
      </c>
      <c r="BO204" t="s">
        <v>74</v>
      </c>
      <c r="BP204" t="s">
        <v>74</v>
      </c>
      <c r="BQ204" t="s">
        <v>74</v>
      </c>
      <c r="BR204" t="s">
        <v>104</v>
      </c>
      <c r="BS204" t="s">
        <v>4336</v>
      </c>
      <c r="BT204" t="str">
        <f>HYPERLINK("https%3A%2F%2Fwww.webofscience.com%2Fwos%2Fwoscc%2Ffull-record%2FWOS:000443944300003","View Full Record in Web of Science")</f>
        <v>View Full Record in Web of Science</v>
      </c>
    </row>
    <row r="205" spans="1:72" x14ac:dyDescent="0.15">
      <c r="A205" t="s">
        <v>72</v>
      </c>
      <c r="B205" t="s">
        <v>4337</v>
      </c>
      <c r="C205" t="s">
        <v>74</v>
      </c>
      <c r="D205" t="s">
        <v>74</v>
      </c>
      <c r="E205" t="s">
        <v>74</v>
      </c>
      <c r="F205" t="s">
        <v>4338</v>
      </c>
      <c r="G205" t="s">
        <v>74</v>
      </c>
      <c r="H205" t="s">
        <v>74</v>
      </c>
      <c r="I205" t="s">
        <v>4339</v>
      </c>
      <c r="J205" t="s">
        <v>4340</v>
      </c>
      <c r="K205" t="s">
        <v>74</v>
      </c>
      <c r="L205" t="s">
        <v>74</v>
      </c>
      <c r="M205" t="s">
        <v>78</v>
      </c>
      <c r="N205" t="s">
        <v>4341</v>
      </c>
      <c r="O205" t="s">
        <v>74</v>
      </c>
      <c r="P205" t="s">
        <v>74</v>
      </c>
      <c r="Q205" t="s">
        <v>74</v>
      </c>
      <c r="R205" t="s">
        <v>74</v>
      </c>
      <c r="S205" t="s">
        <v>74</v>
      </c>
      <c r="T205" t="s">
        <v>74</v>
      </c>
      <c r="U205" t="s">
        <v>74</v>
      </c>
      <c r="V205" t="s">
        <v>74</v>
      </c>
      <c r="W205" t="s">
        <v>74</v>
      </c>
      <c r="X205" t="s">
        <v>74</v>
      </c>
      <c r="Y205" t="s">
        <v>74</v>
      </c>
      <c r="Z205" t="s">
        <v>74</v>
      </c>
      <c r="AA205" t="s">
        <v>4342</v>
      </c>
      <c r="AB205" t="s">
        <v>4343</v>
      </c>
      <c r="AC205" t="s">
        <v>74</v>
      </c>
      <c r="AD205" t="s">
        <v>74</v>
      </c>
      <c r="AE205" t="s">
        <v>74</v>
      </c>
      <c r="AF205" t="s">
        <v>74</v>
      </c>
      <c r="AG205">
        <v>1</v>
      </c>
      <c r="AH205">
        <v>0</v>
      </c>
      <c r="AI205">
        <v>0</v>
      </c>
      <c r="AJ205">
        <v>0</v>
      </c>
      <c r="AK205">
        <v>3</v>
      </c>
      <c r="AL205" t="s">
        <v>3326</v>
      </c>
      <c r="AM205" t="s">
        <v>3327</v>
      </c>
      <c r="AN205" t="s">
        <v>3328</v>
      </c>
      <c r="AO205" t="s">
        <v>4344</v>
      </c>
      <c r="AP205" t="s">
        <v>4345</v>
      </c>
      <c r="AQ205" t="s">
        <v>74</v>
      </c>
      <c r="AR205" t="s">
        <v>4346</v>
      </c>
      <c r="AS205" t="s">
        <v>4347</v>
      </c>
      <c r="AT205" t="s">
        <v>4307</v>
      </c>
      <c r="AU205">
        <v>2018</v>
      </c>
      <c r="AV205">
        <v>50</v>
      </c>
      <c r="AW205">
        <v>1</v>
      </c>
      <c r="AX205" t="s">
        <v>74</v>
      </c>
      <c r="AY205" t="s">
        <v>74</v>
      </c>
      <c r="AZ205" t="s">
        <v>74</v>
      </c>
      <c r="BA205" t="s">
        <v>74</v>
      </c>
      <c r="BB205" t="s">
        <v>74</v>
      </c>
      <c r="BC205" t="s">
        <v>74</v>
      </c>
      <c r="BD205" t="s">
        <v>4348</v>
      </c>
      <c r="BE205" t="s">
        <v>4349</v>
      </c>
      <c r="BF205" t="str">
        <f>HYPERLINK("http://dx.doi.org/10.1080/15230430.2018.1514819","http://dx.doi.org/10.1080/15230430.2018.1514819")</f>
        <v>http://dx.doi.org/10.1080/15230430.2018.1514819</v>
      </c>
      <c r="BG205" t="s">
        <v>74</v>
      </c>
      <c r="BH205" t="s">
        <v>74</v>
      </c>
      <c r="BI205">
        <v>1</v>
      </c>
      <c r="BJ205" t="s">
        <v>4350</v>
      </c>
      <c r="BK205" t="s">
        <v>101</v>
      </c>
      <c r="BL205" t="s">
        <v>767</v>
      </c>
      <c r="BM205" t="s">
        <v>4351</v>
      </c>
      <c r="BN205" t="s">
        <v>74</v>
      </c>
      <c r="BO205" t="s">
        <v>1584</v>
      </c>
      <c r="BP205" t="s">
        <v>74</v>
      </c>
      <c r="BQ205" t="s">
        <v>74</v>
      </c>
      <c r="BR205" t="s">
        <v>104</v>
      </c>
      <c r="BS205" t="s">
        <v>4352</v>
      </c>
      <c r="BT205" t="str">
        <f>HYPERLINK("https%3A%2F%2Fwww.webofscience.com%2Fwos%2Fwoscc%2Ffull-record%2FWOS:000490344000001","View Full Record in Web of Science")</f>
        <v>View Full Record in Web of Science</v>
      </c>
    </row>
    <row r="206" spans="1:72" x14ac:dyDescent="0.15">
      <c r="A206" t="s">
        <v>72</v>
      </c>
      <c r="B206" t="s">
        <v>4353</v>
      </c>
      <c r="C206" t="s">
        <v>74</v>
      </c>
      <c r="D206" t="s">
        <v>74</v>
      </c>
      <c r="E206" t="s">
        <v>74</v>
      </c>
      <c r="F206" t="s">
        <v>4354</v>
      </c>
      <c r="G206" t="s">
        <v>74</v>
      </c>
      <c r="H206" t="s">
        <v>74</v>
      </c>
      <c r="I206" t="s">
        <v>4355</v>
      </c>
      <c r="J206" t="s">
        <v>4109</v>
      </c>
      <c r="K206" t="s">
        <v>74</v>
      </c>
      <c r="L206" t="s">
        <v>74</v>
      </c>
      <c r="M206" t="s">
        <v>78</v>
      </c>
      <c r="N206" t="s">
        <v>79</v>
      </c>
      <c r="O206" t="s">
        <v>74</v>
      </c>
      <c r="P206" t="s">
        <v>74</v>
      </c>
      <c r="Q206" t="s">
        <v>74</v>
      </c>
      <c r="R206" t="s">
        <v>74</v>
      </c>
      <c r="S206" t="s">
        <v>74</v>
      </c>
      <c r="T206" t="s">
        <v>74</v>
      </c>
      <c r="U206" t="s">
        <v>4356</v>
      </c>
      <c r="V206" t="s">
        <v>4357</v>
      </c>
      <c r="W206" t="s">
        <v>4358</v>
      </c>
      <c r="X206" t="s">
        <v>4359</v>
      </c>
      <c r="Y206" t="s">
        <v>4360</v>
      </c>
      <c r="Z206" t="s">
        <v>4361</v>
      </c>
      <c r="AA206" t="s">
        <v>4362</v>
      </c>
      <c r="AB206" t="s">
        <v>4363</v>
      </c>
      <c r="AC206" t="s">
        <v>4364</v>
      </c>
      <c r="AD206" t="s">
        <v>4365</v>
      </c>
      <c r="AE206" t="s">
        <v>4366</v>
      </c>
      <c r="AF206" t="s">
        <v>74</v>
      </c>
      <c r="AG206">
        <v>46</v>
      </c>
      <c r="AH206">
        <v>22</v>
      </c>
      <c r="AI206">
        <v>22</v>
      </c>
      <c r="AJ206">
        <v>0</v>
      </c>
      <c r="AK206">
        <v>12</v>
      </c>
      <c r="AL206" t="s">
        <v>1130</v>
      </c>
      <c r="AM206" t="s">
        <v>1131</v>
      </c>
      <c r="AN206" t="s">
        <v>1132</v>
      </c>
      <c r="AO206" t="s">
        <v>4121</v>
      </c>
      <c r="AP206" t="s">
        <v>74</v>
      </c>
      <c r="AQ206" t="s">
        <v>74</v>
      </c>
      <c r="AR206" t="s">
        <v>4122</v>
      </c>
      <c r="AS206" t="s">
        <v>4123</v>
      </c>
      <c r="AT206" t="s">
        <v>4367</v>
      </c>
      <c r="AU206">
        <v>2018</v>
      </c>
      <c r="AV206">
        <v>8</v>
      </c>
      <c r="AW206" t="s">
        <v>74</v>
      </c>
      <c r="AX206" t="s">
        <v>74</v>
      </c>
      <c r="AY206" t="s">
        <v>74</v>
      </c>
      <c r="AZ206" t="s">
        <v>74</v>
      </c>
      <c r="BA206" t="s">
        <v>74</v>
      </c>
      <c r="BB206" t="s">
        <v>74</v>
      </c>
      <c r="BC206" t="s">
        <v>74</v>
      </c>
      <c r="BD206">
        <v>13467</v>
      </c>
      <c r="BE206" t="s">
        <v>4368</v>
      </c>
      <c r="BF206" t="str">
        <f>HYPERLINK("http://dx.doi.org/10.1038/s41598-018-31875-8","http://dx.doi.org/10.1038/s41598-018-31875-8")</f>
        <v>http://dx.doi.org/10.1038/s41598-018-31875-8</v>
      </c>
      <c r="BG206" t="s">
        <v>74</v>
      </c>
      <c r="BH206" t="s">
        <v>74</v>
      </c>
      <c r="BI206">
        <v>10</v>
      </c>
      <c r="BJ206" t="s">
        <v>436</v>
      </c>
      <c r="BK206" t="s">
        <v>101</v>
      </c>
      <c r="BL206" t="s">
        <v>437</v>
      </c>
      <c r="BM206" t="s">
        <v>4369</v>
      </c>
      <c r="BN206">
        <v>30194352</v>
      </c>
      <c r="BO206" t="s">
        <v>439</v>
      </c>
      <c r="BP206" t="s">
        <v>74</v>
      </c>
      <c r="BQ206" t="s">
        <v>74</v>
      </c>
      <c r="BR206" t="s">
        <v>104</v>
      </c>
      <c r="BS206" t="s">
        <v>4370</v>
      </c>
      <c r="BT206" t="str">
        <f>HYPERLINK("https%3A%2F%2Fwww.webofscience.com%2Fwos%2Fwoscc%2Ffull-record%2FWOS:000444024100002","View Full Record in Web of Science")</f>
        <v>View Full Record in Web of Science</v>
      </c>
    </row>
    <row r="207" spans="1:72" x14ac:dyDescent="0.15">
      <c r="A207" t="s">
        <v>72</v>
      </c>
      <c r="B207" t="s">
        <v>4371</v>
      </c>
      <c r="C207" t="s">
        <v>74</v>
      </c>
      <c r="D207" t="s">
        <v>74</v>
      </c>
      <c r="E207" t="s">
        <v>74</v>
      </c>
      <c r="F207" t="s">
        <v>4372</v>
      </c>
      <c r="G207" t="s">
        <v>74</v>
      </c>
      <c r="H207" t="s">
        <v>74</v>
      </c>
      <c r="I207" t="s">
        <v>4373</v>
      </c>
      <c r="J207" t="s">
        <v>3366</v>
      </c>
      <c r="K207" t="s">
        <v>74</v>
      </c>
      <c r="L207" t="s">
        <v>74</v>
      </c>
      <c r="M207" t="s">
        <v>78</v>
      </c>
      <c r="N207" t="s">
        <v>79</v>
      </c>
      <c r="O207" t="s">
        <v>74</v>
      </c>
      <c r="P207" t="s">
        <v>74</v>
      </c>
      <c r="Q207" t="s">
        <v>74</v>
      </c>
      <c r="R207" t="s">
        <v>74</v>
      </c>
      <c r="S207" t="s">
        <v>74</v>
      </c>
      <c r="T207" t="s">
        <v>74</v>
      </c>
      <c r="U207" t="s">
        <v>4374</v>
      </c>
      <c r="V207" t="s">
        <v>4375</v>
      </c>
      <c r="W207" t="s">
        <v>4376</v>
      </c>
      <c r="X207" t="s">
        <v>4377</v>
      </c>
      <c r="Y207" t="s">
        <v>4378</v>
      </c>
      <c r="Z207" t="s">
        <v>4379</v>
      </c>
      <c r="AA207" t="s">
        <v>4380</v>
      </c>
      <c r="AB207" t="s">
        <v>4381</v>
      </c>
      <c r="AC207" t="s">
        <v>4382</v>
      </c>
      <c r="AD207" t="s">
        <v>4383</v>
      </c>
      <c r="AE207" t="s">
        <v>4384</v>
      </c>
      <c r="AF207" t="s">
        <v>74</v>
      </c>
      <c r="AG207">
        <v>72</v>
      </c>
      <c r="AH207">
        <v>38</v>
      </c>
      <c r="AI207">
        <v>42</v>
      </c>
      <c r="AJ207">
        <v>1</v>
      </c>
      <c r="AK207">
        <v>7</v>
      </c>
      <c r="AL207" t="s">
        <v>3353</v>
      </c>
      <c r="AM207" t="s">
        <v>3354</v>
      </c>
      <c r="AN207" t="s">
        <v>3355</v>
      </c>
      <c r="AO207" t="s">
        <v>3377</v>
      </c>
      <c r="AP207" t="s">
        <v>3378</v>
      </c>
      <c r="AQ207" t="s">
        <v>74</v>
      </c>
      <c r="AR207" t="s">
        <v>3366</v>
      </c>
      <c r="AS207" t="s">
        <v>3379</v>
      </c>
      <c r="AT207" t="s">
        <v>4385</v>
      </c>
      <c r="AU207">
        <v>2018</v>
      </c>
      <c r="AV207">
        <v>12</v>
      </c>
      <c r="AW207">
        <v>9</v>
      </c>
      <c r="AX207" t="s">
        <v>74</v>
      </c>
      <c r="AY207" t="s">
        <v>74</v>
      </c>
      <c r="AZ207" t="s">
        <v>74</v>
      </c>
      <c r="BA207" t="s">
        <v>74</v>
      </c>
      <c r="BB207">
        <v>2869</v>
      </c>
      <c r="BC207">
        <v>2882</v>
      </c>
      <c r="BD207" t="s">
        <v>74</v>
      </c>
      <c r="BE207" t="s">
        <v>4386</v>
      </c>
      <c r="BF207" t="str">
        <f>HYPERLINK("http://dx.doi.org/10.5194/tc-12-2869-2018","http://dx.doi.org/10.5194/tc-12-2869-2018")</f>
        <v>http://dx.doi.org/10.5194/tc-12-2869-2018</v>
      </c>
      <c r="BG207" t="s">
        <v>74</v>
      </c>
      <c r="BH207" t="s">
        <v>74</v>
      </c>
      <c r="BI207">
        <v>14</v>
      </c>
      <c r="BJ207" t="s">
        <v>208</v>
      </c>
      <c r="BK207" t="s">
        <v>101</v>
      </c>
      <c r="BL207" t="s">
        <v>209</v>
      </c>
      <c r="BM207" t="s">
        <v>4387</v>
      </c>
      <c r="BN207" t="s">
        <v>74</v>
      </c>
      <c r="BO207" t="s">
        <v>4388</v>
      </c>
      <c r="BP207" t="s">
        <v>74</v>
      </c>
      <c r="BQ207" t="s">
        <v>74</v>
      </c>
      <c r="BR207" t="s">
        <v>104</v>
      </c>
      <c r="BS207" t="s">
        <v>4389</v>
      </c>
      <c r="BT207" t="str">
        <f>HYPERLINK("https%3A%2F%2Fwww.webofscience.com%2Fwos%2Fwoscc%2Ffull-record%2FWOS:000443882000002","View Full Record in Web of Science")</f>
        <v>View Full Record in Web of Science</v>
      </c>
    </row>
    <row r="208" spans="1:72" x14ac:dyDescent="0.15">
      <c r="A208" t="s">
        <v>72</v>
      </c>
      <c r="B208" t="s">
        <v>4390</v>
      </c>
      <c r="C208" t="s">
        <v>74</v>
      </c>
      <c r="D208" t="s">
        <v>74</v>
      </c>
      <c r="E208" t="s">
        <v>74</v>
      </c>
      <c r="F208" t="s">
        <v>4391</v>
      </c>
      <c r="G208" t="s">
        <v>74</v>
      </c>
      <c r="H208" t="s">
        <v>74</v>
      </c>
      <c r="I208" t="s">
        <v>4392</v>
      </c>
      <c r="J208" t="s">
        <v>4131</v>
      </c>
      <c r="K208" t="s">
        <v>74</v>
      </c>
      <c r="L208" t="s">
        <v>74</v>
      </c>
      <c r="M208" t="s">
        <v>78</v>
      </c>
      <c r="N208" t="s">
        <v>79</v>
      </c>
      <c r="O208" t="s">
        <v>74</v>
      </c>
      <c r="P208" t="s">
        <v>74</v>
      </c>
      <c r="Q208" t="s">
        <v>74</v>
      </c>
      <c r="R208" t="s">
        <v>74</v>
      </c>
      <c r="S208" t="s">
        <v>74</v>
      </c>
      <c r="T208" t="s">
        <v>74</v>
      </c>
      <c r="U208" t="s">
        <v>4393</v>
      </c>
      <c r="V208" t="s">
        <v>4394</v>
      </c>
      <c r="W208" t="s">
        <v>4395</v>
      </c>
      <c r="X208" t="s">
        <v>4396</v>
      </c>
      <c r="Y208" t="s">
        <v>4397</v>
      </c>
      <c r="Z208" t="s">
        <v>4398</v>
      </c>
      <c r="AA208" t="s">
        <v>4399</v>
      </c>
      <c r="AB208" t="s">
        <v>4400</v>
      </c>
      <c r="AC208" t="s">
        <v>4401</v>
      </c>
      <c r="AD208" t="s">
        <v>4402</v>
      </c>
      <c r="AE208" t="s">
        <v>4403</v>
      </c>
      <c r="AF208" t="s">
        <v>74</v>
      </c>
      <c r="AG208">
        <v>33</v>
      </c>
      <c r="AH208">
        <v>16</v>
      </c>
      <c r="AI208">
        <v>17</v>
      </c>
      <c r="AJ208">
        <v>0</v>
      </c>
      <c r="AK208">
        <v>7</v>
      </c>
      <c r="AL208" t="s">
        <v>3353</v>
      </c>
      <c r="AM208" t="s">
        <v>3354</v>
      </c>
      <c r="AN208" t="s">
        <v>3355</v>
      </c>
      <c r="AO208" t="s">
        <v>4143</v>
      </c>
      <c r="AP208" t="s">
        <v>4144</v>
      </c>
      <c r="AQ208" t="s">
        <v>74</v>
      </c>
      <c r="AR208" t="s">
        <v>4145</v>
      </c>
      <c r="AS208" t="s">
        <v>4146</v>
      </c>
      <c r="AT208" t="s">
        <v>4385</v>
      </c>
      <c r="AU208">
        <v>2018</v>
      </c>
      <c r="AV208">
        <v>10</v>
      </c>
      <c r="AW208">
        <v>3</v>
      </c>
      <c r="AX208" t="s">
        <v>74</v>
      </c>
      <c r="AY208" t="s">
        <v>74</v>
      </c>
      <c r="AZ208" t="s">
        <v>74</v>
      </c>
      <c r="BA208" t="s">
        <v>74</v>
      </c>
      <c r="BB208">
        <v>1605</v>
      </c>
      <c r="BC208">
        <v>1612</v>
      </c>
      <c r="BD208" t="s">
        <v>74</v>
      </c>
      <c r="BE208" t="s">
        <v>4404</v>
      </c>
      <c r="BF208" t="str">
        <f>HYPERLINK("http://dx.doi.org/10.5194/essd-10-1605-2018","http://dx.doi.org/10.5194/essd-10-1605-2018")</f>
        <v>http://dx.doi.org/10.5194/essd-10-1605-2018</v>
      </c>
      <c r="BG208" t="s">
        <v>74</v>
      </c>
      <c r="BH208" t="s">
        <v>74</v>
      </c>
      <c r="BI208">
        <v>8</v>
      </c>
      <c r="BJ208" t="s">
        <v>4148</v>
      </c>
      <c r="BK208" t="s">
        <v>101</v>
      </c>
      <c r="BL208" t="s">
        <v>4149</v>
      </c>
      <c r="BM208" t="s">
        <v>4405</v>
      </c>
      <c r="BN208" t="s">
        <v>74</v>
      </c>
      <c r="BO208" t="s">
        <v>1524</v>
      </c>
      <c r="BP208" t="s">
        <v>74</v>
      </c>
      <c r="BQ208" t="s">
        <v>74</v>
      </c>
      <c r="BR208" t="s">
        <v>104</v>
      </c>
      <c r="BS208" t="s">
        <v>4406</v>
      </c>
      <c r="BT208" t="str">
        <f>HYPERLINK("https%3A%2F%2Fwww.webofscience.com%2Fwos%2Fwoscc%2Ffull-record%2FWOS:000443875800001","View Full Record in Web of Science")</f>
        <v>View Full Record in Web of Science</v>
      </c>
    </row>
    <row r="209" spans="1:72" x14ac:dyDescent="0.15">
      <c r="A209" t="s">
        <v>72</v>
      </c>
      <c r="B209" t="s">
        <v>4407</v>
      </c>
      <c r="C209" t="s">
        <v>74</v>
      </c>
      <c r="D209" t="s">
        <v>74</v>
      </c>
      <c r="E209" t="s">
        <v>74</v>
      </c>
      <c r="F209" t="s">
        <v>4408</v>
      </c>
      <c r="G209" t="s">
        <v>74</v>
      </c>
      <c r="H209" t="s">
        <v>74</v>
      </c>
      <c r="I209" t="s">
        <v>4409</v>
      </c>
      <c r="J209" t="s">
        <v>3161</v>
      </c>
      <c r="K209" t="s">
        <v>74</v>
      </c>
      <c r="L209" t="s">
        <v>74</v>
      </c>
      <c r="M209" t="s">
        <v>78</v>
      </c>
      <c r="N209" t="s">
        <v>79</v>
      </c>
      <c r="O209" t="s">
        <v>74</v>
      </c>
      <c r="P209" t="s">
        <v>74</v>
      </c>
      <c r="Q209" t="s">
        <v>74</v>
      </c>
      <c r="R209" t="s">
        <v>74</v>
      </c>
      <c r="S209" t="s">
        <v>74</v>
      </c>
      <c r="T209" t="s">
        <v>4410</v>
      </c>
      <c r="U209" t="s">
        <v>4411</v>
      </c>
      <c r="V209" t="s">
        <v>4412</v>
      </c>
      <c r="W209" t="s">
        <v>4413</v>
      </c>
      <c r="X209" t="s">
        <v>4414</v>
      </c>
      <c r="Y209" t="s">
        <v>4415</v>
      </c>
      <c r="Z209" t="s">
        <v>4416</v>
      </c>
      <c r="AA209" t="s">
        <v>4417</v>
      </c>
      <c r="AB209" t="s">
        <v>4418</v>
      </c>
      <c r="AC209" t="s">
        <v>4419</v>
      </c>
      <c r="AD209" t="s">
        <v>4420</v>
      </c>
      <c r="AE209" t="s">
        <v>4421</v>
      </c>
      <c r="AF209" t="s">
        <v>74</v>
      </c>
      <c r="AG209">
        <v>110</v>
      </c>
      <c r="AH209">
        <v>25</v>
      </c>
      <c r="AI209">
        <v>26</v>
      </c>
      <c r="AJ209">
        <v>3</v>
      </c>
      <c r="AK209">
        <v>25</v>
      </c>
      <c r="AL209" t="s">
        <v>3174</v>
      </c>
      <c r="AM209" t="s">
        <v>3175</v>
      </c>
      <c r="AN209" t="s">
        <v>3176</v>
      </c>
      <c r="AO209" t="s">
        <v>3177</v>
      </c>
      <c r="AP209" t="s">
        <v>74</v>
      </c>
      <c r="AQ209" t="s">
        <v>74</v>
      </c>
      <c r="AR209" t="s">
        <v>3178</v>
      </c>
      <c r="AS209" t="s">
        <v>3179</v>
      </c>
      <c r="AT209" t="s">
        <v>4422</v>
      </c>
      <c r="AU209">
        <v>2018</v>
      </c>
      <c r="AV209">
        <v>6</v>
      </c>
      <c r="AW209" t="s">
        <v>74</v>
      </c>
      <c r="AX209" t="s">
        <v>74</v>
      </c>
      <c r="AY209" t="s">
        <v>74</v>
      </c>
      <c r="AZ209" t="s">
        <v>74</v>
      </c>
      <c r="BA209" t="s">
        <v>74</v>
      </c>
      <c r="BB209" t="s">
        <v>74</v>
      </c>
      <c r="BC209" t="s">
        <v>74</v>
      </c>
      <c r="BD209">
        <v>120</v>
      </c>
      <c r="BE209" t="s">
        <v>4423</v>
      </c>
      <c r="BF209" t="str">
        <f>HYPERLINK("http://dx.doi.org/10.3389/fevo.2018.00120","http://dx.doi.org/10.3389/fevo.2018.00120")</f>
        <v>http://dx.doi.org/10.3389/fevo.2018.00120</v>
      </c>
      <c r="BG209" t="s">
        <v>74</v>
      </c>
      <c r="BH209" t="s">
        <v>74</v>
      </c>
      <c r="BI209">
        <v>19</v>
      </c>
      <c r="BJ209" t="s">
        <v>2087</v>
      </c>
      <c r="BK209" t="s">
        <v>101</v>
      </c>
      <c r="BL209" t="s">
        <v>559</v>
      </c>
      <c r="BM209" t="s">
        <v>4424</v>
      </c>
      <c r="BN209" t="s">
        <v>74</v>
      </c>
      <c r="BO209" t="s">
        <v>439</v>
      </c>
      <c r="BP209" t="s">
        <v>74</v>
      </c>
      <c r="BQ209" t="s">
        <v>74</v>
      </c>
      <c r="BR209" t="s">
        <v>104</v>
      </c>
      <c r="BS209" t="s">
        <v>4425</v>
      </c>
      <c r="BT209" t="str">
        <f>HYPERLINK("https%3A%2F%2Fwww.webofscience.com%2Fwos%2Fwoscc%2Ffull-record%2FWOS:000451906200001","View Full Record in Web of Science")</f>
        <v>View Full Record in Web of Science</v>
      </c>
    </row>
    <row r="210" spans="1:72" x14ac:dyDescent="0.15">
      <c r="A210" t="s">
        <v>72</v>
      </c>
      <c r="B210" t="s">
        <v>4426</v>
      </c>
      <c r="C210" t="s">
        <v>74</v>
      </c>
      <c r="D210" t="s">
        <v>74</v>
      </c>
      <c r="E210" t="s">
        <v>74</v>
      </c>
      <c r="F210" t="s">
        <v>4427</v>
      </c>
      <c r="G210" t="s">
        <v>74</v>
      </c>
      <c r="H210" t="s">
        <v>74</v>
      </c>
      <c r="I210" t="s">
        <v>4428</v>
      </c>
      <c r="J210" t="s">
        <v>4429</v>
      </c>
      <c r="K210" t="s">
        <v>74</v>
      </c>
      <c r="L210" t="s">
        <v>74</v>
      </c>
      <c r="M210" t="s">
        <v>78</v>
      </c>
      <c r="N210" t="s">
        <v>79</v>
      </c>
      <c r="O210" t="s">
        <v>74</v>
      </c>
      <c r="P210" t="s">
        <v>74</v>
      </c>
      <c r="Q210" t="s">
        <v>74</v>
      </c>
      <c r="R210" t="s">
        <v>74</v>
      </c>
      <c r="S210" t="s">
        <v>74</v>
      </c>
      <c r="T210" t="s">
        <v>4430</v>
      </c>
      <c r="U210" t="s">
        <v>4431</v>
      </c>
      <c r="V210" t="s">
        <v>4432</v>
      </c>
      <c r="W210" t="s">
        <v>4433</v>
      </c>
      <c r="X210" t="s">
        <v>4434</v>
      </c>
      <c r="Y210" t="s">
        <v>4435</v>
      </c>
      <c r="Z210" t="s">
        <v>4436</v>
      </c>
      <c r="AA210" t="s">
        <v>4437</v>
      </c>
      <c r="AB210" t="s">
        <v>4438</v>
      </c>
      <c r="AC210" t="s">
        <v>4439</v>
      </c>
      <c r="AD210" t="s">
        <v>4440</v>
      </c>
      <c r="AE210" t="s">
        <v>4441</v>
      </c>
      <c r="AF210" t="s">
        <v>74</v>
      </c>
      <c r="AG210">
        <v>19</v>
      </c>
      <c r="AH210">
        <v>14</v>
      </c>
      <c r="AI210">
        <v>15</v>
      </c>
      <c r="AJ210">
        <v>0</v>
      </c>
      <c r="AK210">
        <v>10</v>
      </c>
      <c r="AL210" t="s">
        <v>149</v>
      </c>
      <c r="AM210" t="s">
        <v>93</v>
      </c>
      <c r="AN210" t="s">
        <v>150</v>
      </c>
      <c r="AO210" t="s">
        <v>4442</v>
      </c>
      <c r="AP210" t="s">
        <v>74</v>
      </c>
      <c r="AQ210" t="s">
        <v>74</v>
      </c>
      <c r="AR210" t="s">
        <v>4443</v>
      </c>
      <c r="AS210" t="s">
        <v>4444</v>
      </c>
      <c r="AT210" t="s">
        <v>4422</v>
      </c>
      <c r="AU210">
        <v>2018</v>
      </c>
      <c r="AV210">
        <v>59</v>
      </c>
      <c r="AW210">
        <v>36</v>
      </c>
      <c r="AX210" t="s">
        <v>74</v>
      </c>
      <c r="AY210" t="s">
        <v>74</v>
      </c>
      <c r="AZ210" t="s">
        <v>74</v>
      </c>
      <c r="BA210" t="s">
        <v>74</v>
      </c>
      <c r="BB210">
        <v>3353</v>
      </c>
      <c r="BC210">
        <v>3356</v>
      </c>
      <c r="BD210" t="s">
        <v>74</v>
      </c>
      <c r="BE210" t="s">
        <v>4445</v>
      </c>
      <c r="BF210" t="str">
        <f>HYPERLINK("http://dx.doi.org/10.1016/j.tetlet.2018.07.055","http://dx.doi.org/10.1016/j.tetlet.2018.07.055")</f>
        <v>http://dx.doi.org/10.1016/j.tetlet.2018.07.055</v>
      </c>
      <c r="BG210" t="s">
        <v>74</v>
      </c>
      <c r="BH210" t="s">
        <v>74</v>
      </c>
      <c r="BI210">
        <v>4</v>
      </c>
      <c r="BJ210" t="s">
        <v>4446</v>
      </c>
      <c r="BK210" t="s">
        <v>4447</v>
      </c>
      <c r="BL210" t="s">
        <v>2879</v>
      </c>
      <c r="BM210" t="s">
        <v>4448</v>
      </c>
      <c r="BN210" t="s">
        <v>74</v>
      </c>
      <c r="BO210" t="s">
        <v>74</v>
      </c>
      <c r="BP210" t="s">
        <v>74</v>
      </c>
      <c r="BQ210" t="s">
        <v>74</v>
      </c>
      <c r="BR210" t="s">
        <v>104</v>
      </c>
      <c r="BS210" t="s">
        <v>4449</v>
      </c>
      <c r="BT210" t="str">
        <f>HYPERLINK("https%3A%2F%2Fwww.webofscience.com%2Fwos%2Fwoscc%2Ffull-record%2FWOS:000442976700003","View Full Record in Web of Science")</f>
        <v>View Full Record in Web of Science</v>
      </c>
    </row>
    <row r="211" spans="1:72" x14ac:dyDescent="0.15">
      <c r="A211" t="s">
        <v>72</v>
      </c>
      <c r="B211" t="s">
        <v>4450</v>
      </c>
      <c r="C211" t="s">
        <v>74</v>
      </c>
      <c r="D211" t="s">
        <v>74</v>
      </c>
      <c r="E211" t="s">
        <v>74</v>
      </c>
      <c r="F211" t="s">
        <v>4451</v>
      </c>
      <c r="G211" t="s">
        <v>74</v>
      </c>
      <c r="H211" t="s">
        <v>74</v>
      </c>
      <c r="I211" t="s">
        <v>4452</v>
      </c>
      <c r="J211" t="s">
        <v>4453</v>
      </c>
      <c r="K211" t="s">
        <v>74</v>
      </c>
      <c r="L211" t="s">
        <v>74</v>
      </c>
      <c r="M211" t="s">
        <v>78</v>
      </c>
      <c r="N211" t="s">
        <v>79</v>
      </c>
      <c r="O211" t="s">
        <v>74</v>
      </c>
      <c r="P211" t="s">
        <v>74</v>
      </c>
      <c r="Q211" t="s">
        <v>74</v>
      </c>
      <c r="R211" t="s">
        <v>74</v>
      </c>
      <c r="S211" t="s">
        <v>74</v>
      </c>
      <c r="T211" t="s">
        <v>74</v>
      </c>
      <c r="U211" t="s">
        <v>4454</v>
      </c>
      <c r="V211" t="s">
        <v>4455</v>
      </c>
      <c r="W211" t="s">
        <v>4456</v>
      </c>
      <c r="X211" t="s">
        <v>4457</v>
      </c>
      <c r="Y211" t="s">
        <v>4458</v>
      </c>
      <c r="Z211" t="s">
        <v>4459</v>
      </c>
      <c r="AA211" t="s">
        <v>4460</v>
      </c>
      <c r="AB211" t="s">
        <v>4461</v>
      </c>
      <c r="AC211" t="s">
        <v>4462</v>
      </c>
      <c r="AD211" t="s">
        <v>4463</v>
      </c>
      <c r="AE211" t="s">
        <v>4464</v>
      </c>
      <c r="AF211" t="s">
        <v>74</v>
      </c>
      <c r="AG211">
        <v>160</v>
      </c>
      <c r="AH211">
        <v>40</v>
      </c>
      <c r="AI211">
        <v>41</v>
      </c>
      <c r="AJ211">
        <v>2</v>
      </c>
      <c r="AK211">
        <v>25</v>
      </c>
      <c r="AL211" t="s">
        <v>3353</v>
      </c>
      <c r="AM211" t="s">
        <v>3354</v>
      </c>
      <c r="AN211" t="s">
        <v>3355</v>
      </c>
      <c r="AO211" t="s">
        <v>4465</v>
      </c>
      <c r="AP211" t="s">
        <v>4466</v>
      </c>
      <c r="AQ211" t="s">
        <v>74</v>
      </c>
      <c r="AR211" t="s">
        <v>4467</v>
      </c>
      <c r="AS211" t="s">
        <v>4468</v>
      </c>
      <c r="AT211" t="s">
        <v>4469</v>
      </c>
      <c r="AU211">
        <v>2018</v>
      </c>
      <c r="AV211">
        <v>14</v>
      </c>
      <c r="AW211">
        <v>9</v>
      </c>
      <c r="AX211" t="s">
        <v>74</v>
      </c>
      <c r="AY211" t="s">
        <v>74</v>
      </c>
      <c r="AZ211" t="s">
        <v>74</v>
      </c>
      <c r="BA211" t="s">
        <v>74</v>
      </c>
      <c r="BB211">
        <v>1275</v>
      </c>
      <c r="BC211">
        <v>1297</v>
      </c>
      <c r="BD211" t="s">
        <v>74</v>
      </c>
      <c r="BE211" t="s">
        <v>4470</v>
      </c>
      <c r="BF211" t="str">
        <f>HYPERLINK("http://dx.doi.org/10.5194/cp-14-1275-2018","http://dx.doi.org/10.5194/cp-14-1275-2018")</f>
        <v>http://dx.doi.org/10.5194/cp-14-1275-2018</v>
      </c>
      <c r="BG211" t="s">
        <v>74</v>
      </c>
      <c r="BH211" t="s">
        <v>74</v>
      </c>
      <c r="BI211">
        <v>23</v>
      </c>
      <c r="BJ211" t="s">
        <v>4148</v>
      </c>
      <c r="BK211" t="s">
        <v>101</v>
      </c>
      <c r="BL211" t="s">
        <v>4149</v>
      </c>
      <c r="BM211" t="s">
        <v>4471</v>
      </c>
      <c r="BN211" t="s">
        <v>74</v>
      </c>
      <c r="BO211" t="s">
        <v>239</v>
      </c>
      <c r="BP211" t="s">
        <v>74</v>
      </c>
      <c r="BQ211" t="s">
        <v>74</v>
      </c>
      <c r="BR211" t="s">
        <v>104</v>
      </c>
      <c r="BS211" t="s">
        <v>4472</v>
      </c>
      <c r="BT211" t="str">
        <f>HYPERLINK("https%3A%2F%2Fwww.webofscience.com%2Fwos%2Fwoscc%2Ffull-record%2FWOS:000443641300001","View Full Record in Web of Science")</f>
        <v>View Full Record in Web of Science</v>
      </c>
    </row>
    <row r="212" spans="1:72" x14ac:dyDescent="0.15">
      <c r="A212" t="s">
        <v>72</v>
      </c>
      <c r="B212" t="s">
        <v>4473</v>
      </c>
      <c r="C212" t="s">
        <v>74</v>
      </c>
      <c r="D212" t="s">
        <v>74</v>
      </c>
      <c r="E212" t="s">
        <v>74</v>
      </c>
      <c r="F212" t="s">
        <v>4474</v>
      </c>
      <c r="G212" t="s">
        <v>74</v>
      </c>
      <c r="H212" t="s">
        <v>74</v>
      </c>
      <c r="I212" t="s">
        <v>4475</v>
      </c>
      <c r="J212" t="s">
        <v>3313</v>
      </c>
      <c r="K212" t="s">
        <v>74</v>
      </c>
      <c r="L212" t="s">
        <v>74</v>
      </c>
      <c r="M212" t="s">
        <v>78</v>
      </c>
      <c r="N212" t="s">
        <v>79</v>
      </c>
      <c r="O212" t="s">
        <v>74</v>
      </c>
      <c r="P212" t="s">
        <v>74</v>
      </c>
      <c r="Q212" t="s">
        <v>74</v>
      </c>
      <c r="R212" t="s">
        <v>74</v>
      </c>
      <c r="S212" t="s">
        <v>74</v>
      </c>
      <c r="T212" t="s">
        <v>4476</v>
      </c>
      <c r="U212" t="s">
        <v>4477</v>
      </c>
      <c r="V212" t="s">
        <v>4478</v>
      </c>
      <c r="W212" t="s">
        <v>4479</v>
      </c>
      <c r="X212" t="s">
        <v>4480</v>
      </c>
      <c r="Y212" t="s">
        <v>4481</v>
      </c>
      <c r="Z212" t="s">
        <v>4482</v>
      </c>
      <c r="AA212" t="s">
        <v>74</v>
      </c>
      <c r="AB212" t="s">
        <v>4483</v>
      </c>
      <c r="AC212" t="s">
        <v>4484</v>
      </c>
      <c r="AD212" t="s">
        <v>4485</v>
      </c>
      <c r="AE212" t="s">
        <v>4486</v>
      </c>
      <c r="AF212" t="s">
        <v>74</v>
      </c>
      <c r="AG212">
        <v>26</v>
      </c>
      <c r="AH212">
        <v>4</v>
      </c>
      <c r="AI212">
        <v>5</v>
      </c>
      <c r="AJ212">
        <v>0</v>
      </c>
      <c r="AK212">
        <v>10</v>
      </c>
      <c r="AL212" t="s">
        <v>3326</v>
      </c>
      <c r="AM212" t="s">
        <v>3327</v>
      </c>
      <c r="AN212" t="s">
        <v>3328</v>
      </c>
      <c r="AO212" t="s">
        <v>3329</v>
      </c>
      <c r="AP212" t="s">
        <v>3330</v>
      </c>
      <c r="AQ212" t="s">
        <v>74</v>
      </c>
      <c r="AR212" t="s">
        <v>3331</v>
      </c>
      <c r="AS212" t="s">
        <v>3332</v>
      </c>
      <c r="AT212" t="s">
        <v>4469</v>
      </c>
      <c r="AU212">
        <v>2018</v>
      </c>
      <c r="AV212">
        <v>37</v>
      </c>
      <c r="AW212">
        <v>1</v>
      </c>
      <c r="AX212" t="s">
        <v>74</v>
      </c>
      <c r="AY212" t="s">
        <v>74</v>
      </c>
      <c r="AZ212" t="s">
        <v>74</v>
      </c>
      <c r="BA212" t="s">
        <v>74</v>
      </c>
      <c r="BB212" t="s">
        <v>74</v>
      </c>
      <c r="BC212" t="s">
        <v>74</v>
      </c>
      <c r="BD212">
        <v>1500266</v>
      </c>
      <c r="BE212" t="s">
        <v>4487</v>
      </c>
      <c r="BF212" t="str">
        <f>HYPERLINK("http://dx.doi.org/10.1080/17518369.2018.1500266","http://dx.doi.org/10.1080/17518369.2018.1500266")</f>
        <v>http://dx.doi.org/10.1080/17518369.2018.1500266</v>
      </c>
      <c r="BG212" t="s">
        <v>74</v>
      </c>
      <c r="BH212" t="s">
        <v>74</v>
      </c>
      <c r="BI212">
        <v>5</v>
      </c>
      <c r="BJ212" t="s">
        <v>3334</v>
      </c>
      <c r="BK212" t="s">
        <v>101</v>
      </c>
      <c r="BL212" t="s">
        <v>3335</v>
      </c>
      <c r="BM212" t="s">
        <v>4488</v>
      </c>
      <c r="BN212" t="s">
        <v>74</v>
      </c>
      <c r="BO212" t="s">
        <v>1584</v>
      </c>
      <c r="BP212" t="s">
        <v>74</v>
      </c>
      <c r="BQ212" t="s">
        <v>74</v>
      </c>
      <c r="BR212" t="s">
        <v>104</v>
      </c>
      <c r="BS212" t="s">
        <v>4489</v>
      </c>
      <c r="BT212" t="str">
        <f>HYPERLINK("https%3A%2F%2Fwww.webofscience.com%2Fwos%2Fwoscc%2Ffull-record%2FWOS:000443826000001","View Full Record in Web of Science")</f>
        <v>View Full Record in Web of Science</v>
      </c>
    </row>
    <row r="213" spans="1:72" x14ac:dyDescent="0.15">
      <c r="A213" t="s">
        <v>72</v>
      </c>
      <c r="B213" t="s">
        <v>4490</v>
      </c>
      <c r="C213" t="s">
        <v>74</v>
      </c>
      <c r="D213" t="s">
        <v>74</v>
      </c>
      <c r="E213" t="s">
        <v>74</v>
      </c>
      <c r="F213" t="s">
        <v>4491</v>
      </c>
      <c r="G213" t="s">
        <v>74</v>
      </c>
      <c r="H213" t="s">
        <v>74</v>
      </c>
      <c r="I213" t="s">
        <v>4492</v>
      </c>
      <c r="J213" t="s">
        <v>3366</v>
      </c>
      <c r="K213" t="s">
        <v>74</v>
      </c>
      <c r="L213" t="s">
        <v>74</v>
      </c>
      <c r="M213" t="s">
        <v>78</v>
      </c>
      <c r="N213" t="s">
        <v>79</v>
      </c>
      <c r="O213" t="s">
        <v>74</v>
      </c>
      <c r="P213" t="s">
        <v>74</v>
      </c>
      <c r="Q213" t="s">
        <v>74</v>
      </c>
      <c r="R213" t="s">
        <v>74</v>
      </c>
      <c r="S213" t="s">
        <v>74</v>
      </c>
      <c r="T213" t="s">
        <v>74</v>
      </c>
      <c r="U213" t="s">
        <v>4493</v>
      </c>
      <c r="V213" t="s">
        <v>4494</v>
      </c>
      <c r="W213" t="s">
        <v>4495</v>
      </c>
      <c r="X213" t="s">
        <v>4496</v>
      </c>
      <c r="Y213" t="s">
        <v>4497</v>
      </c>
      <c r="Z213" t="s">
        <v>4498</v>
      </c>
      <c r="AA213" t="s">
        <v>74</v>
      </c>
      <c r="AB213" t="s">
        <v>4499</v>
      </c>
      <c r="AC213" t="s">
        <v>4500</v>
      </c>
      <c r="AD213" t="s">
        <v>4501</v>
      </c>
      <c r="AE213" t="s">
        <v>4502</v>
      </c>
      <c r="AF213" t="s">
        <v>74</v>
      </c>
      <c r="AG213">
        <v>50</v>
      </c>
      <c r="AH213">
        <v>4</v>
      </c>
      <c r="AI213">
        <v>5</v>
      </c>
      <c r="AJ213">
        <v>1</v>
      </c>
      <c r="AK213">
        <v>11</v>
      </c>
      <c r="AL213" t="s">
        <v>3353</v>
      </c>
      <c r="AM213" t="s">
        <v>3354</v>
      </c>
      <c r="AN213" t="s">
        <v>3355</v>
      </c>
      <c r="AO213" t="s">
        <v>3377</v>
      </c>
      <c r="AP213" t="s">
        <v>3378</v>
      </c>
      <c r="AQ213" t="s">
        <v>74</v>
      </c>
      <c r="AR213" t="s">
        <v>3366</v>
      </c>
      <c r="AS213" t="s">
        <v>3379</v>
      </c>
      <c r="AT213" t="s">
        <v>4469</v>
      </c>
      <c r="AU213">
        <v>2018</v>
      </c>
      <c r="AV213">
        <v>12</v>
      </c>
      <c r="AW213">
        <v>9</v>
      </c>
      <c r="AX213" t="s">
        <v>74</v>
      </c>
      <c r="AY213" t="s">
        <v>74</v>
      </c>
      <c r="AZ213" t="s">
        <v>74</v>
      </c>
      <c r="BA213" t="s">
        <v>74</v>
      </c>
      <c r="BB213">
        <v>2821</v>
      </c>
      <c r="BC213">
        <v>2829</v>
      </c>
      <c r="BD213" t="s">
        <v>74</v>
      </c>
      <c r="BE213" t="s">
        <v>4503</v>
      </c>
      <c r="BF213" t="str">
        <f>HYPERLINK("http://dx.doi.org/10.5194/tc-12-2821-2018","http://dx.doi.org/10.5194/tc-12-2821-2018")</f>
        <v>http://dx.doi.org/10.5194/tc-12-2821-2018</v>
      </c>
      <c r="BG213" t="s">
        <v>74</v>
      </c>
      <c r="BH213" t="s">
        <v>74</v>
      </c>
      <c r="BI213">
        <v>9</v>
      </c>
      <c r="BJ213" t="s">
        <v>208</v>
      </c>
      <c r="BK213" t="s">
        <v>101</v>
      </c>
      <c r="BL213" t="s">
        <v>209</v>
      </c>
      <c r="BM213" t="s">
        <v>4504</v>
      </c>
      <c r="BN213" t="s">
        <v>74</v>
      </c>
      <c r="BO213" t="s">
        <v>1584</v>
      </c>
      <c r="BP213" t="s">
        <v>74</v>
      </c>
      <c r="BQ213" t="s">
        <v>74</v>
      </c>
      <c r="BR213" t="s">
        <v>104</v>
      </c>
      <c r="BS213" t="s">
        <v>4505</v>
      </c>
      <c r="BT213" t="str">
        <f>HYPERLINK("https%3A%2F%2Fwww.webofscience.com%2Fwos%2Fwoscc%2Ffull-record%2FWOS:000443673400001","View Full Record in Web of Science")</f>
        <v>View Full Record in Web of Science</v>
      </c>
    </row>
    <row r="214" spans="1:72" x14ac:dyDescent="0.15">
      <c r="A214" t="s">
        <v>72</v>
      </c>
      <c r="B214" t="s">
        <v>4506</v>
      </c>
      <c r="C214" t="s">
        <v>74</v>
      </c>
      <c r="D214" t="s">
        <v>74</v>
      </c>
      <c r="E214" t="s">
        <v>74</v>
      </c>
      <c r="F214" t="s">
        <v>4507</v>
      </c>
      <c r="G214" t="s">
        <v>74</v>
      </c>
      <c r="H214" t="s">
        <v>74</v>
      </c>
      <c r="I214" t="s">
        <v>4508</v>
      </c>
      <c r="J214" t="s">
        <v>4509</v>
      </c>
      <c r="K214" t="s">
        <v>74</v>
      </c>
      <c r="L214" t="s">
        <v>74</v>
      </c>
      <c r="M214" t="s">
        <v>78</v>
      </c>
      <c r="N214" t="s">
        <v>4510</v>
      </c>
      <c r="O214" t="s">
        <v>74</v>
      </c>
      <c r="P214" t="s">
        <v>74</v>
      </c>
      <c r="Q214" t="s">
        <v>74</v>
      </c>
      <c r="R214" t="s">
        <v>74</v>
      </c>
      <c r="S214" t="s">
        <v>74</v>
      </c>
      <c r="T214" t="s">
        <v>74</v>
      </c>
      <c r="U214" t="s">
        <v>74</v>
      </c>
      <c r="V214" t="s">
        <v>74</v>
      </c>
      <c r="W214" t="s">
        <v>4511</v>
      </c>
      <c r="X214" t="s">
        <v>4512</v>
      </c>
      <c r="Y214" t="s">
        <v>4513</v>
      </c>
      <c r="Z214" t="s">
        <v>4514</v>
      </c>
      <c r="AA214" t="s">
        <v>4515</v>
      </c>
      <c r="AB214" t="s">
        <v>4516</v>
      </c>
      <c r="AC214" t="s">
        <v>74</v>
      </c>
      <c r="AD214" t="s">
        <v>74</v>
      </c>
      <c r="AE214" t="s">
        <v>74</v>
      </c>
      <c r="AF214" t="s">
        <v>74</v>
      </c>
      <c r="AG214">
        <v>10</v>
      </c>
      <c r="AH214">
        <v>2</v>
      </c>
      <c r="AI214">
        <v>2</v>
      </c>
      <c r="AJ214">
        <v>0</v>
      </c>
      <c r="AK214">
        <v>3</v>
      </c>
      <c r="AL214" t="s">
        <v>4517</v>
      </c>
      <c r="AM214" t="s">
        <v>504</v>
      </c>
      <c r="AN214" t="s">
        <v>4518</v>
      </c>
      <c r="AO214" t="s">
        <v>4519</v>
      </c>
      <c r="AP214" t="s">
        <v>74</v>
      </c>
      <c r="AQ214" t="s">
        <v>74</v>
      </c>
      <c r="AR214" t="s">
        <v>4520</v>
      </c>
      <c r="AS214" t="s">
        <v>4521</v>
      </c>
      <c r="AT214" t="s">
        <v>4469</v>
      </c>
      <c r="AU214">
        <v>2018</v>
      </c>
      <c r="AV214">
        <v>115</v>
      </c>
      <c r="AW214">
        <v>36</v>
      </c>
      <c r="AX214" t="s">
        <v>74</v>
      </c>
      <c r="AY214" t="s">
        <v>74</v>
      </c>
      <c r="AZ214" t="s">
        <v>74</v>
      </c>
      <c r="BA214" t="s">
        <v>74</v>
      </c>
      <c r="BB214" t="s">
        <v>4522</v>
      </c>
      <c r="BC214" t="s">
        <v>4523</v>
      </c>
      <c r="BD214" t="s">
        <v>74</v>
      </c>
      <c r="BE214" t="s">
        <v>4524</v>
      </c>
      <c r="BF214" t="str">
        <f>HYPERLINK("http://dx.doi.org/10.1073/pnas.1806136115","http://dx.doi.org/10.1073/pnas.1806136115")</f>
        <v>http://dx.doi.org/10.1073/pnas.1806136115</v>
      </c>
      <c r="BG214" t="s">
        <v>74</v>
      </c>
      <c r="BH214" t="s">
        <v>74</v>
      </c>
      <c r="BI214">
        <v>2</v>
      </c>
      <c r="BJ214" t="s">
        <v>436</v>
      </c>
      <c r="BK214" t="s">
        <v>101</v>
      </c>
      <c r="BL214" t="s">
        <v>437</v>
      </c>
      <c r="BM214" t="s">
        <v>4525</v>
      </c>
      <c r="BN214">
        <v>30135103</v>
      </c>
      <c r="BO214" t="s">
        <v>835</v>
      </c>
      <c r="BP214" t="s">
        <v>74</v>
      </c>
      <c r="BQ214" t="s">
        <v>74</v>
      </c>
      <c r="BR214" t="s">
        <v>104</v>
      </c>
      <c r="BS214" t="s">
        <v>4526</v>
      </c>
      <c r="BT214" t="str">
        <f>HYPERLINK("https%3A%2F%2Fwww.webofscience.com%2Fwos%2Fwoscc%2Ffull-record%2FWOS:000443555000003","View Full Record in Web of Science")</f>
        <v>View Full Record in Web of Science</v>
      </c>
    </row>
    <row r="215" spans="1:72" x14ac:dyDescent="0.15">
      <c r="A215" t="s">
        <v>72</v>
      </c>
      <c r="B215" t="s">
        <v>4527</v>
      </c>
      <c r="C215" t="s">
        <v>74</v>
      </c>
      <c r="D215" t="s">
        <v>74</v>
      </c>
      <c r="E215" t="s">
        <v>74</v>
      </c>
      <c r="F215" t="s">
        <v>4528</v>
      </c>
      <c r="G215" t="s">
        <v>74</v>
      </c>
      <c r="H215" t="s">
        <v>74</v>
      </c>
      <c r="I215" t="s">
        <v>4529</v>
      </c>
      <c r="J215" t="s">
        <v>4530</v>
      </c>
      <c r="K215" t="s">
        <v>74</v>
      </c>
      <c r="L215" t="s">
        <v>74</v>
      </c>
      <c r="M215" t="s">
        <v>78</v>
      </c>
      <c r="N215" t="s">
        <v>418</v>
      </c>
      <c r="O215" t="s">
        <v>74</v>
      </c>
      <c r="P215" t="s">
        <v>74</v>
      </c>
      <c r="Q215" t="s">
        <v>74</v>
      </c>
      <c r="R215" t="s">
        <v>74</v>
      </c>
      <c r="S215" t="s">
        <v>74</v>
      </c>
      <c r="T215" t="s">
        <v>74</v>
      </c>
      <c r="U215" t="s">
        <v>4531</v>
      </c>
      <c r="V215" t="s">
        <v>4532</v>
      </c>
      <c r="W215" t="s">
        <v>4533</v>
      </c>
      <c r="X215" t="s">
        <v>4534</v>
      </c>
      <c r="Y215" t="s">
        <v>4535</v>
      </c>
      <c r="Z215" t="s">
        <v>4536</v>
      </c>
      <c r="AA215" t="s">
        <v>4537</v>
      </c>
      <c r="AB215" t="s">
        <v>4538</v>
      </c>
      <c r="AC215" t="s">
        <v>4539</v>
      </c>
      <c r="AD215" t="s">
        <v>4540</v>
      </c>
      <c r="AE215" t="s">
        <v>4541</v>
      </c>
      <c r="AF215" t="s">
        <v>74</v>
      </c>
      <c r="AG215">
        <v>63</v>
      </c>
      <c r="AH215">
        <v>26</v>
      </c>
      <c r="AI215">
        <v>26</v>
      </c>
      <c r="AJ215">
        <v>0</v>
      </c>
      <c r="AK215">
        <v>24</v>
      </c>
      <c r="AL215" t="s">
        <v>1130</v>
      </c>
      <c r="AM215" t="s">
        <v>1131</v>
      </c>
      <c r="AN215" t="s">
        <v>1132</v>
      </c>
      <c r="AO215" t="s">
        <v>74</v>
      </c>
      <c r="AP215" t="s">
        <v>4542</v>
      </c>
      <c r="AQ215" t="s">
        <v>74</v>
      </c>
      <c r="AR215" t="s">
        <v>4543</v>
      </c>
      <c r="AS215" t="s">
        <v>4544</v>
      </c>
      <c r="AT215" t="s">
        <v>4469</v>
      </c>
      <c r="AU215">
        <v>2018</v>
      </c>
      <c r="AV215">
        <v>5</v>
      </c>
      <c r="AW215" t="s">
        <v>74</v>
      </c>
      <c r="AX215" t="s">
        <v>74</v>
      </c>
      <c r="AY215" t="s">
        <v>74</v>
      </c>
      <c r="AZ215" t="s">
        <v>74</v>
      </c>
      <c r="BA215" t="s">
        <v>74</v>
      </c>
      <c r="BB215" t="s">
        <v>74</v>
      </c>
      <c r="BC215" t="s">
        <v>74</v>
      </c>
      <c r="BD215">
        <v>180177</v>
      </c>
      <c r="BE215" t="s">
        <v>4545</v>
      </c>
      <c r="BF215" t="str">
        <f>HYPERLINK("http://dx.doi.org/10.1038/sdata.2018.177","http://dx.doi.org/10.1038/sdata.2018.177")</f>
        <v>http://dx.doi.org/10.1038/sdata.2018.177</v>
      </c>
      <c r="BG215" t="s">
        <v>74</v>
      </c>
      <c r="BH215" t="s">
        <v>74</v>
      </c>
      <c r="BI215">
        <v>13</v>
      </c>
      <c r="BJ215" t="s">
        <v>436</v>
      </c>
      <c r="BK215" t="s">
        <v>101</v>
      </c>
      <c r="BL215" t="s">
        <v>437</v>
      </c>
      <c r="BM215" t="s">
        <v>4546</v>
      </c>
      <c r="BN215">
        <v>30179229</v>
      </c>
      <c r="BO215" t="s">
        <v>439</v>
      </c>
      <c r="BP215" t="s">
        <v>74</v>
      </c>
      <c r="BQ215" t="s">
        <v>74</v>
      </c>
      <c r="BR215" t="s">
        <v>104</v>
      </c>
      <c r="BS215" t="s">
        <v>4547</v>
      </c>
      <c r="BT215" t="str">
        <f>HYPERLINK("https%3A%2F%2Fwww.webofscience.com%2Fwos%2Fwoscc%2Ffull-record%2FWOS:000443538900001","View Full Record in Web of Science")</f>
        <v>View Full Record in Web of Science</v>
      </c>
    </row>
    <row r="216" spans="1:72" x14ac:dyDescent="0.15">
      <c r="A216" t="s">
        <v>72</v>
      </c>
      <c r="B216" t="s">
        <v>4548</v>
      </c>
      <c r="C216" t="s">
        <v>74</v>
      </c>
      <c r="D216" t="s">
        <v>74</v>
      </c>
      <c r="E216" t="s">
        <v>74</v>
      </c>
      <c r="F216" t="s">
        <v>4549</v>
      </c>
      <c r="G216" t="s">
        <v>74</v>
      </c>
      <c r="H216" t="s">
        <v>74</v>
      </c>
      <c r="I216" t="s">
        <v>4550</v>
      </c>
      <c r="J216" t="s">
        <v>4551</v>
      </c>
      <c r="K216" t="s">
        <v>74</v>
      </c>
      <c r="L216" t="s">
        <v>74</v>
      </c>
      <c r="M216" t="s">
        <v>78</v>
      </c>
      <c r="N216" t="s">
        <v>79</v>
      </c>
      <c r="O216" t="s">
        <v>74</v>
      </c>
      <c r="P216" t="s">
        <v>74</v>
      </c>
      <c r="Q216" t="s">
        <v>74</v>
      </c>
      <c r="R216" t="s">
        <v>74</v>
      </c>
      <c r="S216" t="s">
        <v>74</v>
      </c>
      <c r="T216" t="s">
        <v>74</v>
      </c>
      <c r="U216" t="s">
        <v>4552</v>
      </c>
      <c r="V216" t="s">
        <v>4553</v>
      </c>
      <c r="W216" t="s">
        <v>4554</v>
      </c>
      <c r="X216" t="s">
        <v>4555</v>
      </c>
      <c r="Y216" t="s">
        <v>4556</v>
      </c>
      <c r="Z216" t="s">
        <v>4557</v>
      </c>
      <c r="AA216" t="s">
        <v>4558</v>
      </c>
      <c r="AB216" t="s">
        <v>4559</v>
      </c>
      <c r="AC216" t="s">
        <v>4560</v>
      </c>
      <c r="AD216" t="s">
        <v>4561</v>
      </c>
      <c r="AE216" t="s">
        <v>4562</v>
      </c>
      <c r="AF216" t="s">
        <v>74</v>
      </c>
      <c r="AG216">
        <v>74</v>
      </c>
      <c r="AH216">
        <v>10</v>
      </c>
      <c r="AI216">
        <v>10</v>
      </c>
      <c r="AJ216">
        <v>1</v>
      </c>
      <c r="AK216">
        <v>3</v>
      </c>
      <c r="AL216" t="s">
        <v>4563</v>
      </c>
      <c r="AM216" t="s">
        <v>4564</v>
      </c>
      <c r="AN216" t="s">
        <v>4565</v>
      </c>
      <c r="AO216" t="s">
        <v>4566</v>
      </c>
      <c r="AP216" t="s">
        <v>4567</v>
      </c>
      <c r="AQ216" t="s">
        <v>74</v>
      </c>
      <c r="AR216" t="s">
        <v>4568</v>
      </c>
      <c r="AS216" t="s">
        <v>4569</v>
      </c>
      <c r="AT216" t="s">
        <v>4570</v>
      </c>
      <c r="AU216">
        <v>2018</v>
      </c>
      <c r="AV216">
        <v>38</v>
      </c>
      <c r="AW216">
        <v>5</v>
      </c>
      <c r="AX216" t="s">
        <v>74</v>
      </c>
      <c r="AY216" t="s">
        <v>74</v>
      </c>
      <c r="AZ216" t="s">
        <v>74</v>
      </c>
      <c r="BA216" t="s">
        <v>74</v>
      </c>
      <c r="BB216" t="s">
        <v>74</v>
      </c>
      <c r="BC216" t="s">
        <v>74</v>
      </c>
      <c r="BD216" t="s">
        <v>4571</v>
      </c>
      <c r="BE216" t="s">
        <v>4572</v>
      </c>
      <c r="BF216" t="str">
        <f>HYPERLINK("http://dx.doi.org/10.1080/02724634.2018.1524384","http://dx.doi.org/10.1080/02724634.2018.1524384")</f>
        <v>http://dx.doi.org/10.1080/02724634.2018.1524384</v>
      </c>
      <c r="BG216" t="s">
        <v>74</v>
      </c>
      <c r="BH216" t="s">
        <v>74</v>
      </c>
      <c r="BI216">
        <v>10</v>
      </c>
      <c r="BJ216" t="s">
        <v>4573</v>
      </c>
      <c r="BK216" t="s">
        <v>101</v>
      </c>
      <c r="BL216" t="s">
        <v>4573</v>
      </c>
      <c r="BM216" t="s">
        <v>4574</v>
      </c>
      <c r="BN216" t="s">
        <v>74</v>
      </c>
      <c r="BO216" t="s">
        <v>1142</v>
      </c>
      <c r="BP216" t="s">
        <v>74</v>
      </c>
      <c r="BQ216" t="s">
        <v>74</v>
      </c>
      <c r="BR216" t="s">
        <v>104</v>
      </c>
      <c r="BS216" t="s">
        <v>4575</v>
      </c>
      <c r="BT216" t="str">
        <f>HYPERLINK("https%3A%2F%2Fwww.webofscience.com%2Fwos%2Fwoscc%2Ffull-record%2FWOS:000475654100017","View Full Record in Web of Science")</f>
        <v>View Full Record in Web of Science</v>
      </c>
    </row>
    <row r="217" spans="1:72" x14ac:dyDescent="0.15">
      <c r="A217" t="s">
        <v>72</v>
      </c>
      <c r="B217" t="s">
        <v>4576</v>
      </c>
      <c r="C217" t="s">
        <v>74</v>
      </c>
      <c r="D217" t="s">
        <v>74</v>
      </c>
      <c r="E217" t="s">
        <v>74</v>
      </c>
      <c r="F217" t="s">
        <v>4577</v>
      </c>
      <c r="G217" t="s">
        <v>74</v>
      </c>
      <c r="H217" t="s">
        <v>74</v>
      </c>
      <c r="I217" t="s">
        <v>4578</v>
      </c>
      <c r="J217" t="s">
        <v>4579</v>
      </c>
      <c r="K217" t="s">
        <v>74</v>
      </c>
      <c r="L217" t="s">
        <v>74</v>
      </c>
      <c r="M217" t="s">
        <v>78</v>
      </c>
      <c r="N217" t="s">
        <v>79</v>
      </c>
      <c r="O217" t="s">
        <v>74</v>
      </c>
      <c r="P217" t="s">
        <v>74</v>
      </c>
      <c r="Q217" t="s">
        <v>74</v>
      </c>
      <c r="R217" t="s">
        <v>74</v>
      </c>
      <c r="S217" t="s">
        <v>74</v>
      </c>
      <c r="T217" t="s">
        <v>74</v>
      </c>
      <c r="U217" t="s">
        <v>4580</v>
      </c>
      <c r="V217" t="s">
        <v>4581</v>
      </c>
      <c r="W217" t="s">
        <v>4582</v>
      </c>
      <c r="X217" t="s">
        <v>4583</v>
      </c>
      <c r="Y217" t="s">
        <v>4584</v>
      </c>
      <c r="Z217" t="s">
        <v>4585</v>
      </c>
      <c r="AA217" t="s">
        <v>4586</v>
      </c>
      <c r="AB217" t="s">
        <v>4587</v>
      </c>
      <c r="AC217" t="s">
        <v>4588</v>
      </c>
      <c r="AD217" t="s">
        <v>4589</v>
      </c>
      <c r="AE217" t="s">
        <v>4590</v>
      </c>
      <c r="AF217" t="s">
        <v>74</v>
      </c>
      <c r="AG217">
        <v>107</v>
      </c>
      <c r="AH217">
        <v>11</v>
      </c>
      <c r="AI217">
        <v>11</v>
      </c>
      <c r="AJ217">
        <v>1</v>
      </c>
      <c r="AK217">
        <v>7</v>
      </c>
      <c r="AL217" t="s">
        <v>3353</v>
      </c>
      <c r="AM217" t="s">
        <v>3354</v>
      </c>
      <c r="AN217" t="s">
        <v>3355</v>
      </c>
      <c r="AO217" t="s">
        <v>4591</v>
      </c>
      <c r="AP217" t="s">
        <v>74</v>
      </c>
      <c r="AQ217" t="s">
        <v>74</v>
      </c>
      <c r="AR217" t="s">
        <v>4592</v>
      </c>
      <c r="AS217" t="s">
        <v>4593</v>
      </c>
      <c r="AT217" t="s">
        <v>4570</v>
      </c>
      <c r="AU217">
        <v>2018</v>
      </c>
      <c r="AV217">
        <v>14</v>
      </c>
      <c r="AW217">
        <v>5</v>
      </c>
      <c r="AX217" t="s">
        <v>74</v>
      </c>
      <c r="AY217" t="s">
        <v>74</v>
      </c>
      <c r="AZ217" t="s">
        <v>74</v>
      </c>
      <c r="BA217" t="s">
        <v>74</v>
      </c>
      <c r="BB217">
        <v>923</v>
      </c>
      <c r="BC217">
        <v>945</v>
      </c>
      <c r="BD217" t="s">
        <v>74</v>
      </c>
      <c r="BE217" t="s">
        <v>4594</v>
      </c>
      <c r="BF217" t="str">
        <f>HYPERLINK("http://dx.doi.org/10.5194/os-14-923-2018","http://dx.doi.org/10.5194/os-14-923-2018")</f>
        <v>http://dx.doi.org/10.5194/os-14-923-2018</v>
      </c>
      <c r="BG217" t="s">
        <v>74</v>
      </c>
      <c r="BH217" t="s">
        <v>74</v>
      </c>
      <c r="BI217">
        <v>23</v>
      </c>
      <c r="BJ217" t="s">
        <v>2765</v>
      </c>
      <c r="BK217" t="s">
        <v>101</v>
      </c>
      <c r="BL217" t="s">
        <v>2765</v>
      </c>
      <c r="BM217" t="s">
        <v>4595</v>
      </c>
      <c r="BN217" t="s">
        <v>74</v>
      </c>
      <c r="BO217" t="s">
        <v>1524</v>
      </c>
      <c r="BP217" t="s">
        <v>74</v>
      </c>
      <c r="BQ217" t="s">
        <v>74</v>
      </c>
      <c r="BR217" t="s">
        <v>104</v>
      </c>
      <c r="BS217" t="s">
        <v>4596</v>
      </c>
      <c r="BT217" t="str">
        <f>HYPERLINK("https%3A%2F%2Fwww.webofscience.com%2Fwos%2Fwoscc%2Ffull-record%2FWOS:000443433000001","View Full Record in Web of Science")</f>
        <v>View Full Record in Web of Science</v>
      </c>
    </row>
    <row r="218" spans="1:72" x14ac:dyDescent="0.15">
      <c r="A218" t="s">
        <v>72</v>
      </c>
      <c r="B218" t="s">
        <v>4597</v>
      </c>
      <c r="C218" t="s">
        <v>74</v>
      </c>
      <c r="D218" t="s">
        <v>74</v>
      </c>
      <c r="E218" t="s">
        <v>74</v>
      </c>
      <c r="F218" t="s">
        <v>4598</v>
      </c>
      <c r="G218" t="s">
        <v>74</v>
      </c>
      <c r="H218" t="s">
        <v>74</v>
      </c>
      <c r="I218" t="s">
        <v>4599</v>
      </c>
      <c r="J218" t="s">
        <v>4600</v>
      </c>
      <c r="K218" t="s">
        <v>74</v>
      </c>
      <c r="L218" t="s">
        <v>74</v>
      </c>
      <c r="M218" t="s">
        <v>78</v>
      </c>
      <c r="N218" t="s">
        <v>79</v>
      </c>
      <c r="O218" t="s">
        <v>74</v>
      </c>
      <c r="P218" t="s">
        <v>74</v>
      </c>
      <c r="Q218" t="s">
        <v>74</v>
      </c>
      <c r="R218" t="s">
        <v>74</v>
      </c>
      <c r="S218" t="s">
        <v>74</v>
      </c>
      <c r="T218" t="s">
        <v>4601</v>
      </c>
      <c r="U218" t="s">
        <v>74</v>
      </c>
      <c r="V218" t="s">
        <v>4602</v>
      </c>
      <c r="W218" t="s">
        <v>4603</v>
      </c>
      <c r="X218" t="s">
        <v>4604</v>
      </c>
      <c r="Y218" t="s">
        <v>4605</v>
      </c>
      <c r="Z218" t="s">
        <v>4606</v>
      </c>
      <c r="AA218" t="s">
        <v>4607</v>
      </c>
      <c r="AB218" t="s">
        <v>4608</v>
      </c>
      <c r="AC218" t="s">
        <v>4609</v>
      </c>
      <c r="AD218" t="s">
        <v>4610</v>
      </c>
      <c r="AE218" t="s">
        <v>4611</v>
      </c>
      <c r="AF218" t="s">
        <v>74</v>
      </c>
      <c r="AG218">
        <v>23</v>
      </c>
      <c r="AH218">
        <v>2</v>
      </c>
      <c r="AI218">
        <v>2</v>
      </c>
      <c r="AJ218">
        <v>3</v>
      </c>
      <c r="AK218">
        <v>6</v>
      </c>
      <c r="AL218" t="s">
        <v>257</v>
      </c>
      <c r="AM218" t="s">
        <v>258</v>
      </c>
      <c r="AN218" t="s">
        <v>259</v>
      </c>
      <c r="AO218" t="s">
        <v>4612</v>
      </c>
      <c r="AP218" t="s">
        <v>4613</v>
      </c>
      <c r="AQ218" t="s">
        <v>74</v>
      </c>
      <c r="AR218" t="s">
        <v>4614</v>
      </c>
      <c r="AS218" t="s">
        <v>4615</v>
      </c>
      <c r="AT218" t="s">
        <v>4616</v>
      </c>
      <c r="AU218">
        <v>2018</v>
      </c>
      <c r="AV218">
        <v>54</v>
      </c>
      <c r="AW218" t="s">
        <v>4617</v>
      </c>
      <c r="AX218" t="s">
        <v>74</v>
      </c>
      <c r="AY218" t="s">
        <v>74</v>
      </c>
      <c r="AZ218" t="s">
        <v>74</v>
      </c>
      <c r="BA218" t="s">
        <v>74</v>
      </c>
      <c r="BB218">
        <v>360</v>
      </c>
      <c r="BC218">
        <v>365</v>
      </c>
      <c r="BD218" t="s">
        <v>74</v>
      </c>
      <c r="BE218" t="s">
        <v>4618</v>
      </c>
      <c r="BF218" t="str">
        <f>HYPERLINK("http://dx.doi.org/10.1017/S0032247418000621","http://dx.doi.org/10.1017/S0032247418000621")</f>
        <v>http://dx.doi.org/10.1017/S0032247418000621</v>
      </c>
      <c r="BG218" t="s">
        <v>74</v>
      </c>
      <c r="BH218" t="s">
        <v>74</v>
      </c>
      <c r="BI218">
        <v>6</v>
      </c>
      <c r="BJ218" t="s">
        <v>4619</v>
      </c>
      <c r="BK218" t="s">
        <v>101</v>
      </c>
      <c r="BL218" t="s">
        <v>559</v>
      </c>
      <c r="BM218" t="s">
        <v>4620</v>
      </c>
      <c r="BN218" t="s">
        <v>74</v>
      </c>
      <c r="BO218" t="s">
        <v>74</v>
      </c>
      <c r="BP218" t="s">
        <v>74</v>
      </c>
      <c r="BQ218" t="s">
        <v>74</v>
      </c>
      <c r="BR218" t="s">
        <v>104</v>
      </c>
      <c r="BS218" t="s">
        <v>4621</v>
      </c>
      <c r="BT218" t="str">
        <f>HYPERLINK("https%3A%2F%2Fwww.webofscience.com%2Fwos%2Fwoscc%2Ffull-record%2FWOS:000465278400006","View Full Record in Web of Science")</f>
        <v>View Full Record in Web of Science</v>
      </c>
    </row>
    <row r="219" spans="1:72" x14ac:dyDescent="0.15">
      <c r="A219" t="s">
        <v>72</v>
      </c>
      <c r="B219" t="s">
        <v>4622</v>
      </c>
      <c r="C219" t="s">
        <v>74</v>
      </c>
      <c r="D219" t="s">
        <v>74</v>
      </c>
      <c r="E219" t="s">
        <v>74</v>
      </c>
      <c r="F219" t="s">
        <v>4623</v>
      </c>
      <c r="G219" t="s">
        <v>74</v>
      </c>
      <c r="H219" t="s">
        <v>74</v>
      </c>
      <c r="I219" t="s">
        <v>4624</v>
      </c>
      <c r="J219" t="s">
        <v>4625</v>
      </c>
      <c r="K219" t="s">
        <v>74</v>
      </c>
      <c r="L219" t="s">
        <v>74</v>
      </c>
      <c r="M219" t="s">
        <v>78</v>
      </c>
      <c r="N219" t="s">
        <v>79</v>
      </c>
      <c r="O219" t="s">
        <v>74</v>
      </c>
      <c r="P219" t="s">
        <v>74</v>
      </c>
      <c r="Q219" t="s">
        <v>74</v>
      </c>
      <c r="R219" t="s">
        <v>74</v>
      </c>
      <c r="S219" t="s">
        <v>74</v>
      </c>
      <c r="T219" t="s">
        <v>4626</v>
      </c>
      <c r="U219" t="s">
        <v>4627</v>
      </c>
      <c r="V219" t="s">
        <v>4628</v>
      </c>
      <c r="W219" t="s">
        <v>4629</v>
      </c>
      <c r="X219" t="s">
        <v>4630</v>
      </c>
      <c r="Y219" t="s">
        <v>4631</v>
      </c>
      <c r="Z219" t="s">
        <v>4632</v>
      </c>
      <c r="AA219" t="s">
        <v>4633</v>
      </c>
      <c r="AB219" t="s">
        <v>4634</v>
      </c>
      <c r="AC219" t="s">
        <v>4635</v>
      </c>
      <c r="AD219" t="s">
        <v>4636</v>
      </c>
      <c r="AE219" t="s">
        <v>4637</v>
      </c>
      <c r="AF219" t="s">
        <v>74</v>
      </c>
      <c r="AG219">
        <v>47</v>
      </c>
      <c r="AH219">
        <v>4</v>
      </c>
      <c r="AI219">
        <v>6</v>
      </c>
      <c r="AJ219">
        <v>0</v>
      </c>
      <c r="AK219">
        <v>7</v>
      </c>
      <c r="AL219" t="s">
        <v>4638</v>
      </c>
      <c r="AM219" t="s">
        <v>4639</v>
      </c>
      <c r="AN219" t="s">
        <v>4640</v>
      </c>
      <c r="AO219" t="s">
        <v>4641</v>
      </c>
      <c r="AP219" t="s">
        <v>4642</v>
      </c>
      <c r="AQ219" t="s">
        <v>74</v>
      </c>
      <c r="AR219" t="s">
        <v>4625</v>
      </c>
      <c r="AS219" t="s">
        <v>4643</v>
      </c>
      <c r="AT219" t="s">
        <v>4616</v>
      </c>
      <c r="AU219">
        <v>2018</v>
      </c>
      <c r="AV219">
        <v>71</v>
      </c>
      <c r="AW219">
        <v>3</v>
      </c>
      <c r="AX219" t="s">
        <v>74</v>
      </c>
      <c r="AY219" t="s">
        <v>74</v>
      </c>
      <c r="AZ219" t="s">
        <v>74</v>
      </c>
      <c r="BA219" t="s">
        <v>74</v>
      </c>
      <c r="BB219">
        <v>334</v>
      </c>
      <c r="BC219">
        <v>348</v>
      </c>
      <c r="BD219" t="s">
        <v>74</v>
      </c>
      <c r="BE219" t="s">
        <v>4644</v>
      </c>
      <c r="BF219" t="str">
        <f>HYPERLINK("http://dx.doi.org/10.14430/arctic4735","http://dx.doi.org/10.14430/arctic4735")</f>
        <v>http://dx.doi.org/10.14430/arctic4735</v>
      </c>
      <c r="BG219" t="s">
        <v>74</v>
      </c>
      <c r="BH219" t="s">
        <v>74</v>
      </c>
      <c r="BI219">
        <v>15</v>
      </c>
      <c r="BJ219" t="s">
        <v>4350</v>
      </c>
      <c r="BK219" t="s">
        <v>101</v>
      </c>
      <c r="BL219" t="s">
        <v>767</v>
      </c>
      <c r="BM219" t="s">
        <v>4645</v>
      </c>
      <c r="BN219" t="s">
        <v>74</v>
      </c>
      <c r="BO219" t="s">
        <v>486</v>
      </c>
      <c r="BP219" t="s">
        <v>74</v>
      </c>
      <c r="BQ219" t="s">
        <v>74</v>
      </c>
      <c r="BR219" t="s">
        <v>104</v>
      </c>
      <c r="BS219" t="s">
        <v>4646</v>
      </c>
      <c r="BT219" t="str">
        <f>HYPERLINK("https%3A%2F%2Fwww.webofscience.com%2Fwos%2Fwoscc%2Ffull-record%2FWOS:000462922300008","View Full Record in Web of Science")</f>
        <v>View Full Record in Web of Science</v>
      </c>
    </row>
    <row r="220" spans="1:72" x14ac:dyDescent="0.15">
      <c r="A220" t="s">
        <v>72</v>
      </c>
      <c r="B220" t="s">
        <v>4647</v>
      </c>
      <c r="C220" t="s">
        <v>74</v>
      </c>
      <c r="D220" t="s">
        <v>74</v>
      </c>
      <c r="E220" t="s">
        <v>74</v>
      </c>
      <c r="F220" t="s">
        <v>4648</v>
      </c>
      <c r="G220" t="s">
        <v>74</v>
      </c>
      <c r="H220" t="s">
        <v>74</v>
      </c>
      <c r="I220" t="s">
        <v>4649</v>
      </c>
      <c r="J220" t="s">
        <v>4625</v>
      </c>
      <c r="K220" t="s">
        <v>74</v>
      </c>
      <c r="L220" t="s">
        <v>74</v>
      </c>
      <c r="M220" t="s">
        <v>78</v>
      </c>
      <c r="N220" t="s">
        <v>1637</v>
      </c>
      <c r="O220" t="s">
        <v>74</v>
      </c>
      <c r="P220" t="s">
        <v>74</v>
      </c>
      <c r="Q220" t="s">
        <v>74</v>
      </c>
      <c r="R220" t="s">
        <v>74</v>
      </c>
      <c r="S220" t="s">
        <v>74</v>
      </c>
      <c r="T220" t="s">
        <v>74</v>
      </c>
      <c r="U220" t="s">
        <v>74</v>
      </c>
      <c r="V220" t="s">
        <v>74</v>
      </c>
      <c r="W220" t="s">
        <v>4650</v>
      </c>
      <c r="X220" t="s">
        <v>4651</v>
      </c>
      <c r="Y220" t="s">
        <v>4652</v>
      </c>
      <c r="Z220" t="s">
        <v>4653</v>
      </c>
      <c r="AA220" t="s">
        <v>74</v>
      </c>
      <c r="AB220" t="s">
        <v>74</v>
      </c>
      <c r="AC220" t="s">
        <v>74</v>
      </c>
      <c r="AD220" t="s">
        <v>74</v>
      </c>
      <c r="AE220" t="s">
        <v>74</v>
      </c>
      <c r="AF220" t="s">
        <v>74</v>
      </c>
      <c r="AG220">
        <v>1</v>
      </c>
      <c r="AH220">
        <v>0</v>
      </c>
      <c r="AI220">
        <v>0</v>
      </c>
      <c r="AJ220">
        <v>0</v>
      </c>
      <c r="AK220">
        <v>0</v>
      </c>
      <c r="AL220" t="s">
        <v>4638</v>
      </c>
      <c r="AM220" t="s">
        <v>4639</v>
      </c>
      <c r="AN220" t="s">
        <v>4640</v>
      </c>
      <c r="AO220" t="s">
        <v>4641</v>
      </c>
      <c r="AP220" t="s">
        <v>4642</v>
      </c>
      <c r="AQ220" t="s">
        <v>74</v>
      </c>
      <c r="AR220" t="s">
        <v>4625</v>
      </c>
      <c r="AS220" t="s">
        <v>4643</v>
      </c>
      <c r="AT220" t="s">
        <v>4616</v>
      </c>
      <c r="AU220">
        <v>2018</v>
      </c>
      <c r="AV220">
        <v>71</v>
      </c>
      <c r="AW220">
        <v>3</v>
      </c>
      <c r="AX220" t="s">
        <v>74</v>
      </c>
      <c r="AY220" t="s">
        <v>74</v>
      </c>
      <c r="AZ220" t="s">
        <v>74</v>
      </c>
      <c r="BA220" t="s">
        <v>74</v>
      </c>
      <c r="BB220">
        <v>350</v>
      </c>
      <c r="BC220">
        <v>351</v>
      </c>
      <c r="BD220" t="s">
        <v>74</v>
      </c>
      <c r="BE220" t="s">
        <v>74</v>
      </c>
      <c r="BF220" t="s">
        <v>74</v>
      </c>
      <c r="BG220" t="s">
        <v>74</v>
      </c>
      <c r="BH220" t="s">
        <v>74</v>
      </c>
      <c r="BI220">
        <v>3</v>
      </c>
      <c r="BJ220" t="s">
        <v>4350</v>
      </c>
      <c r="BK220" t="s">
        <v>101</v>
      </c>
      <c r="BL220" t="s">
        <v>767</v>
      </c>
      <c r="BM220" t="s">
        <v>4645</v>
      </c>
      <c r="BN220" t="s">
        <v>74</v>
      </c>
      <c r="BO220" t="s">
        <v>74</v>
      </c>
      <c r="BP220" t="s">
        <v>74</v>
      </c>
      <c r="BQ220" t="s">
        <v>74</v>
      </c>
      <c r="BR220" t="s">
        <v>104</v>
      </c>
      <c r="BS220" t="s">
        <v>4654</v>
      </c>
      <c r="BT220" t="str">
        <f>HYPERLINK("https%3A%2F%2Fwww.webofscience.com%2Fwos%2Fwoscc%2Ffull-record%2FWOS:000462922300010","View Full Record in Web of Science")</f>
        <v>View Full Record in Web of Science</v>
      </c>
    </row>
    <row r="221" spans="1:72" x14ac:dyDescent="0.15">
      <c r="A221" t="s">
        <v>72</v>
      </c>
      <c r="B221" t="s">
        <v>4655</v>
      </c>
      <c r="C221" t="s">
        <v>74</v>
      </c>
      <c r="D221" t="s">
        <v>74</v>
      </c>
      <c r="E221" t="s">
        <v>74</v>
      </c>
      <c r="F221" t="s">
        <v>4656</v>
      </c>
      <c r="G221" t="s">
        <v>74</v>
      </c>
      <c r="H221" t="s">
        <v>74</v>
      </c>
      <c r="I221" t="s">
        <v>4657</v>
      </c>
      <c r="J221" t="s">
        <v>4658</v>
      </c>
      <c r="K221" t="s">
        <v>74</v>
      </c>
      <c r="L221" t="s">
        <v>74</v>
      </c>
      <c r="M221" t="s">
        <v>78</v>
      </c>
      <c r="N221" t="s">
        <v>79</v>
      </c>
      <c r="O221" t="s">
        <v>74</v>
      </c>
      <c r="P221" t="s">
        <v>74</v>
      </c>
      <c r="Q221" t="s">
        <v>74</v>
      </c>
      <c r="R221" t="s">
        <v>74</v>
      </c>
      <c r="S221" t="s">
        <v>74</v>
      </c>
      <c r="T221" t="s">
        <v>4659</v>
      </c>
      <c r="U221" t="s">
        <v>4660</v>
      </c>
      <c r="V221" t="s">
        <v>4661</v>
      </c>
      <c r="W221" t="s">
        <v>4662</v>
      </c>
      <c r="X221" t="s">
        <v>4663</v>
      </c>
      <c r="Y221" t="s">
        <v>4664</v>
      </c>
      <c r="Z221" t="s">
        <v>4665</v>
      </c>
      <c r="AA221" t="s">
        <v>4666</v>
      </c>
      <c r="AB221" t="s">
        <v>4667</v>
      </c>
      <c r="AC221" t="s">
        <v>4668</v>
      </c>
      <c r="AD221" t="s">
        <v>4669</v>
      </c>
      <c r="AE221" t="s">
        <v>4670</v>
      </c>
      <c r="AF221" t="s">
        <v>74</v>
      </c>
      <c r="AG221">
        <v>132</v>
      </c>
      <c r="AH221">
        <v>45</v>
      </c>
      <c r="AI221">
        <v>53</v>
      </c>
      <c r="AJ221">
        <v>17</v>
      </c>
      <c r="AK221">
        <v>182</v>
      </c>
      <c r="AL221" t="s">
        <v>676</v>
      </c>
      <c r="AM221" t="s">
        <v>677</v>
      </c>
      <c r="AN221" t="s">
        <v>678</v>
      </c>
      <c r="AO221" t="s">
        <v>4671</v>
      </c>
      <c r="AP221" t="s">
        <v>74</v>
      </c>
      <c r="AQ221" t="s">
        <v>74</v>
      </c>
      <c r="AR221" t="s">
        <v>4672</v>
      </c>
      <c r="AS221" t="s">
        <v>4673</v>
      </c>
      <c r="AT221" t="s">
        <v>4616</v>
      </c>
      <c r="AU221">
        <v>2018</v>
      </c>
      <c r="AV221">
        <v>4</v>
      </c>
      <c r="AW221">
        <v>3</v>
      </c>
      <c r="AX221" t="s">
        <v>74</v>
      </c>
      <c r="AY221" t="s">
        <v>74</v>
      </c>
      <c r="AZ221" t="s">
        <v>74</v>
      </c>
      <c r="BA221" t="s">
        <v>74</v>
      </c>
      <c r="BB221">
        <v>250</v>
      </c>
      <c r="BC221">
        <v>265</v>
      </c>
      <c r="BD221" t="s">
        <v>74</v>
      </c>
      <c r="BE221" t="s">
        <v>4674</v>
      </c>
      <c r="BF221" t="str">
        <f>HYPERLINK("http://dx.doi.org/10.1007/s40641-018-0104-3","http://dx.doi.org/10.1007/s40641-018-0104-3")</f>
        <v>http://dx.doi.org/10.1007/s40641-018-0104-3</v>
      </c>
      <c r="BG221" t="s">
        <v>74</v>
      </c>
      <c r="BH221" t="s">
        <v>74</v>
      </c>
      <c r="BI221">
        <v>16</v>
      </c>
      <c r="BJ221" t="s">
        <v>369</v>
      </c>
      <c r="BK221" t="s">
        <v>101</v>
      </c>
      <c r="BL221" t="s">
        <v>369</v>
      </c>
      <c r="BM221" t="s">
        <v>4675</v>
      </c>
      <c r="BN221">
        <v>30956937</v>
      </c>
      <c r="BO221" t="s">
        <v>944</v>
      </c>
      <c r="BP221" t="s">
        <v>74</v>
      </c>
      <c r="BQ221" t="s">
        <v>74</v>
      </c>
      <c r="BR221" t="s">
        <v>104</v>
      </c>
      <c r="BS221" t="s">
        <v>4676</v>
      </c>
      <c r="BT221" t="str">
        <f>HYPERLINK("https%3A%2F%2Fwww.webofscience.com%2Fwos%2Fwoscc%2Ffull-record%2FWOS:000461111300004","View Full Record in Web of Science")</f>
        <v>View Full Record in Web of Science</v>
      </c>
    </row>
    <row r="222" spans="1:72" x14ac:dyDescent="0.15">
      <c r="A222" t="s">
        <v>72</v>
      </c>
      <c r="B222" t="s">
        <v>4677</v>
      </c>
      <c r="C222" t="s">
        <v>74</v>
      </c>
      <c r="D222" t="s">
        <v>74</v>
      </c>
      <c r="E222" t="s">
        <v>74</v>
      </c>
      <c r="F222" t="s">
        <v>4678</v>
      </c>
      <c r="G222" t="s">
        <v>74</v>
      </c>
      <c r="H222" t="s">
        <v>74</v>
      </c>
      <c r="I222" t="s">
        <v>4679</v>
      </c>
      <c r="J222" t="s">
        <v>4680</v>
      </c>
      <c r="K222" t="s">
        <v>74</v>
      </c>
      <c r="L222" t="s">
        <v>74</v>
      </c>
      <c r="M222" t="s">
        <v>78</v>
      </c>
      <c r="N222" t="s">
        <v>79</v>
      </c>
      <c r="O222" t="s">
        <v>74</v>
      </c>
      <c r="P222" t="s">
        <v>74</v>
      </c>
      <c r="Q222" t="s">
        <v>74</v>
      </c>
      <c r="R222" t="s">
        <v>74</v>
      </c>
      <c r="S222" t="s">
        <v>74</v>
      </c>
      <c r="T222" t="s">
        <v>74</v>
      </c>
      <c r="U222" t="s">
        <v>4681</v>
      </c>
      <c r="V222" t="s">
        <v>4682</v>
      </c>
      <c r="W222" t="s">
        <v>4683</v>
      </c>
      <c r="X222" t="s">
        <v>4684</v>
      </c>
      <c r="Y222" t="s">
        <v>4685</v>
      </c>
      <c r="Z222" t="s">
        <v>4686</v>
      </c>
      <c r="AA222" t="s">
        <v>74</v>
      </c>
      <c r="AB222" t="s">
        <v>4687</v>
      </c>
      <c r="AC222" t="s">
        <v>4688</v>
      </c>
      <c r="AD222" t="s">
        <v>4688</v>
      </c>
      <c r="AE222" t="s">
        <v>4689</v>
      </c>
      <c r="AF222" t="s">
        <v>74</v>
      </c>
      <c r="AG222">
        <v>54</v>
      </c>
      <c r="AH222">
        <v>7</v>
      </c>
      <c r="AI222">
        <v>7</v>
      </c>
      <c r="AJ222">
        <v>0</v>
      </c>
      <c r="AK222">
        <v>6</v>
      </c>
      <c r="AL222" t="s">
        <v>4690</v>
      </c>
      <c r="AM222" t="s">
        <v>4691</v>
      </c>
      <c r="AN222" t="s">
        <v>4692</v>
      </c>
      <c r="AO222" t="s">
        <v>4693</v>
      </c>
      <c r="AP222" t="s">
        <v>4694</v>
      </c>
      <c r="AQ222" t="s">
        <v>74</v>
      </c>
      <c r="AR222" t="s">
        <v>4695</v>
      </c>
      <c r="AS222" t="s">
        <v>4696</v>
      </c>
      <c r="AT222" t="s">
        <v>4616</v>
      </c>
      <c r="AU222">
        <v>2018</v>
      </c>
      <c r="AV222">
        <v>144</v>
      </c>
      <c r="AW222">
        <v>3</v>
      </c>
      <c r="AX222" t="s">
        <v>74</v>
      </c>
      <c r="AY222" t="s">
        <v>74</v>
      </c>
      <c r="AZ222" t="s">
        <v>74</v>
      </c>
      <c r="BA222" t="s">
        <v>74</v>
      </c>
      <c r="BB222">
        <v>1550</v>
      </c>
      <c r="BC222">
        <v>1563</v>
      </c>
      <c r="BD222" t="s">
        <v>74</v>
      </c>
      <c r="BE222" t="s">
        <v>4697</v>
      </c>
      <c r="BF222" t="str">
        <f>HYPERLINK("http://dx.doi.org/10.1121/1.5055209","http://dx.doi.org/10.1121/1.5055209")</f>
        <v>http://dx.doi.org/10.1121/1.5055209</v>
      </c>
      <c r="BG222" t="s">
        <v>74</v>
      </c>
      <c r="BH222" t="s">
        <v>74</v>
      </c>
      <c r="BI222">
        <v>14</v>
      </c>
      <c r="BJ222" t="s">
        <v>4698</v>
      </c>
      <c r="BK222" t="s">
        <v>101</v>
      </c>
      <c r="BL222" t="s">
        <v>4698</v>
      </c>
      <c r="BM222" t="s">
        <v>4699</v>
      </c>
      <c r="BN222">
        <v>30424647</v>
      </c>
      <c r="BO222" t="s">
        <v>1142</v>
      </c>
      <c r="BP222" t="s">
        <v>74</v>
      </c>
      <c r="BQ222" t="s">
        <v>74</v>
      </c>
      <c r="BR222" t="s">
        <v>104</v>
      </c>
      <c r="BS222" t="s">
        <v>4700</v>
      </c>
      <c r="BT222" t="str">
        <f>HYPERLINK("https%3A%2F%2Fwww.webofscience.com%2Fwos%2Fwoscc%2Ffull-record%2FWOS:000457802200056","View Full Record in Web of Science")</f>
        <v>View Full Record in Web of Science</v>
      </c>
    </row>
    <row r="223" spans="1:72" x14ac:dyDescent="0.15">
      <c r="A223" t="s">
        <v>72</v>
      </c>
      <c r="B223" t="s">
        <v>4701</v>
      </c>
      <c r="C223" t="s">
        <v>74</v>
      </c>
      <c r="D223" t="s">
        <v>74</v>
      </c>
      <c r="E223" t="s">
        <v>74</v>
      </c>
      <c r="F223" t="s">
        <v>4702</v>
      </c>
      <c r="G223" t="s">
        <v>74</v>
      </c>
      <c r="H223" t="s">
        <v>74</v>
      </c>
      <c r="I223" t="s">
        <v>4703</v>
      </c>
      <c r="J223" t="s">
        <v>4704</v>
      </c>
      <c r="K223" t="s">
        <v>74</v>
      </c>
      <c r="L223" t="s">
        <v>74</v>
      </c>
      <c r="M223" t="s">
        <v>78</v>
      </c>
      <c r="N223" t="s">
        <v>79</v>
      </c>
      <c r="O223" t="s">
        <v>74</v>
      </c>
      <c r="P223" t="s">
        <v>74</v>
      </c>
      <c r="Q223" t="s">
        <v>74</v>
      </c>
      <c r="R223" t="s">
        <v>74</v>
      </c>
      <c r="S223" t="s">
        <v>74</v>
      </c>
      <c r="T223" t="s">
        <v>4705</v>
      </c>
      <c r="U223" t="s">
        <v>4706</v>
      </c>
      <c r="V223" t="s">
        <v>4707</v>
      </c>
      <c r="W223" t="s">
        <v>4708</v>
      </c>
      <c r="X223" t="s">
        <v>4709</v>
      </c>
      <c r="Y223" t="s">
        <v>4710</v>
      </c>
      <c r="Z223" t="s">
        <v>4711</v>
      </c>
      <c r="AA223" t="s">
        <v>4712</v>
      </c>
      <c r="AB223" t="s">
        <v>4713</v>
      </c>
      <c r="AC223" t="s">
        <v>4714</v>
      </c>
      <c r="AD223" t="s">
        <v>4715</v>
      </c>
      <c r="AE223" t="s">
        <v>4716</v>
      </c>
      <c r="AF223" t="s">
        <v>74</v>
      </c>
      <c r="AG223">
        <v>30</v>
      </c>
      <c r="AH223">
        <v>0</v>
      </c>
      <c r="AI223">
        <v>0</v>
      </c>
      <c r="AJ223">
        <v>0</v>
      </c>
      <c r="AK223">
        <v>5</v>
      </c>
      <c r="AL223" t="s">
        <v>4717</v>
      </c>
      <c r="AM223" t="s">
        <v>730</v>
      </c>
      <c r="AN223" t="s">
        <v>4718</v>
      </c>
      <c r="AO223" t="s">
        <v>4719</v>
      </c>
      <c r="AP223" t="s">
        <v>74</v>
      </c>
      <c r="AQ223" t="s">
        <v>74</v>
      </c>
      <c r="AR223" t="s">
        <v>4720</v>
      </c>
      <c r="AS223" t="s">
        <v>4721</v>
      </c>
      <c r="AT223" t="s">
        <v>4616</v>
      </c>
      <c r="AU223">
        <v>2018</v>
      </c>
      <c r="AV223" t="s">
        <v>74</v>
      </c>
      <c r="AW223">
        <v>139</v>
      </c>
      <c r="AX223" t="s">
        <v>74</v>
      </c>
      <c r="AY223" t="s">
        <v>74</v>
      </c>
      <c r="AZ223" t="s">
        <v>74</v>
      </c>
      <c r="BA223" t="s">
        <v>74</v>
      </c>
      <c r="BB223" t="s">
        <v>74</v>
      </c>
      <c r="BC223" t="s">
        <v>74</v>
      </c>
      <c r="BD223" t="s">
        <v>4722</v>
      </c>
      <c r="BE223" t="s">
        <v>4723</v>
      </c>
      <c r="BF223" t="str">
        <f>HYPERLINK("http://dx.doi.org/10.3791/58316","http://dx.doi.org/10.3791/58316")</f>
        <v>http://dx.doi.org/10.3791/58316</v>
      </c>
      <c r="BG223" t="s">
        <v>74</v>
      </c>
      <c r="BH223" t="s">
        <v>74</v>
      </c>
      <c r="BI223">
        <v>8</v>
      </c>
      <c r="BJ223" t="s">
        <v>436</v>
      </c>
      <c r="BK223" t="s">
        <v>101</v>
      </c>
      <c r="BL223" t="s">
        <v>437</v>
      </c>
      <c r="BM223" t="s">
        <v>4724</v>
      </c>
      <c r="BN223">
        <v>30247476</v>
      </c>
      <c r="BO223" t="s">
        <v>740</v>
      </c>
      <c r="BP223" t="s">
        <v>74</v>
      </c>
      <c r="BQ223" t="s">
        <v>74</v>
      </c>
      <c r="BR223" t="s">
        <v>104</v>
      </c>
      <c r="BS223" t="s">
        <v>4725</v>
      </c>
      <c r="BT223" t="str">
        <f>HYPERLINK("https%3A%2F%2Fwww.webofscience.com%2Fwos%2Fwoscc%2Ffull-record%2FWOS:000456210900065","View Full Record in Web of Science")</f>
        <v>View Full Record in Web of Science</v>
      </c>
    </row>
    <row r="224" spans="1:72" x14ac:dyDescent="0.15">
      <c r="A224" t="s">
        <v>72</v>
      </c>
      <c r="B224" t="s">
        <v>4726</v>
      </c>
      <c r="C224" t="s">
        <v>74</v>
      </c>
      <c r="D224" t="s">
        <v>74</v>
      </c>
      <c r="E224" t="s">
        <v>74</v>
      </c>
      <c r="F224" t="s">
        <v>4727</v>
      </c>
      <c r="G224" t="s">
        <v>74</v>
      </c>
      <c r="H224" t="s">
        <v>74</v>
      </c>
      <c r="I224" t="s">
        <v>4728</v>
      </c>
      <c r="J224" t="s">
        <v>4729</v>
      </c>
      <c r="K224" t="s">
        <v>74</v>
      </c>
      <c r="L224" t="s">
        <v>74</v>
      </c>
      <c r="M224" t="s">
        <v>78</v>
      </c>
      <c r="N224" t="s">
        <v>79</v>
      </c>
      <c r="O224" t="s">
        <v>74</v>
      </c>
      <c r="P224" t="s">
        <v>74</v>
      </c>
      <c r="Q224" t="s">
        <v>74</v>
      </c>
      <c r="R224" t="s">
        <v>74</v>
      </c>
      <c r="S224" t="s">
        <v>74</v>
      </c>
      <c r="T224" t="s">
        <v>4730</v>
      </c>
      <c r="U224" t="s">
        <v>4731</v>
      </c>
      <c r="V224" t="s">
        <v>4732</v>
      </c>
      <c r="W224" t="s">
        <v>4733</v>
      </c>
      <c r="X224" t="s">
        <v>4734</v>
      </c>
      <c r="Y224" t="s">
        <v>4735</v>
      </c>
      <c r="Z224" t="s">
        <v>4736</v>
      </c>
      <c r="AA224" t="s">
        <v>4737</v>
      </c>
      <c r="AB224" t="s">
        <v>4738</v>
      </c>
      <c r="AC224" t="s">
        <v>4739</v>
      </c>
      <c r="AD224" t="s">
        <v>4740</v>
      </c>
      <c r="AE224" t="s">
        <v>4741</v>
      </c>
      <c r="AF224" t="s">
        <v>74</v>
      </c>
      <c r="AG224">
        <v>125</v>
      </c>
      <c r="AH224">
        <v>7</v>
      </c>
      <c r="AI224">
        <v>7</v>
      </c>
      <c r="AJ224">
        <v>0</v>
      </c>
      <c r="AK224">
        <v>6</v>
      </c>
      <c r="AL224" t="s">
        <v>430</v>
      </c>
      <c r="AM224" t="s">
        <v>286</v>
      </c>
      <c r="AN224" t="s">
        <v>431</v>
      </c>
      <c r="AO224" t="s">
        <v>4742</v>
      </c>
      <c r="AP224" t="s">
        <v>4743</v>
      </c>
      <c r="AQ224" t="s">
        <v>74</v>
      </c>
      <c r="AR224" t="s">
        <v>4744</v>
      </c>
      <c r="AS224" t="s">
        <v>4745</v>
      </c>
      <c r="AT224" t="s">
        <v>4616</v>
      </c>
      <c r="AU224">
        <v>2018</v>
      </c>
      <c r="AV224">
        <v>61</v>
      </c>
      <c r="AW224" t="s">
        <v>74</v>
      </c>
      <c r="AX224" t="s">
        <v>74</v>
      </c>
      <c r="AY224" t="s">
        <v>74</v>
      </c>
      <c r="AZ224" t="s">
        <v>74</v>
      </c>
      <c r="BA224" t="s">
        <v>74</v>
      </c>
      <c r="BB224">
        <v>222</v>
      </c>
      <c r="BC224">
        <v>243</v>
      </c>
      <c r="BD224" t="s">
        <v>74</v>
      </c>
      <c r="BE224" t="s">
        <v>4746</v>
      </c>
      <c r="BF224" t="str">
        <f>HYPERLINK("http://dx.doi.org/10.1016/j.gr.2018.04.017","http://dx.doi.org/10.1016/j.gr.2018.04.017")</f>
        <v>http://dx.doi.org/10.1016/j.gr.2018.04.017</v>
      </c>
      <c r="BG224" t="s">
        <v>74</v>
      </c>
      <c r="BH224" t="s">
        <v>74</v>
      </c>
      <c r="BI224">
        <v>22</v>
      </c>
      <c r="BJ224" t="s">
        <v>182</v>
      </c>
      <c r="BK224" t="s">
        <v>101</v>
      </c>
      <c r="BL224" t="s">
        <v>183</v>
      </c>
      <c r="BM224" t="s">
        <v>4747</v>
      </c>
      <c r="BN224" t="s">
        <v>74</v>
      </c>
      <c r="BO224" t="s">
        <v>74</v>
      </c>
      <c r="BP224" t="s">
        <v>74</v>
      </c>
      <c r="BQ224" t="s">
        <v>74</v>
      </c>
      <c r="BR224" t="s">
        <v>104</v>
      </c>
      <c r="BS224" t="s">
        <v>4748</v>
      </c>
      <c r="BT224" t="str">
        <f>HYPERLINK("https%3A%2F%2Fwww.webofscience.com%2Fwos%2Fwoscc%2Ffull-record%2FWOS:000454185100014","View Full Record in Web of Science")</f>
        <v>View Full Record in Web of Science</v>
      </c>
    </row>
    <row r="225" spans="1:72" x14ac:dyDescent="0.15">
      <c r="A225" t="s">
        <v>72</v>
      </c>
      <c r="B225" t="s">
        <v>4749</v>
      </c>
      <c r="C225" t="s">
        <v>74</v>
      </c>
      <c r="D225" t="s">
        <v>74</v>
      </c>
      <c r="E225" t="s">
        <v>74</v>
      </c>
      <c r="F225" t="s">
        <v>4750</v>
      </c>
      <c r="G225" t="s">
        <v>74</v>
      </c>
      <c r="H225" t="s">
        <v>74</v>
      </c>
      <c r="I225" t="s">
        <v>4751</v>
      </c>
      <c r="J225" t="s">
        <v>4752</v>
      </c>
      <c r="K225" t="s">
        <v>74</v>
      </c>
      <c r="L225" t="s">
        <v>74</v>
      </c>
      <c r="M225" t="s">
        <v>78</v>
      </c>
      <c r="N225" t="s">
        <v>79</v>
      </c>
      <c r="O225" t="s">
        <v>74</v>
      </c>
      <c r="P225" t="s">
        <v>74</v>
      </c>
      <c r="Q225" t="s">
        <v>74</v>
      </c>
      <c r="R225" t="s">
        <v>74</v>
      </c>
      <c r="S225" t="s">
        <v>74</v>
      </c>
      <c r="T225" t="s">
        <v>4753</v>
      </c>
      <c r="U225" t="s">
        <v>4754</v>
      </c>
      <c r="V225" t="s">
        <v>4755</v>
      </c>
      <c r="W225" t="s">
        <v>4756</v>
      </c>
      <c r="X225" t="s">
        <v>4757</v>
      </c>
      <c r="Y225" t="s">
        <v>4758</v>
      </c>
      <c r="Z225" t="s">
        <v>4759</v>
      </c>
      <c r="AA225" t="s">
        <v>4760</v>
      </c>
      <c r="AB225" t="s">
        <v>74</v>
      </c>
      <c r="AC225" t="s">
        <v>4761</v>
      </c>
      <c r="AD225" t="s">
        <v>4762</v>
      </c>
      <c r="AE225" t="s">
        <v>4763</v>
      </c>
      <c r="AF225" t="s">
        <v>74</v>
      </c>
      <c r="AG225">
        <v>42</v>
      </c>
      <c r="AH225">
        <v>33</v>
      </c>
      <c r="AI225">
        <v>34</v>
      </c>
      <c r="AJ225">
        <v>0</v>
      </c>
      <c r="AK225">
        <v>4</v>
      </c>
      <c r="AL225" t="s">
        <v>4764</v>
      </c>
      <c r="AM225" t="s">
        <v>4765</v>
      </c>
      <c r="AN225" t="s">
        <v>4766</v>
      </c>
      <c r="AO225" t="s">
        <v>4767</v>
      </c>
      <c r="AP225" t="s">
        <v>74</v>
      </c>
      <c r="AQ225" t="s">
        <v>74</v>
      </c>
      <c r="AR225" t="s">
        <v>4768</v>
      </c>
      <c r="AS225" t="s">
        <v>4769</v>
      </c>
      <c r="AT225" t="s">
        <v>4616</v>
      </c>
      <c r="AU225">
        <v>2018</v>
      </c>
      <c r="AV225">
        <v>45</v>
      </c>
      <c r="AW225">
        <v>3</v>
      </c>
      <c r="AX225" t="s">
        <v>74</v>
      </c>
      <c r="AY225" t="s">
        <v>74</v>
      </c>
      <c r="AZ225" t="s">
        <v>74</v>
      </c>
      <c r="BA225" t="s">
        <v>74</v>
      </c>
      <c r="BB225">
        <v>301</v>
      </c>
      <c r="BC225">
        <v>317</v>
      </c>
      <c r="BD225" t="s">
        <v>74</v>
      </c>
      <c r="BE225" t="s">
        <v>4770</v>
      </c>
      <c r="BF225" t="str">
        <f>HYPERLINK("http://dx.doi.org/10.5027/andgeoV45n3-3117","http://dx.doi.org/10.5027/andgeoV45n3-3117")</f>
        <v>http://dx.doi.org/10.5027/andgeoV45n3-3117</v>
      </c>
      <c r="BG225" t="s">
        <v>74</v>
      </c>
      <c r="BH225" t="s">
        <v>74</v>
      </c>
      <c r="BI225">
        <v>17</v>
      </c>
      <c r="BJ225" t="s">
        <v>183</v>
      </c>
      <c r="BK225" t="s">
        <v>101</v>
      </c>
      <c r="BL225" t="s">
        <v>183</v>
      </c>
      <c r="BM225" t="s">
        <v>4771</v>
      </c>
      <c r="BN225" t="s">
        <v>74</v>
      </c>
      <c r="BO225" t="s">
        <v>1343</v>
      </c>
      <c r="BP225" t="s">
        <v>74</v>
      </c>
      <c r="BQ225" t="s">
        <v>74</v>
      </c>
      <c r="BR225" t="s">
        <v>104</v>
      </c>
      <c r="BS225" t="s">
        <v>4772</v>
      </c>
      <c r="BT225" t="str">
        <f>HYPERLINK("https%3A%2F%2Fwww.webofscience.com%2Fwos%2Fwoscc%2Ffull-record%2FWOS:000449464900001","View Full Record in Web of Science")</f>
        <v>View Full Record in Web of Science</v>
      </c>
    </row>
    <row r="226" spans="1:72" x14ac:dyDescent="0.15">
      <c r="A226" t="s">
        <v>72</v>
      </c>
      <c r="B226" t="s">
        <v>4773</v>
      </c>
      <c r="C226" t="s">
        <v>74</v>
      </c>
      <c r="D226" t="s">
        <v>74</v>
      </c>
      <c r="E226" t="s">
        <v>74</v>
      </c>
      <c r="F226" t="s">
        <v>4774</v>
      </c>
      <c r="G226" t="s">
        <v>74</v>
      </c>
      <c r="H226" t="s">
        <v>74</v>
      </c>
      <c r="I226" t="s">
        <v>4775</v>
      </c>
      <c r="J226" t="s">
        <v>4752</v>
      </c>
      <c r="K226" t="s">
        <v>74</v>
      </c>
      <c r="L226" t="s">
        <v>74</v>
      </c>
      <c r="M226" t="s">
        <v>78</v>
      </c>
      <c r="N226" t="s">
        <v>79</v>
      </c>
      <c r="O226" t="s">
        <v>74</v>
      </c>
      <c r="P226" t="s">
        <v>74</v>
      </c>
      <c r="Q226" t="s">
        <v>74</v>
      </c>
      <c r="R226" t="s">
        <v>74</v>
      </c>
      <c r="S226" t="s">
        <v>74</v>
      </c>
      <c r="T226" t="s">
        <v>4776</v>
      </c>
      <c r="U226" t="s">
        <v>4777</v>
      </c>
      <c r="V226" t="s">
        <v>4778</v>
      </c>
      <c r="W226" t="s">
        <v>4779</v>
      </c>
      <c r="X226" t="s">
        <v>4780</v>
      </c>
      <c r="Y226" t="s">
        <v>4781</v>
      </c>
      <c r="Z226" t="s">
        <v>4782</v>
      </c>
      <c r="AA226" t="s">
        <v>4783</v>
      </c>
      <c r="AB226" t="s">
        <v>4784</v>
      </c>
      <c r="AC226" t="s">
        <v>4785</v>
      </c>
      <c r="AD226" t="s">
        <v>4786</v>
      </c>
      <c r="AE226" t="s">
        <v>4787</v>
      </c>
      <c r="AF226" t="s">
        <v>74</v>
      </c>
      <c r="AG226">
        <v>49</v>
      </c>
      <c r="AH226">
        <v>5</v>
      </c>
      <c r="AI226">
        <v>5</v>
      </c>
      <c r="AJ226">
        <v>0</v>
      </c>
      <c r="AK226">
        <v>6</v>
      </c>
      <c r="AL226" t="s">
        <v>4764</v>
      </c>
      <c r="AM226" t="s">
        <v>4765</v>
      </c>
      <c r="AN226" t="s">
        <v>4766</v>
      </c>
      <c r="AO226" t="s">
        <v>4767</v>
      </c>
      <c r="AP226" t="s">
        <v>74</v>
      </c>
      <c r="AQ226" t="s">
        <v>74</v>
      </c>
      <c r="AR226" t="s">
        <v>4768</v>
      </c>
      <c r="AS226" t="s">
        <v>4769</v>
      </c>
      <c r="AT226" t="s">
        <v>4616</v>
      </c>
      <c r="AU226">
        <v>2018</v>
      </c>
      <c r="AV226">
        <v>45</v>
      </c>
      <c r="AW226">
        <v>3</v>
      </c>
      <c r="AX226" t="s">
        <v>74</v>
      </c>
      <c r="AY226" t="s">
        <v>74</v>
      </c>
      <c r="AZ226" t="s">
        <v>74</v>
      </c>
      <c r="BA226" t="s">
        <v>74</v>
      </c>
      <c r="BB226">
        <v>344</v>
      </c>
      <c r="BC226">
        <v>356</v>
      </c>
      <c r="BD226" t="s">
        <v>74</v>
      </c>
      <c r="BE226" t="s">
        <v>4788</v>
      </c>
      <c r="BF226" t="str">
        <f>HYPERLINK("http://dx.doi.org/10.5027/andgeoV45n3-3086","http://dx.doi.org/10.5027/andgeoV45n3-3086")</f>
        <v>http://dx.doi.org/10.5027/andgeoV45n3-3086</v>
      </c>
      <c r="BG226" t="s">
        <v>74</v>
      </c>
      <c r="BH226" t="s">
        <v>74</v>
      </c>
      <c r="BI226">
        <v>13</v>
      </c>
      <c r="BJ226" t="s">
        <v>183</v>
      </c>
      <c r="BK226" t="s">
        <v>101</v>
      </c>
      <c r="BL226" t="s">
        <v>183</v>
      </c>
      <c r="BM226" t="s">
        <v>4771</v>
      </c>
      <c r="BN226" t="s">
        <v>74</v>
      </c>
      <c r="BO226" t="s">
        <v>4168</v>
      </c>
      <c r="BP226" t="s">
        <v>74</v>
      </c>
      <c r="BQ226" t="s">
        <v>74</v>
      </c>
      <c r="BR226" t="s">
        <v>104</v>
      </c>
      <c r="BS226" t="s">
        <v>4789</v>
      </c>
      <c r="BT226" t="str">
        <f>HYPERLINK("https%3A%2F%2Fwww.webofscience.com%2Fwos%2Fwoscc%2Ffull-record%2FWOS:000449464900003","View Full Record in Web of Science")</f>
        <v>View Full Record in Web of Science</v>
      </c>
    </row>
    <row r="227" spans="1:72" x14ac:dyDescent="0.15">
      <c r="A227" t="s">
        <v>72</v>
      </c>
      <c r="B227" t="s">
        <v>4790</v>
      </c>
      <c r="C227" t="s">
        <v>74</v>
      </c>
      <c r="D227" t="s">
        <v>74</v>
      </c>
      <c r="E227" t="s">
        <v>74</v>
      </c>
      <c r="F227" t="s">
        <v>4791</v>
      </c>
      <c r="G227" t="s">
        <v>74</v>
      </c>
      <c r="H227" t="s">
        <v>74</v>
      </c>
      <c r="I227" t="s">
        <v>4792</v>
      </c>
      <c r="J227" t="s">
        <v>4752</v>
      </c>
      <c r="K227" t="s">
        <v>74</v>
      </c>
      <c r="L227" t="s">
        <v>74</v>
      </c>
      <c r="M227" t="s">
        <v>78</v>
      </c>
      <c r="N227" t="s">
        <v>79</v>
      </c>
      <c r="O227" t="s">
        <v>74</v>
      </c>
      <c r="P227" t="s">
        <v>74</v>
      </c>
      <c r="Q227" t="s">
        <v>74</v>
      </c>
      <c r="R227" t="s">
        <v>74</v>
      </c>
      <c r="S227" t="s">
        <v>74</v>
      </c>
      <c r="T227" t="s">
        <v>4793</v>
      </c>
      <c r="U227" t="s">
        <v>4794</v>
      </c>
      <c r="V227" t="s">
        <v>4795</v>
      </c>
      <c r="W227" t="s">
        <v>4796</v>
      </c>
      <c r="X227" t="s">
        <v>4797</v>
      </c>
      <c r="Y227" t="s">
        <v>4798</v>
      </c>
      <c r="Z227" t="s">
        <v>4799</v>
      </c>
      <c r="AA227" t="s">
        <v>4800</v>
      </c>
      <c r="AB227" t="s">
        <v>4801</v>
      </c>
      <c r="AC227" t="s">
        <v>4802</v>
      </c>
      <c r="AD227" t="s">
        <v>4803</v>
      </c>
      <c r="AE227" t="s">
        <v>4804</v>
      </c>
      <c r="AF227" t="s">
        <v>74</v>
      </c>
      <c r="AG227">
        <v>59</v>
      </c>
      <c r="AH227">
        <v>7</v>
      </c>
      <c r="AI227">
        <v>8</v>
      </c>
      <c r="AJ227">
        <v>0</v>
      </c>
      <c r="AK227">
        <v>3</v>
      </c>
      <c r="AL227" t="s">
        <v>4764</v>
      </c>
      <c r="AM227" t="s">
        <v>4765</v>
      </c>
      <c r="AN227" t="s">
        <v>4766</v>
      </c>
      <c r="AO227" t="s">
        <v>4767</v>
      </c>
      <c r="AP227" t="s">
        <v>74</v>
      </c>
      <c r="AQ227" t="s">
        <v>74</v>
      </c>
      <c r="AR227" t="s">
        <v>4768</v>
      </c>
      <c r="AS227" t="s">
        <v>4769</v>
      </c>
      <c r="AT227" t="s">
        <v>4616</v>
      </c>
      <c r="AU227">
        <v>2018</v>
      </c>
      <c r="AV227">
        <v>45</v>
      </c>
      <c r="AW227">
        <v>3</v>
      </c>
      <c r="AX227" t="s">
        <v>74</v>
      </c>
      <c r="AY227" t="s">
        <v>74</v>
      </c>
      <c r="AZ227" t="s">
        <v>74</v>
      </c>
      <c r="BA227" t="s">
        <v>74</v>
      </c>
      <c r="BB227">
        <v>357</v>
      </c>
      <c r="BC227">
        <v>378</v>
      </c>
      <c r="BD227" t="s">
        <v>74</v>
      </c>
      <c r="BE227" t="s">
        <v>4805</v>
      </c>
      <c r="BF227" t="str">
        <f>HYPERLINK("http://dx.doi.org/10.5027/andgeoV45n3-2974","http://dx.doi.org/10.5027/andgeoV45n3-2974")</f>
        <v>http://dx.doi.org/10.5027/andgeoV45n3-2974</v>
      </c>
      <c r="BG227" t="s">
        <v>74</v>
      </c>
      <c r="BH227" t="s">
        <v>74</v>
      </c>
      <c r="BI227">
        <v>22</v>
      </c>
      <c r="BJ227" t="s">
        <v>183</v>
      </c>
      <c r="BK227" t="s">
        <v>101</v>
      </c>
      <c r="BL227" t="s">
        <v>183</v>
      </c>
      <c r="BM227" t="s">
        <v>4771</v>
      </c>
      <c r="BN227" t="s">
        <v>74</v>
      </c>
      <c r="BO227" t="s">
        <v>239</v>
      </c>
      <c r="BP227" t="s">
        <v>74</v>
      </c>
      <c r="BQ227" t="s">
        <v>74</v>
      </c>
      <c r="BR227" t="s">
        <v>104</v>
      </c>
      <c r="BS227" t="s">
        <v>4806</v>
      </c>
      <c r="BT227" t="str">
        <f>HYPERLINK("https%3A%2F%2Fwww.webofscience.com%2Fwos%2Fwoscc%2Ffull-record%2FWOS:000449464900004","View Full Record in Web of Science")</f>
        <v>View Full Record in Web of Science</v>
      </c>
    </row>
    <row r="228" spans="1:72" x14ac:dyDescent="0.15">
      <c r="A228" t="s">
        <v>72</v>
      </c>
      <c r="B228" t="s">
        <v>4807</v>
      </c>
      <c r="C228" t="s">
        <v>74</v>
      </c>
      <c r="D228" t="s">
        <v>74</v>
      </c>
      <c r="E228" t="s">
        <v>74</v>
      </c>
      <c r="F228" t="s">
        <v>4808</v>
      </c>
      <c r="G228" t="s">
        <v>74</v>
      </c>
      <c r="H228" t="s">
        <v>74</v>
      </c>
      <c r="I228" t="s">
        <v>4809</v>
      </c>
      <c r="J228" t="s">
        <v>4810</v>
      </c>
      <c r="K228" t="s">
        <v>74</v>
      </c>
      <c r="L228" t="s">
        <v>74</v>
      </c>
      <c r="M228" t="s">
        <v>78</v>
      </c>
      <c r="N228" t="s">
        <v>79</v>
      </c>
      <c r="O228" t="s">
        <v>74</v>
      </c>
      <c r="P228" t="s">
        <v>74</v>
      </c>
      <c r="Q228" t="s">
        <v>74</v>
      </c>
      <c r="R228" t="s">
        <v>74</v>
      </c>
      <c r="S228" t="s">
        <v>74</v>
      </c>
      <c r="T228" t="s">
        <v>4811</v>
      </c>
      <c r="U228" t="s">
        <v>4812</v>
      </c>
      <c r="V228" t="s">
        <v>4813</v>
      </c>
      <c r="W228" t="s">
        <v>4814</v>
      </c>
      <c r="X228" t="s">
        <v>4815</v>
      </c>
      <c r="Y228" t="s">
        <v>4816</v>
      </c>
      <c r="Z228" t="s">
        <v>4817</v>
      </c>
      <c r="AA228" t="s">
        <v>4818</v>
      </c>
      <c r="AB228" t="s">
        <v>74</v>
      </c>
      <c r="AC228" t="s">
        <v>4819</v>
      </c>
      <c r="AD228" t="s">
        <v>4820</v>
      </c>
      <c r="AE228" t="s">
        <v>4821</v>
      </c>
      <c r="AF228" t="s">
        <v>74</v>
      </c>
      <c r="AG228">
        <v>81</v>
      </c>
      <c r="AH228">
        <v>16</v>
      </c>
      <c r="AI228">
        <v>17</v>
      </c>
      <c r="AJ228">
        <v>2</v>
      </c>
      <c r="AK228">
        <v>53</v>
      </c>
      <c r="AL228" t="s">
        <v>337</v>
      </c>
      <c r="AM228" t="s">
        <v>912</v>
      </c>
      <c r="AN228" t="s">
        <v>913</v>
      </c>
      <c r="AO228" t="s">
        <v>4822</v>
      </c>
      <c r="AP228" t="s">
        <v>4823</v>
      </c>
      <c r="AQ228" t="s">
        <v>74</v>
      </c>
      <c r="AR228" t="s">
        <v>4824</v>
      </c>
      <c r="AS228" t="s">
        <v>4825</v>
      </c>
      <c r="AT228" t="s">
        <v>4616</v>
      </c>
      <c r="AU228">
        <v>2018</v>
      </c>
      <c r="AV228">
        <v>111</v>
      </c>
      <c r="AW228">
        <v>9</v>
      </c>
      <c r="AX228" t="s">
        <v>74</v>
      </c>
      <c r="AY228" t="s">
        <v>74</v>
      </c>
      <c r="AZ228" t="s">
        <v>74</v>
      </c>
      <c r="BA228" t="s">
        <v>74</v>
      </c>
      <c r="BB228">
        <v>1543</v>
      </c>
      <c r="BC228">
        <v>1555</v>
      </c>
      <c r="BD228" t="s">
        <v>74</v>
      </c>
      <c r="BE228" t="s">
        <v>4826</v>
      </c>
      <c r="BF228" t="str">
        <f>HYPERLINK("http://dx.doi.org/10.1007/s10482-018-1044-6","http://dx.doi.org/10.1007/s10482-018-1044-6")</f>
        <v>http://dx.doi.org/10.1007/s10482-018-1044-6</v>
      </c>
      <c r="BG228" t="s">
        <v>74</v>
      </c>
      <c r="BH228" t="s">
        <v>74</v>
      </c>
      <c r="BI228">
        <v>13</v>
      </c>
      <c r="BJ228" t="s">
        <v>344</v>
      </c>
      <c r="BK228" t="s">
        <v>101</v>
      </c>
      <c r="BL228" t="s">
        <v>344</v>
      </c>
      <c r="BM228" t="s">
        <v>4827</v>
      </c>
      <c r="BN228">
        <v>29460205</v>
      </c>
      <c r="BO228" t="s">
        <v>74</v>
      </c>
      <c r="BP228" t="s">
        <v>74</v>
      </c>
      <c r="BQ228" t="s">
        <v>74</v>
      </c>
      <c r="BR228" t="s">
        <v>104</v>
      </c>
      <c r="BS228" t="s">
        <v>4828</v>
      </c>
      <c r="BT228" t="str">
        <f>HYPERLINK("https%3A%2F%2Fwww.webofscience.com%2Fwos%2Fwoscc%2Ffull-record%2FWOS:000441729300005","View Full Record in Web of Science")</f>
        <v>View Full Record in Web of Science</v>
      </c>
    </row>
    <row r="229" spans="1:72" x14ac:dyDescent="0.15">
      <c r="A229" t="s">
        <v>72</v>
      </c>
      <c r="B229" t="s">
        <v>4829</v>
      </c>
      <c r="C229" t="s">
        <v>74</v>
      </c>
      <c r="D229" t="s">
        <v>74</v>
      </c>
      <c r="E229" t="s">
        <v>74</v>
      </c>
      <c r="F229" t="s">
        <v>4830</v>
      </c>
      <c r="G229" t="s">
        <v>74</v>
      </c>
      <c r="H229" t="s">
        <v>74</v>
      </c>
      <c r="I229" t="s">
        <v>4831</v>
      </c>
      <c r="J229" t="s">
        <v>4832</v>
      </c>
      <c r="K229" t="s">
        <v>74</v>
      </c>
      <c r="L229" t="s">
        <v>74</v>
      </c>
      <c r="M229" t="s">
        <v>78</v>
      </c>
      <c r="N229" t="s">
        <v>79</v>
      </c>
      <c r="O229" t="s">
        <v>74</v>
      </c>
      <c r="P229" t="s">
        <v>74</v>
      </c>
      <c r="Q229" t="s">
        <v>74</v>
      </c>
      <c r="R229" t="s">
        <v>74</v>
      </c>
      <c r="S229" t="s">
        <v>74</v>
      </c>
      <c r="T229" t="s">
        <v>4833</v>
      </c>
      <c r="U229" t="s">
        <v>4834</v>
      </c>
      <c r="V229" t="s">
        <v>4835</v>
      </c>
      <c r="W229" t="s">
        <v>4836</v>
      </c>
      <c r="X229" t="s">
        <v>4837</v>
      </c>
      <c r="Y229" t="s">
        <v>4838</v>
      </c>
      <c r="Z229" t="s">
        <v>4839</v>
      </c>
      <c r="AA229" t="s">
        <v>4840</v>
      </c>
      <c r="AB229" t="s">
        <v>4841</v>
      </c>
      <c r="AC229" t="s">
        <v>4842</v>
      </c>
      <c r="AD229" t="s">
        <v>4843</v>
      </c>
      <c r="AE229" t="s">
        <v>4844</v>
      </c>
      <c r="AF229" t="s">
        <v>74</v>
      </c>
      <c r="AG229">
        <v>35</v>
      </c>
      <c r="AH229">
        <v>9</v>
      </c>
      <c r="AI229">
        <v>10</v>
      </c>
      <c r="AJ229">
        <v>2</v>
      </c>
      <c r="AK229">
        <v>65</v>
      </c>
      <c r="AL229" t="s">
        <v>4845</v>
      </c>
      <c r="AM229" t="s">
        <v>3175</v>
      </c>
      <c r="AN229" t="s">
        <v>4846</v>
      </c>
      <c r="AO229" t="s">
        <v>4847</v>
      </c>
      <c r="AP229" t="s">
        <v>4848</v>
      </c>
      <c r="AQ229" t="s">
        <v>74</v>
      </c>
      <c r="AR229" t="s">
        <v>4849</v>
      </c>
      <c r="AS229" t="s">
        <v>4850</v>
      </c>
      <c r="AT229" t="s">
        <v>4851</v>
      </c>
      <c r="AU229">
        <v>2018</v>
      </c>
      <c r="AV229">
        <v>347</v>
      </c>
      <c r="AW229" t="s">
        <v>74</v>
      </c>
      <c r="AX229" t="s">
        <v>74</v>
      </c>
      <c r="AY229" t="s">
        <v>74</v>
      </c>
      <c r="AZ229" t="s">
        <v>74</v>
      </c>
      <c r="BA229" t="s">
        <v>74</v>
      </c>
      <c r="BB229">
        <v>415</v>
      </c>
      <c r="BC229">
        <v>423</v>
      </c>
      <c r="BD229" t="s">
        <v>74</v>
      </c>
      <c r="BE229" t="s">
        <v>4852</v>
      </c>
      <c r="BF229" t="str">
        <f>HYPERLINK("http://dx.doi.org/10.1016/j.cej.2018.04.115","http://dx.doi.org/10.1016/j.cej.2018.04.115")</f>
        <v>http://dx.doi.org/10.1016/j.cej.2018.04.115</v>
      </c>
      <c r="BG229" t="s">
        <v>74</v>
      </c>
      <c r="BH229" t="s">
        <v>74</v>
      </c>
      <c r="BI229">
        <v>9</v>
      </c>
      <c r="BJ229" t="s">
        <v>4853</v>
      </c>
      <c r="BK229" t="s">
        <v>101</v>
      </c>
      <c r="BL229" t="s">
        <v>4854</v>
      </c>
      <c r="BM229" t="s">
        <v>4855</v>
      </c>
      <c r="BN229" t="s">
        <v>74</v>
      </c>
      <c r="BO229" t="s">
        <v>74</v>
      </c>
      <c r="BP229" t="s">
        <v>74</v>
      </c>
      <c r="BQ229" t="s">
        <v>74</v>
      </c>
      <c r="BR229" t="s">
        <v>104</v>
      </c>
      <c r="BS229" t="s">
        <v>4856</v>
      </c>
      <c r="BT229" t="str">
        <f>HYPERLINK("https%3A%2F%2Fwww.webofscience.com%2Fwos%2Fwoscc%2Ffull-record%2FWOS:000432884900040","View Full Record in Web of Science")</f>
        <v>View Full Record in Web of Science</v>
      </c>
    </row>
    <row r="230" spans="1:72" x14ac:dyDescent="0.15">
      <c r="A230" t="s">
        <v>72</v>
      </c>
      <c r="B230" t="s">
        <v>4857</v>
      </c>
      <c r="C230" t="s">
        <v>74</v>
      </c>
      <c r="D230" t="s">
        <v>74</v>
      </c>
      <c r="E230" t="s">
        <v>74</v>
      </c>
      <c r="F230" t="s">
        <v>4858</v>
      </c>
      <c r="G230" t="s">
        <v>74</v>
      </c>
      <c r="H230" t="s">
        <v>74</v>
      </c>
      <c r="I230" t="s">
        <v>4859</v>
      </c>
      <c r="J230" t="s">
        <v>351</v>
      </c>
      <c r="K230" t="s">
        <v>74</v>
      </c>
      <c r="L230" t="s">
        <v>74</v>
      </c>
      <c r="M230" t="s">
        <v>78</v>
      </c>
      <c r="N230" t="s">
        <v>79</v>
      </c>
      <c r="O230" t="s">
        <v>74</v>
      </c>
      <c r="P230" t="s">
        <v>74</v>
      </c>
      <c r="Q230" t="s">
        <v>74</v>
      </c>
      <c r="R230" t="s">
        <v>74</v>
      </c>
      <c r="S230" t="s">
        <v>74</v>
      </c>
      <c r="T230" t="s">
        <v>4860</v>
      </c>
      <c r="U230" t="s">
        <v>4861</v>
      </c>
      <c r="V230" t="s">
        <v>4862</v>
      </c>
      <c r="W230" t="s">
        <v>4863</v>
      </c>
      <c r="X230" t="s">
        <v>4864</v>
      </c>
      <c r="Y230" t="s">
        <v>4865</v>
      </c>
      <c r="Z230" t="s">
        <v>4866</v>
      </c>
      <c r="AA230" t="s">
        <v>4867</v>
      </c>
      <c r="AB230" t="s">
        <v>4868</v>
      </c>
      <c r="AC230" t="s">
        <v>4869</v>
      </c>
      <c r="AD230" t="s">
        <v>4870</v>
      </c>
      <c r="AE230" t="s">
        <v>4871</v>
      </c>
      <c r="AF230" t="s">
        <v>74</v>
      </c>
      <c r="AG230">
        <v>88</v>
      </c>
      <c r="AH230">
        <v>56</v>
      </c>
      <c r="AI230">
        <v>59</v>
      </c>
      <c r="AJ230">
        <v>0</v>
      </c>
      <c r="AK230">
        <v>34</v>
      </c>
      <c r="AL230" t="s">
        <v>337</v>
      </c>
      <c r="AM230" t="s">
        <v>258</v>
      </c>
      <c r="AN230" t="s">
        <v>338</v>
      </c>
      <c r="AO230" t="s">
        <v>363</v>
      </c>
      <c r="AP230" t="s">
        <v>364</v>
      </c>
      <c r="AQ230" t="s">
        <v>74</v>
      </c>
      <c r="AR230" t="s">
        <v>365</v>
      </c>
      <c r="AS230" t="s">
        <v>366</v>
      </c>
      <c r="AT230" t="s">
        <v>4616</v>
      </c>
      <c r="AU230">
        <v>2018</v>
      </c>
      <c r="AV230">
        <v>51</v>
      </c>
      <c r="AW230" t="s">
        <v>4617</v>
      </c>
      <c r="AX230" t="s">
        <v>74</v>
      </c>
      <c r="AY230" t="s">
        <v>74</v>
      </c>
      <c r="AZ230" t="s">
        <v>74</v>
      </c>
      <c r="BA230" t="s">
        <v>74</v>
      </c>
      <c r="BB230">
        <v>2321</v>
      </c>
      <c r="BC230">
        <v>2339</v>
      </c>
      <c r="BD230" t="s">
        <v>74</v>
      </c>
      <c r="BE230" t="s">
        <v>4872</v>
      </c>
      <c r="BF230" t="str">
        <f>HYPERLINK("http://dx.doi.org/10.1007/s00382-017-4015-0","http://dx.doi.org/10.1007/s00382-017-4015-0")</f>
        <v>http://dx.doi.org/10.1007/s00382-017-4015-0</v>
      </c>
      <c r="BG230" t="s">
        <v>74</v>
      </c>
      <c r="BH230" t="s">
        <v>74</v>
      </c>
      <c r="BI230">
        <v>19</v>
      </c>
      <c r="BJ230" t="s">
        <v>369</v>
      </c>
      <c r="BK230" t="s">
        <v>101</v>
      </c>
      <c r="BL230" t="s">
        <v>369</v>
      </c>
      <c r="BM230" t="s">
        <v>4873</v>
      </c>
      <c r="BN230" t="s">
        <v>74</v>
      </c>
      <c r="BO230" t="s">
        <v>2282</v>
      </c>
      <c r="BP230" t="s">
        <v>74</v>
      </c>
      <c r="BQ230" t="s">
        <v>74</v>
      </c>
      <c r="BR230" t="s">
        <v>104</v>
      </c>
      <c r="BS230" t="s">
        <v>4874</v>
      </c>
      <c r="BT230" t="str">
        <f>HYPERLINK("https%3A%2F%2Fwww.webofscience.com%2Fwos%2Fwoscc%2Ffull-record%2FWOS:000442433200041","View Full Record in Web of Science")</f>
        <v>View Full Record in Web of Science</v>
      </c>
    </row>
    <row r="231" spans="1:72" x14ac:dyDescent="0.15">
      <c r="A231" t="s">
        <v>72</v>
      </c>
      <c r="B231" t="s">
        <v>4875</v>
      </c>
      <c r="C231" t="s">
        <v>74</v>
      </c>
      <c r="D231" t="s">
        <v>74</v>
      </c>
      <c r="E231" t="s">
        <v>74</v>
      </c>
      <c r="F231" t="s">
        <v>4876</v>
      </c>
      <c r="G231" t="s">
        <v>74</v>
      </c>
      <c r="H231" t="s">
        <v>74</v>
      </c>
      <c r="I231" t="s">
        <v>4877</v>
      </c>
      <c r="J231" t="s">
        <v>4878</v>
      </c>
      <c r="K231" t="s">
        <v>74</v>
      </c>
      <c r="L231" t="s">
        <v>74</v>
      </c>
      <c r="M231" t="s">
        <v>78</v>
      </c>
      <c r="N231" t="s">
        <v>79</v>
      </c>
      <c r="O231" t="s">
        <v>74</v>
      </c>
      <c r="P231" t="s">
        <v>74</v>
      </c>
      <c r="Q231" t="s">
        <v>74</v>
      </c>
      <c r="R231" t="s">
        <v>74</v>
      </c>
      <c r="S231" t="s">
        <v>74</v>
      </c>
      <c r="T231" t="s">
        <v>4879</v>
      </c>
      <c r="U231" t="s">
        <v>4880</v>
      </c>
      <c r="V231" t="s">
        <v>4881</v>
      </c>
      <c r="W231" t="s">
        <v>4882</v>
      </c>
      <c r="X231" t="s">
        <v>4883</v>
      </c>
      <c r="Y231" t="s">
        <v>4884</v>
      </c>
      <c r="Z231" t="s">
        <v>4885</v>
      </c>
      <c r="AA231" t="s">
        <v>4886</v>
      </c>
      <c r="AB231" t="s">
        <v>4887</v>
      </c>
      <c r="AC231" t="s">
        <v>4888</v>
      </c>
      <c r="AD231" t="s">
        <v>4888</v>
      </c>
      <c r="AE231" t="s">
        <v>4889</v>
      </c>
      <c r="AF231" t="s">
        <v>74</v>
      </c>
      <c r="AG231">
        <v>48</v>
      </c>
      <c r="AH231">
        <v>16</v>
      </c>
      <c r="AI231">
        <v>18</v>
      </c>
      <c r="AJ231">
        <v>1</v>
      </c>
      <c r="AK231">
        <v>9</v>
      </c>
      <c r="AL231" t="s">
        <v>1053</v>
      </c>
      <c r="AM231" t="s">
        <v>1054</v>
      </c>
      <c r="AN231" t="s">
        <v>1055</v>
      </c>
      <c r="AO231" t="s">
        <v>4890</v>
      </c>
      <c r="AP231" t="s">
        <v>74</v>
      </c>
      <c r="AQ231" t="s">
        <v>74</v>
      </c>
      <c r="AR231" t="s">
        <v>4891</v>
      </c>
      <c r="AS231" t="s">
        <v>4892</v>
      </c>
      <c r="AT231" t="s">
        <v>4616</v>
      </c>
      <c r="AU231">
        <v>2018</v>
      </c>
      <c r="AV231">
        <v>3</v>
      </c>
      <c r="AW231">
        <v>3</v>
      </c>
      <c r="AX231" t="s">
        <v>74</v>
      </c>
      <c r="AY231" t="s">
        <v>74</v>
      </c>
      <c r="AZ231" t="s">
        <v>74</v>
      </c>
      <c r="BA231" t="s">
        <v>74</v>
      </c>
      <c r="BB231" t="s">
        <v>74</v>
      </c>
      <c r="BC231" t="s">
        <v>74</v>
      </c>
      <c r="BD231">
        <v>25</v>
      </c>
      <c r="BE231" t="s">
        <v>4893</v>
      </c>
      <c r="BF231" t="str">
        <f>HYPERLINK("http://dx.doi.org/10.3390/condmat3030025","http://dx.doi.org/10.3390/condmat3030025")</f>
        <v>http://dx.doi.org/10.3390/condmat3030025</v>
      </c>
      <c r="BG231" t="s">
        <v>74</v>
      </c>
      <c r="BH231" t="s">
        <v>74</v>
      </c>
      <c r="BI231">
        <v>12</v>
      </c>
      <c r="BJ231" t="s">
        <v>4894</v>
      </c>
      <c r="BK231" t="s">
        <v>126</v>
      </c>
      <c r="BL231" t="s">
        <v>4895</v>
      </c>
      <c r="BM231" t="s">
        <v>4896</v>
      </c>
      <c r="BN231" t="s">
        <v>74</v>
      </c>
      <c r="BO231" t="s">
        <v>1063</v>
      </c>
      <c r="BP231" t="s">
        <v>74</v>
      </c>
      <c r="BQ231" t="s">
        <v>74</v>
      </c>
      <c r="BR231" t="s">
        <v>104</v>
      </c>
      <c r="BS231" t="s">
        <v>4897</v>
      </c>
      <c r="BT231" t="str">
        <f>HYPERLINK("https%3A%2F%2Fwww.webofscience.com%2Fwos%2Fwoscc%2Ffull-record%2FWOS:000445304300005","View Full Record in Web of Science")</f>
        <v>View Full Record in Web of Science</v>
      </c>
    </row>
    <row r="232" spans="1:72" x14ac:dyDescent="0.15">
      <c r="A232" t="s">
        <v>72</v>
      </c>
      <c r="B232" t="s">
        <v>4898</v>
      </c>
      <c r="C232" t="s">
        <v>74</v>
      </c>
      <c r="D232" t="s">
        <v>74</v>
      </c>
      <c r="E232" t="s">
        <v>74</v>
      </c>
      <c r="F232" t="s">
        <v>4899</v>
      </c>
      <c r="G232" t="s">
        <v>74</v>
      </c>
      <c r="H232" t="s">
        <v>74</v>
      </c>
      <c r="I232" t="s">
        <v>4900</v>
      </c>
      <c r="J232" t="s">
        <v>444</v>
      </c>
      <c r="K232" t="s">
        <v>74</v>
      </c>
      <c r="L232" t="s">
        <v>74</v>
      </c>
      <c r="M232" t="s">
        <v>78</v>
      </c>
      <c r="N232" t="s">
        <v>79</v>
      </c>
      <c r="O232" t="s">
        <v>74</v>
      </c>
      <c r="P232" t="s">
        <v>74</v>
      </c>
      <c r="Q232" t="s">
        <v>74</v>
      </c>
      <c r="R232" t="s">
        <v>74</v>
      </c>
      <c r="S232" t="s">
        <v>74</v>
      </c>
      <c r="T232" t="s">
        <v>4901</v>
      </c>
      <c r="U232" t="s">
        <v>4902</v>
      </c>
      <c r="V232" t="s">
        <v>4903</v>
      </c>
      <c r="W232" t="s">
        <v>4904</v>
      </c>
      <c r="X232" t="s">
        <v>4905</v>
      </c>
      <c r="Y232" t="s">
        <v>4906</v>
      </c>
      <c r="Z232" t="s">
        <v>4907</v>
      </c>
      <c r="AA232" t="s">
        <v>4908</v>
      </c>
      <c r="AB232" t="s">
        <v>4909</v>
      </c>
      <c r="AC232" t="s">
        <v>4910</v>
      </c>
      <c r="AD232" t="s">
        <v>4911</v>
      </c>
      <c r="AE232" t="s">
        <v>4912</v>
      </c>
      <c r="AF232" t="s">
        <v>74</v>
      </c>
      <c r="AG232">
        <v>61</v>
      </c>
      <c r="AH232">
        <v>4</v>
      </c>
      <c r="AI232">
        <v>4</v>
      </c>
      <c r="AJ232">
        <v>2</v>
      </c>
      <c r="AK232">
        <v>16</v>
      </c>
      <c r="AL232" t="s">
        <v>149</v>
      </c>
      <c r="AM232" t="s">
        <v>93</v>
      </c>
      <c r="AN232" t="s">
        <v>150</v>
      </c>
      <c r="AO232" t="s">
        <v>456</v>
      </c>
      <c r="AP232" t="s">
        <v>457</v>
      </c>
      <c r="AQ232" t="s">
        <v>74</v>
      </c>
      <c r="AR232" t="s">
        <v>458</v>
      </c>
      <c r="AS232" t="s">
        <v>459</v>
      </c>
      <c r="AT232" t="s">
        <v>4616</v>
      </c>
      <c r="AU232">
        <v>2018</v>
      </c>
      <c r="AV232">
        <v>139</v>
      </c>
      <c r="AW232" t="s">
        <v>74</v>
      </c>
      <c r="AX232" t="s">
        <v>74</v>
      </c>
      <c r="AY232" t="s">
        <v>74</v>
      </c>
      <c r="AZ232" t="s">
        <v>74</v>
      </c>
      <c r="BA232" t="s">
        <v>74</v>
      </c>
      <c r="BB232">
        <v>95</v>
      </c>
      <c r="BC232">
        <v>103</v>
      </c>
      <c r="BD232" t="s">
        <v>74</v>
      </c>
      <c r="BE232" t="s">
        <v>4913</v>
      </c>
      <c r="BF232" t="str">
        <f>HYPERLINK("http://dx.doi.org/10.1016/j.dsr.2018.07.017","http://dx.doi.org/10.1016/j.dsr.2018.07.017")</f>
        <v>http://dx.doi.org/10.1016/j.dsr.2018.07.017</v>
      </c>
      <c r="BG232" t="s">
        <v>74</v>
      </c>
      <c r="BH232" t="s">
        <v>74</v>
      </c>
      <c r="BI232">
        <v>9</v>
      </c>
      <c r="BJ232" t="s">
        <v>157</v>
      </c>
      <c r="BK232" t="s">
        <v>101</v>
      </c>
      <c r="BL232" t="s">
        <v>157</v>
      </c>
      <c r="BM232" t="s">
        <v>4914</v>
      </c>
      <c r="BN232" t="s">
        <v>74</v>
      </c>
      <c r="BO232" t="s">
        <v>486</v>
      </c>
      <c r="BP232" t="s">
        <v>74</v>
      </c>
      <c r="BQ232" t="s">
        <v>74</v>
      </c>
      <c r="BR232" t="s">
        <v>104</v>
      </c>
      <c r="BS232" t="s">
        <v>4915</v>
      </c>
      <c r="BT232" t="str">
        <f>HYPERLINK("https%3A%2F%2Fwww.webofscience.com%2Fwos%2Fwoscc%2Ffull-record%2FWOS:000446284300009","View Full Record in Web of Science")</f>
        <v>View Full Record in Web of Science</v>
      </c>
    </row>
    <row r="233" spans="1:72" x14ac:dyDescent="0.15">
      <c r="A233" t="s">
        <v>72</v>
      </c>
      <c r="B233" t="s">
        <v>4916</v>
      </c>
      <c r="C233" t="s">
        <v>74</v>
      </c>
      <c r="D233" t="s">
        <v>74</v>
      </c>
      <c r="E233" t="s">
        <v>74</v>
      </c>
      <c r="F233" t="s">
        <v>4917</v>
      </c>
      <c r="G233" t="s">
        <v>74</v>
      </c>
      <c r="H233" t="s">
        <v>74</v>
      </c>
      <c r="I233" t="s">
        <v>4918</v>
      </c>
      <c r="J233" t="s">
        <v>4919</v>
      </c>
      <c r="K233" t="s">
        <v>74</v>
      </c>
      <c r="L233" t="s">
        <v>74</v>
      </c>
      <c r="M233" t="s">
        <v>78</v>
      </c>
      <c r="N233" t="s">
        <v>79</v>
      </c>
      <c r="O233" t="s">
        <v>74</v>
      </c>
      <c r="P233" t="s">
        <v>74</v>
      </c>
      <c r="Q233" t="s">
        <v>74</v>
      </c>
      <c r="R233" t="s">
        <v>74</v>
      </c>
      <c r="S233" t="s">
        <v>74</v>
      </c>
      <c r="T233" t="s">
        <v>74</v>
      </c>
      <c r="U233" t="s">
        <v>4920</v>
      </c>
      <c r="V233" t="s">
        <v>4921</v>
      </c>
      <c r="W233" t="s">
        <v>4922</v>
      </c>
      <c r="X233" t="s">
        <v>4923</v>
      </c>
      <c r="Y233" t="s">
        <v>4924</v>
      </c>
      <c r="Z233" t="s">
        <v>4925</v>
      </c>
      <c r="AA233" t="s">
        <v>4926</v>
      </c>
      <c r="AB233" t="s">
        <v>4927</v>
      </c>
      <c r="AC233" t="s">
        <v>4928</v>
      </c>
      <c r="AD233" t="s">
        <v>4929</v>
      </c>
      <c r="AE233" t="s">
        <v>4930</v>
      </c>
      <c r="AF233" t="s">
        <v>74</v>
      </c>
      <c r="AG233">
        <v>94</v>
      </c>
      <c r="AH233">
        <v>2</v>
      </c>
      <c r="AI233">
        <v>2</v>
      </c>
      <c r="AJ233">
        <v>0</v>
      </c>
      <c r="AK233">
        <v>12</v>
      </c>
      <c r="AL233" t="s">
        <v>1053</v>
      </c>
      <c r="AM233" t="s">
        <v>1054</v>
      </c>
      <c r="AN233" t="s">
        <v>1055</v>
      </c>
      <c r="AO233" t="s">
        <v>74</v>
      </c>
      <c r="AP233" t="s">
        <v>4931</v>
      </c>
      <c r="AQ233" t="s">
        <v>74</v>
      </c>
      <c r="AR233" t="s">
        <v>4919</v>
      </c>
      <c r="AS233" t="s">
        <v>4932</v>
      </c>
      <c r="AT233" t="s">
        <v>4616</v>
      </c>
      <c r="AU233">
        <v>2018</v>
      </c>
      <c r="AV233">
        <v>10</v>
      </c>
      <c r="AW233">
        <v>3</v>
      </c>
      <c r="AX233" t="s">
        <v>74</v>
      </c>
      <c r="AY233" t="s">
        <v>74</v>
      </c>
      <c r="AZ233" t="s">
        <v>74</v>
      </c>
      <c r="BA233" t="s">
        <v>74</v>
      </c>
      <c r="BB233" t="s">
        <v>74</v>
      </c>
      <c r="BC233" t="s">
        <v>74</v>
      </c>
      <c r="BD233">
        <v>89</v>
      </c>
      <c r="BE233" t="s">
        <v>4933</v>
      </c>
      <c r="BF233" t="str">
        <f>HYPERLINK("http://dx.doi.org/10.3390/d10030089","http://dx.doi.org/10.3390/d10030089")</f>
        <v>http://dx.doi.org/10.3390/d10030089</v>
      </c>
      <c r="BG233" t="s">
        <v>74</v>
      </c>
      <c r="BH233" t="s">
        <v>74</v>
      </c>
      <c r="BI233">
        <v>19</v>
      </c>
      <c r="BJ233" t="s">
        <v>1209</v>
      </c>
      <c r="BK233" t="s">
        <v>101</v>
      </c>
      <c r="BL233" t="s">
        <v>1210</v>
      </c>
      <c r="BM233" t="s">
        <v>4934</v>
      </c>
      <c r="BN233" t="s">
        <v>74</v>
      </c>
      <c r="BO233" t="s">
        <v>1524</v>
      </c>
      <c r="BP233" t="s">
        <v>74</v>
      </c>
      <c r="BQ233" t="s">
        <v>74</v>
      </c>
      <c r="BR233" t="s">
        <v>104</v>
      </c>
      <c r="BS233" t="s">
        <v>4935</v>
      </c>
      <c r="BT233" t="str">
        <f>HYPERLINK("https%3A%2F%2Fwww.webofscience.com%2Fwos%2Fwoscc%2Ffull-record%2FWOS:000448402500041","View Full Record in Web of Science")</f>
        <v>View Full Record in Web of Science</v>
      </c>
    </row>
    <row r="234" spans="1:72" x14ac:dyDescent="0.15">
      <c r="A234" t="s">
        <v>72</v>
      </c>
      <c r="B234" t="s">
        <v>4936</v>
      </c>
      <c r="C234" t="s">
        <v>74</v>
      </c>
      <c r="D234" t="s">
        <v>74</v>
      </c>
      <c r="E234" t="s">
        <v>74</v>
      </c>
      <c r="F234" t="s">
        <v>4937</v>
      </c>
      <c r="G234" t="s">
        <v>74</v>
      </c>
      <c r="H234" t="s">
        <v>74</v>
      </c>
      <c r="I234" t="s">
        <v>4938</v>
      </c>
      <c r="J234" t="s">
        <v>4919</v>
      </c>
      <c r="K234" t="s">
        <v>74</v>
      </c>
      <c r="L234" t="s">
        <v>74</v>
      </c>
      <c r="M234" t="s">
        <v>78</v>
      </c>
      <c r="N234" t="s">
        <v>273</v>
      </c>
      <c r="O234" t="s">
        <v>74</v>
      </c>
      <c r="P234" t="s">
        <v>74</v>
      </c>
      <c r="Q234" t="s">
        <v>74</v>
      </c>
      <c r="R234" t="s">
        <v>74</v>
      </c>
      <c r="S234" t="s">
        <v>74</v>
      </c>
      <c r="T234" t="s">
        <v>74</v>
      </c>
      <c r="U234" t="s">
        <v>74</v>
      </c>
      <c r="V234" t="s">
        <v>4939</v>
      </c>
      <c r="W234" t="s">
        <v>4940</v>
      </c>
      <c r="X234" t="s">
        <v>4941</v>
      </c>
      <c r="Y234" t="s">
        <v>4942</v>
      </c>
      <c r="Z234" t="s">
        <v>4943</v>
      </c>
      <c r="AA234" t="s">
        <v>4944</v>
      </c>
      <c r="AB234" t="s">
        <v>74</v>
      </c>
      <c r="AC234" t="s">
        <v>4945</v>
      </c>
      <c r="AD234" t="s">
        <v>4946</v>
      </c>
      <c r="AE234" t="s">
        <v>4947</v>
      </c>
      <c r="AF234" t="s">
        <v>74</v>
      </c>
      <c r="AG234">
        <v>112</v>
      </c>
      <c r="AH234">
        <v>17</v>
      </c>
      <c r="AI234">
        <v>17</v>
      </c>
      <c r="AJ234">
        <v>1</v>
      </c>
      <c r="AK234">
        <v>8</v>
      </c>
      <c r="AL234" t="s">
        <v>1053</v>
      </c>
      <c r="AM234" t="s">
        <v>1054</v>
      </c>
      <c r="AN234" t="s">
        <v>1055</v>
      </c>
      <c r="AO234" t="s">
        <v>74</v>
      </c>
      <c r="AP234" t="s">
        <v>4931</v>
      </c>
      <c r="AQ234" t="s">
        <v>74</v>
      </c>
      <c r="AR234" t="s">
        <v>4919</v>
      </c>
      <c r="AS234" t="s">
        <v>4932</v>
      </c>
      <c r="AT234" t="s">
        <v>4616</v>
      </c>
      <c r="AU234">
        <v>2018</v>
      </c>
      <c r="AV234">
        <v>10</v>
      </c>
      <c r="AW234">
        <v>3</v>
      </c>
      <c r="AX234" t="s">
        <v>74</v>
      </c>
      <c r="AY234" t="s">
        <v>74</v>
      </c>
      <c r="AZ234" t="s">
        <v>74</v>
      </c>
      <c r="BA234" t="s">
        <v>74</v>
      </c>
      <c r="BB234" t="s">
        <v>74</v>
      </c>
      <c r="BC234" t="s">
        <v>74</v>
      </c>
      <c r="BD234">
        <v>80</v>
      </c>
      <c r="BE234" t="s">
        <v>4948</v>
      </c>
      <c r="BF234" t="str">
        <f>HYPERLINK("http://dx.doi.org/10.3390/d10030080","http://dx.doi.org/10.3390/d10030080")</f>
        <v>http://dx.doi.org/10.3390/d10030080</v>
      </c>
      <c r="BG234" t="s">
        <v>74</v>
      </c>
      <c r="BH234" t="s">
        <v>74</v>
      </c>
      <c r="BI234">
        <v>19</v>
      </c>
      <c r="BJ234" t="s">
        <v>1209</v>
      </c>
      <c r="BK234" t="s">
        <v>101</v>
      </c>
      <c r="BL234" t="s">
        <v>1210</v>
      </c>
      <c r="BM234" t="s">
        <v>4934</v>
      </c>
      <c r="BN234" t="s">
        <v>74</v>
      </c>
      <c r="BO234" t="s">
        <v>3382</v>
      </c>
      <c r="BP234" t="s">
        <v>74</v>
      </c>
      <c r="BQ234" t="s">
        <v>74</v>
      </c>
      <c r="BR234" t="s">
        <v>104</v>
      </c>
      <c r="BS234" t="s">
        <v>4949</v>
      </c>
      <c r="BT234" t="str">
        <f>HYPERLINK("https%3A%2F%2Fwww.webofscience.com%2Fwos%2Fwoscc%2Ffull-record%2FWOS:000448402500032","View Full Record in Web of Science")</f>
        <v>View Full Record in Web of Science</v>
      </c>
    </row>
    <row r="235" spans="1:72" x14ac:dyDescent="0.15">
      <c r="A235" t="s">
        <v>72</v>
      </c>
      <c r="B235" t="s">
        <v>4950</v>
      </c>
      <c r="C235" t="s">
        <v>74</v>
      </c>
      <c r="D235" t="s">
        <v>74</v>
      </c>
      <c r="E235" t="s">
        <v>74</v>
      </c>
      <c r="F235" t="s">
        <v>4951</v>
      </c>
      <c r="G235" t="s">
        <v>74</v>
      </c>
      <c r="H235" t="s">
        <v>74</v>
      </c>
      <c r="I235" t="s">
        <v>4952</v>
      </c>
      <c r="J235" t="s">
        <v>4919</v>
      </c>
      <c r="K235" t="s">
        <v>74</v>
      </c>
      <c r="L235" t="s">
        <v>74</v>
      </c>
      <c r="M235" t="s">
        <v>78</v>
      </c>
      <c r="N235" t="s">
        <v>273</v>
      </c>
      <c r="O235" t="s">
        <v>74</v>
      </c>
      <c r="P235" t="s">
        <v>74</v>
      </c>
      <c r="Q235" t="s">
        <v>74</v>
      </c>
      <c r="R235" t="s">
        <v>74</v>
      </c>
      <c r="S235" t="s">
        <v>74</v>
      </c>
      <c r="T235" t="s">
        <v>74</v>
      </c>
      <c r="U235" t="s">
        <v>4953</v>
      </c>
      <c r="V235" t="s">
        <v>4954</v>
      </c>
      <c r="W235" t="s">
        <v>4955</v>
      </c>
      <c r="X235" t="s">
        <v>4956</v>
      </c>
      <c r="Y235" t="s">
        <v>4957</v>
      </c>
      <c r="Z235" t="s">
        <v>4958</v>
      </c>
      <c r="AA235" t="s">
        <v>4944</v>
      </c>
      <c r="AB235" t="s">
        <v>74</v>
      </c>
      <c r="AC235" t="s">
        <v>74</v>
      </c>
      <c r="AD235" t="s">
        <v>74</v>
      </c>
      <c r="AE235" t="s">
        <v>74</v>
      </c>
      <c r="AF235" t="s">
        <v>74</v>
      </c>
      <c r="AG235">
        <v>224</v>
      </c>
      <c r="AH235">
        <v>4</v>
      </c>
      <c r="AI235">
        <v>5</v>
      </c>
      <c r="AJ235">
        <v>0</v>
      </c>
      <c r="AK235">
        <v>14</v>
      </c>
      <c r="AL235" t="s">
        <v>1053</v>
      </c>
      <c r="AM235" t="s">
        <v>1054</v>
      </c>
      <c r="AN235" t="s">
        <v>1055</v>
      </c>
      <c r="AO235" t="s">
        <v>74</v>
      </c>
      <c r="AP235" t="s">
        <v>4931</v>
      </c>
      <c r="AQ235" t="s">
        <v>74</v>
      </c>
      <c r="AR235" t="s">
        <v>4919</v>
      </c>
      <c r="AS235" t="s">
        <v>4932</v>
      </c>
      <c r="AT235" t="s">
        <v>4616</v>
      </c>
      <c r="AU235">
        <v>2018</v>
      </c>
      <c r="AV235">
        <v>10</v>
      </c>
      <c r="AW235">
        <v>3</v>
      </c>
      <c r="AX235" t="s">
        <v>74</v>
      </c>
      <c r="AY235" t="s">
        <v>74</v>
      </c>
      <c r="AZ235" t="s">
        <v>74</v>
      </c>
      <c r="BA235" t="s">
        <v>74</v>
      </c>
      <c r="BB235" t="s">
        <v>74</v>
      </c>
      <c r="BC235" t="s">
        <v>74</v>
      </c>
      <c r="BD235">
        <v>52</v>
      </c>
      <c r="BE235" t="s">
        <v>4959</v>
      </c>
      <c r="BF235" t="str">
        <f>HYPERLINK("http://dx.doi.org/10.3390/d10030052","http://dx.doi.org/10.3390/d10030052")</f>
        <v>http://dx.doi.org/10.3390/d10030052</v>
      </c>
      <c r="BG235" t="s">
        <v>74</v>
      </c>
      <c r="BH235" t="s">
        <v>74</v>
      </c>
      <c r="BI235">
        <v>36</v>
      </c>
      <c r="BJ235" t="s">
        <v>1209</v>
      </c>
      <c r="BK235" t="s">
        <v>101</v>
      </c>
      <c r="BL235" t="s">
        <v>1210</v>
      </c>
      <c r="BM235" t="s">
        <v>4934</v>
      </c>
      <c r="BN235" t="s">
        <v>74</v>
      </c>
      <c r="BO235" t="s">
        <v>1524</v>
      </c>
      <c r="BP235" t="s">
        <v>74</v>
      </c>
      <c r="BQ235" t="s">
        <v>74</v>
      </c>
      <c r="BR235" t="s">
        <v>104</v>
      </c>
      <c r="BS235" t="s">
        <v>4960</v>
      </c>
      <c r="BT235" t="str">
        <f>HYPERLINK("https%3A%2F%2Fwww.webofscience.com%2Fwos%2Fwoscc%2Ffull-record%2FWOS:000448402500004","View Full Record in Web of Science")</f>
        <v>View Full Record in Web of Science</v>
      </c>
    </row>
    <row r="236" spans="1:72" x14ac:dyDescent="0.15">
      <c r="A236" t="s">
        <v>72</v>
      </c>
      <c r="B236" t="s">
        <v>4961</v>
      </c>
      <c r="C236" t="s">
        <v>74</v>
      </c>
      <c r="D236" t="s">
        <v>74</v>
      </c>
      <c r="E236" t="s">
        <v>74</v>
      </c>
      <c r="F236" t="s">
        <v>4962</v>
      </c>
      <c r="G236" t="s">
        <v>74</v>
      </c>
      <c r="H236" t="s">
        <v>74</v>
      </c>
      <c r="I236" t="s">
        <v>4963</v>
      </c>
      <c r="J236" t="s">
        <v>1482</v>
      </c>
      <c r="K236" t="s">
        <v>74</v>
      </c>
      <c r="L236" t="s">
        <v>74</v>
      </c>
      <c r="M236" t="s">
        <v>78</v>
      </c>
      <c r="N236" t="s">
        <v>79</v>
      </c>
      <c r="O236" t="s">
        <v>74</v>
      </c>
      <c r="P236" t="s">
        <v>74</v>
      </c>
      <c r="Q236" t="s">
        <v>74</v>
      </c>
      <c r="R236" t="s">
        <v>74</v>
      </c>
      <c r="S236" t="s">
        <v>74</v>
      </c>
      <c r="T236" t="s">
        <v>4964</v>
      </c>
      <c r="U236" t="s">
        <v>4965</v>
      </c>
      <c r="V236" t="s">
        <v>4966</v>
      </c>
      <c r="W236" t="s">
        <v>4967</v>
      </c>
      <c r="X236" t="s">
        <v>4968</v>
      </c>
      <c r="Y236" t="s">
        <v>4969</v>
      </c>
      <c r="Z236" t="s">
        <v>4970</v>
      </c>
      <c r="AA236" t="s">
        <v>4971</v>
      </c>
      <c r="AB236" t="s">
        <v>4972</v>
      </c>
      <c r="AC236" t="s">
        <v>4973</v>
      </c>
      <c r="AD236" t="s">
        <v>4974</v>
      </c>
      <c r="AE236" t="s">
        <v>4975</v>
      </c>
      <c r="AF236" t="s">
        <v>74</v>
      </c>
      <c r="AG236">
        <v>39</v>
      </c>
      <c r="AH236">
        <v>9</v>
      </c>
      <c r="AI236">
        <v>9</v>
      </c>
      <c r="AJ236">
        <v>0</v>
      </c>
      <c r="AK236">
        <v>14</v>
      </c>
      <c r="AL236" t="s">
        <v>758</v>
      </c>
      <c r="AM236" t="s">
        <v>759</v>
      </c>
      <c r="AN236" t="s">
        <v>760</v>
      </c>
      <c r="AO236" t="s">
        <v>1495</v>
      </c>
      <c r="AP236" t="s">
        <v>74</v>
      </c>
      <c r="AQ236" t="s">
        <v>74</v>
      </c>
      <c r="AR236" t="s">
        <v>1496</v>
      </c>
      <c r="AS236" t="s">
        <v>1497</v>
      </c>
      <c r="AT236" t="s">
        <v>4616</v>
      </c>
      <c r="AU236">
        <v>2018</v>
      </c>
      <c r="AV236">
        <v>8</v>
      </c>
      <c r="AW236">
        <v>17</v>
      </c>
      <c r="AX236" t="s">
        <v>74</v>
      </c>
      <c r="AY236" t="s">
        <v>74</v>
      </c>
      <c r="AZ236" t="s">
        <v>74</v>
      </c>
      <c r="BA236" t="s">
        <v>74</v>
      </c>
      <c r="BB236">
        <v>9086</v>
      </c>
      <c r="BC236">
        <v>9094</v>
      </c>
      <c r="BD236" t="s">
        <v>74</v>
      </c>
      <c r="BE236" t="s">
        <v>4976</v>
      </c>
      <c r="BF236" t="str">
        <f>HYPERLINK("http://dx.doi.org/10.1002/ece3.4463","http://dx.doi.org/10.1002/ece3.4463")</f>
        <v>http://dx.doi.org/10.1002/ece3.4463</v>
      </c>
      <c r="BG236" t="s">
        <v>74</v>
      </c>
      <c r="BH236" t="s">
        <v>74</v>
      </c>
      <c r="BI236">
        <v>9</v>
      </c>
      <c r="BJ236" t="s">
        <v>1499</v>
      </c>
      <c r="BK236" t="s">
        <v>101</v>
      </c>
      <c r="BL236" t="s">
        <v>1500</v>
      </c>
      <c r="BM236" t="s">
        <v>4977</v>
      </c>
      <c r="BN236">
        <v>30271568</v>
      </c>
      <c r="BO236" t="s">
        <v>439</v>
      </c>
      <c r="BP236" t="s">
        <v>74</v>
      </c>
      <c r="BQ236" t="s">
        <v>74</v>
      </c>
      <c r="BR236" t="s">
        <v>104</v>
      </c>
      <c r="BS236" t="s">
        <v>4978</v>
      </c>
      <c r="BT236" t="str">
        <f>HYPERLINK("https%3A%2F%2Fwww.webofscience.com%2Fwos%2Fwoscc%2Ffull-record%2FWOS:000445606000036","View Full Record in Web of Science")</f>
        <v>View Full Record in Web of Science</v>
      </c>
    </row>
    <row r="237" spans="1:72" x14ac:dyDescent="0.15">
      <c r="A237" t="s">
        <v>72</v>
      </c>
      <c r="B237" t="s">
        <v>4979</v>
      </c>
      <c r="C237" t="s">
        <v>74</v>
      </c>
      <c r="D237" t="s">
        <v>74</v>
      </c>
      <c r="E237" t="s">
        <v>74</v>
      </c>
      <c r="F237" t="s">
        <v>4980</v>
      </c>
      <c r="G237" t="s">
        <v>74</v>
      </c>
      <c r="H237" t="s">
        <v>74</v>
      </c>
      <c r="I237" t="s">
        <v>4981</v>
      </c>
      <c r="J237" t="s">
        <v>4982</v>
      </c>
      <c r="K237" t="s">
        <v>74</v>
      </c>
      <c r="L237" t="s">
        <v>74</v>
      </c>
      <c r="M237" t="s">
        <v>78</v>
      </c>
      <c r="N237" t="s">
        <v>79</v>
      </c>
      <c r="O237" t="s">
        <v>74</v>
      </c>
      <c r="P237" t="s">
        <v>74</v>
      </c>
      <c r="Q237" t="s">
        <v>74</v>
      </c>
      <c r="R237" t="s">
        <v>74</v>
      </c>
      <c r="S237" t="s">
        <v>74</v>
      </c>
      <c r="T237" t="s">
        <v>4983</v>
      </c>
      <c r="U237" t="s">
        <v>4984</v>
      </c>
      <c r="V237" t="s">
        <v>4985</v>
      </c>
      <c r="W237" t="s">
        <v>4986</v>
      </c>
      <c r="X237" t="s">
        <v>4987</v>
      </c>
      <c r="Y237" t="s">
        <v>4988</v>
      </c>
      <c r="Z237" t="s">
        <v>4989</v>
      </c>
      <c r="AA237" t="s">
        <v>4990</v>
      </c>
      <c r="AB237" t="s">
        <v>4991</v>
      </c>
      <c r="AC237" t="s">
        <v>4992</v>
      </c>
      <c r="AD237" t="s">
        <v>4993</v>
      </c>
      <c r="AE237" t="s">
        <v>4994</v>
      </c>
      <c r="AF237" t="s">
        <v>74</v>
      </c>
      <c r="AG237">
        <v>60</v>
      </c>
      <c r="AH237">
        <v>42</v>
      </c>
      <c r="AI237">
        <v>44</v>
      </c>
      <c r="AJ237">
        <v>4</v>
      </c>
      <c r="AK237">
        <v>83</v>
      </c>
      <c r="AL237" t="s">
        <v>201</v>
      </c>
      <c r="AM237" t="s">
        <v>93</v>
      </c>
      <c r="AN237" t="s">
        <v>202</v>
      </c>
      <c r="AO237" t="s">
        <v>4995</v>
      </c>
      <c r="AP237" t="s">
        <v>4996</v>
      </c>
      <c r="AQ237" t="s">
        <v>74</v>
      </c>
      <c r="AR237" t="s">
        <v>4997</v>
      </c>
      <c r="AS237" t="s">
        <v>4998</v>
      </c>
      <c r="AT237" t="s">
        <v>4616</v>
      </c>
      <c r="AU237">
        <v>2018</v>
      </c>
      <c r="AV237">
        <v>87</v>
      </c>
      <c r="AW237" t="s">
        <v>74</v>
      </c>
      <c r="AX237" t="s">
        <v>74</v>
      </c>
      <c r="AY237" t="s">
        <v>74</v>
      </c>
      <c r="AZ237" t="s">
        <v>74</v>
      </c>
      <c r="BA237" t="s">
        <v>74</v>
      </c>
      <c r="BB237">
        <v>92</v>
      </c>
      <c r="BC237">
        <v>101</v>
      </c>
      <c r="BD237" t="s">
        <v>74</v>
      </c>
      <c r="BE237" t="s">
        <v>4999</v>
      </c>
      <c r="BF237" t="str">
        <f>HYPERLINK("http://dx.doi.org/10.1016/j.envsci.2018.06.001","http://dx.doi.org/10.1016/j.envsci.2018.06.001")</f>
        <v>http://dx.doi.org/10.1016/j.envsci.2018.06.001</v>
      </c>
      <c r="BG237" t="s">
        <v>74</v>
      </c>
      <c r="BH237" t="s">
        <v>74</v>
      </c>
      <c r="BI237">
        <v>10</v>
      </c>
      <c r="BJ237" t="s">
        <v>558</v>
      </c>
      <c r="BK237" t="s">
        <v>1140</v>
      </c>
      <c r="BL237" t="s">
        <v>559</v>
      </c>
      <c r="BM237" t="s">
        <v>5000</v>
      </c>
      <c r="BN237" t="s">
        <v>74</v>
      </c>
      <c r="BO237" t="s">
        <v>211</v>
      </c>
      <c r="BP237" t="s">
        <v>74</v>
      </c>
      <c r="BQ237" t="s">
        <v>74</v>
      </c>
      <c r="BR237" t="s">
        <v>104</v>
      </c>
      <c r="BS237" t="s">
        <v>5001</v>
      </c>
      <c r="BT237" t="str">
        <f>HYPERLINK("https%3A%2F%2Fwww.webofscience.com%2Fwos%2Fwoscc%2Ffull-record%2FWOS:000437066600011","View Full Record in Web of Science")</f>
        <v>View Full Record in Web of Science</v>
      </c>
    </row>
    <row r="238" spans="1:72" x14ac:dyDescent="0.15">
      <c r="A238" t="s">
        <v>72</v>
      </c>
      <c r="B238" t="s">
        <v>5002</v>
      </c>
      <c r="C238" t="s">
        <v>74</v>
      </c>
      <c r="D238" t="s">
        <v>74</v>
      </c>
      <c r="E238" t="s">
        <v>74</v>
      </c>
      <c r="F238" t="s">
        <v>5003</v>
      </c>
      <c r="G238" t="s">
        <v>74</v>
      </c>
      <c r="H238" t="s">
        <v>74</v>
      </c>
      <c r="I238" t="s">
        <v>5004</v>
      </c>
      <c r="J238" t="s">
        <v>5005</v>
      </c>
      <c r="K238" t="s">
        <v>74</v>
      </c>
      <c r="L238" t="s">
        <v>74</v>
      </c>
      <c r="M238" t="s">
        <v>78</v>
      </c>
      <c r="N238" t="s">
        <v>79</v>
      </c>
      <c r="O238" t="s">
        <v>74</v>
      </c>
      <c r="P238" t="s">
        <v>74</v>
      </c>
      <c r="Q238" t="s">
        <v>74</v>
      </c>
      <c r="R238" t="s">
        <v>74</v>
      </c>
      <c r="S238" t="s">
        <v>74</v>
      </c>
      <c r="T238" t="s">
        <v>5006</v>
      </c>
      <c r="U238" t="s">
        <v>5007</v>
      </c>
      <c r="V238" t="s">
        <v>5008</v>
      </c>
      <c r="W238" t="s">
        <v>5009</v>
      </c>
      <c r="X238" t="s">
        <v>5010</v>
      </c>
      <c r="Y238" t="s">
        <v>5011</v>
      </c>
      <c r="Z238" t="s">
        <v>5012</v>
      </c>
      <c r="AA238" t="s">
        <v>5013</v>
      </c>
      <c r="AB238" t="s">
        <v>5014</v>
      </c>
      <c r="AC238" t="s">
        <v>5015</v>
      </c>
      <c r="AD238" t="s">
        <v>5016</v>
      </c>
      <c r="AE238" t="s">
        <v>5017</v>
      </c>
      <c r="AF238" t="s">
        <v>74</v>
      </c>
      <c r="AG238">
        <v>47</v>
      </c>
      <c r="AH238">
        <v>12</v>
      </c>
      <c r="AI238">
        <v>12</v>
      </c>
      <c r="AJ238">
        <v>5</v>
      </c>
      <c r="AK238">
        <v>28</v>
      </c>
      <c r="AL238" t="s">
        <v>5018</v>
      </c>
      <c r="AM238" t="s">
        <v>5019</v>
      </c>
      <c r="AN238" t="s">
        <v>5020</v>
      </c>
      <c r="AO238" t="s">
        <v>5021</v>
      </c>
      <c r="AP238" t="s">
        <v>5022</v>
      </c>
      <c r="AQ238" t="s">
        <v>74</v>
      </c>
      <c r="AR238" t="s">
        <v>5023</v>
      </c>
      <c r="AS238" t="s">
        <v>5024</v>
      </c>
      <c r="AT238" t="s">
        <v>4616</v>
      </c>
      <c r="AU238">
        <v>2018</v>
      </c>
      <c r="AV238">
        <v>84</v>
      </c>
      <c r="AW238">
        <v>5</v>
      </c>
      <c r="AX238" t="s">
        <v>74</v>
      </c>
      <c r="AY238" t="s">
        <v>74</v>
      </c>
      <c r="AZ238" t="s">
        <v>74</v>
      </c>
      <c r="BA238" t="s">
        <v>74</v>
      </c>
      <c r="BB238">
        <v>815</v>
      </c>
      <c r="BC238">
        <v>823</v>
      </c>
      <c r="BD238" t="s">
        <v>74</v>
      </c>
      <c r="BE238" t="s">
        <v>5025</v>
      </c>
      <c r="BF238" t="str">
        <f>HYPERLINK("http://dx.doi.org/10.1007/s12562-018-1224-3","http://dx.doi.org/10.1007/s12562-018-1224-3")</f>
        <v>http://dx.doi.org/10.1007/s12562-018-1224-3</v>
      </c>
      <c r="BG238" t="s">
        <v>74</v>
      </c>
      <c r="BH238" t="s">
        <v>74</v>
      </c>
      <c r="BI238">
        <v>9</v>
      </c>
      <c r="BJ238" t="s">
        <v>3009</v>
      </c>
      <c r="BK238" t="s">
        <v>101</v>
      </c>
      <c r="BL238" t="s">
        <v>3009</v>
      </c>
      <c r="BM238" t="s">
        <v>5026</v>
      </c>
      <c r="BN238" t="s">
        <v>74</v>
      </c>
      <c r="BO238" t="s">
        <v>74</v>
      </c>
      <c r="BP238" t="s">
        <v>74</v>
      </c>
      <c r="BQ238" t="s">
        <v>74</v>
      </c>
      <c r="BR238" t="s">
        <v>104</v>
      </c>
      <c r="BS238" t="s">
        <v>5027</v>
      </c>
      <c r="BT238" t="str">
        <f>HYPERLINK("https%3A%2F%2Fwww.webofscience.com%2Fwos%2Fwoscc%2Ffull-record%2FWOS:000442664800009","View Full Record in Web of Science")</f>
        <v>View Full Record in Web of Science</v>
      </c>
    </row>
    <row r="239" spans="1:72" x14ac:dyDescent="0.15">
      <c r="A239" t="s">
        <v>72</v>
      </c>
      <c r="B239" t="s">
        <v>5028</v>
      </c>
      <c r="C239" t="s">
        <v>74</v>
      </c>
      <c r="D239" t="s">
        <v>74</v>
      </c>
      <c r="E239" t="s">
        <v>74</v>
      </c>
      <c r="F239" t="s">
        <v>5029</v>
      </c>
      <c r="G239" t="s">
        <v>74</v>
      </c>
      <c r="H239" t="s">
        <v>74</v>
      </c>
      <c r="I239" t="s">
        <v>5030</v>
      </c>
      <c r="J239" t="s">
        <v>5031</v>
      </c>
      <c r="K239" t="s">
        <v>74</v>
      </c>
      <c r="L239" t="s">
        <v>74</v>
      </c>
      <c r="M239" t="s">
        <v>78</v>
      </c>
      <c r="N239" t="s">
        <v>79</v>
      </c>
      <c r="O239" t="s">
        <v>74</v>
      </c>
      <c r="P239" t="s">
        <v>74</v>
      </c>
      <c r="Q239" t="s">
        <v>74</v>
      </c>
      <c r="R239" t="s">
        <v>74</v>
      </c>
      <c r="S239" t="s">
        <v>74</v>
      </c>
      <c r="T239" t="s">
        <v>5032</v>
      </c>
      <c r="U239" t="s">
        <v>5033</v>
      </c>
      <c r="V239" t="s">
        <v>5034</v>
      </c>
      <c r="W239" t="s">
        <v>5035</v>
      </c>
      <c r="X239" t="s">
        <v>5036</v>
      </c>
      <c r="Y239" t="s">
        <v>5037</v>
      </c>
      <c r="Z239" t="s">
        <v>5038</v>
      </c>
      <c r="AA239" t="s">
        <v>5039</v>
      </c>
      <c r="AB239" t="s">
        <v>5040</v>
      </c>
      <c r="AC239" t="s">
        <v>4888</v>
      </c>
      <c r="AD239" t="s">
        <v>4888</v>
      </c>
      <c r="AE239" t="s">
        <v>5041</v>
      </c>
      <c r="AF239" t="s">
        <v>74</v>
      </c>
      <c r="AG239">
        <v>93</v>
      </c>
      <c r="AH239">
        <v>11</v>
      </c>
      <c r="AI239">
        <v>12</v>
      </c>
      <c r="AJ239">
        <v>0</v>
      </c>
      <c r="AK239">
        <v>21</v>
      </c>
      <c r="AL239" t="s">
        <v>503</v>
      </c>
      <c r="AM239" t="s">
        <v>504</v>
      </c>
      <c r="AN239" t="s">
        <v>505</v>
      </c>
      <c r="AO239" t="s">
        <v>74</v>
      </c>
      <c r="AP239" t="s">
        <v>5042</v>
      </c>
      <c r="AQ239" t="s">
        <v>74</v>
      </c>
      <c r="AR239" t="s">
        <v>5043</v>
      </c>
      <c r="AS239" t="s">
        <v>5044</v>
      </c>
      <c r="AT239" t="s">
        <v>4616</v>
      </c>
      <c r="AU239">
        <v>2018</v>
      </c>
      <c r="AV239">
        <v>19</v>
      </c>
      <c r="AW239">
        <v>9</v>
      </c>
      <c r="AX239" t="s">
        <v>74</v>
      </c>
      <c r="AY239" t="s">
        <v>74</v>
      </c>
      <c r="AZ239" t="s">
        <v>74</v>
      </c>
      <c r="BA239" t="s">
        <v>74</v>
      </c>
      <c r="BB239">
        <v>3540</v>
      </c>
      <c r="BC239">
        <v>3554</v>
      </c>
      <c r="BD239" t="s">
        <v>74</v>
      </c>
      <c r="BE239" t="s">
        <v>5045</v>
      </c>
      <c r="BF239" t="str">
        <f>HYPERLINK("http://dx.doi.org/10.1029/2018GC007658","http://dx.doi.org/10.1029/2018GC007658")</f>
        <v>http://dx.doi.org/10.1029/2018GC007658</v>
      </c>
      <c r="BG239" t="s">
        <v>74</v>
      </c>
      <c r="BH239" t="s">
        <v>74</v>
      </c>
      <c r="BI239">
        <v>15</v>
      </c>
      <c r="BJ239" t="s">
        <v>484</v>
      </c>
      <c r="BK239" t="s">
        <v>101</v>
      </c>
      <c r="BL239" t="s">
        <v>484</v>
      </c>
      <c r="BM239" t="s">
        <v>5046</v>
      </c>
      <c r="BN239" t="s">
        <v>74</v>
      </c>
      <c r="BO239" t="s">
        <v>835</v>
      </c>
      <c r="BP239" t="s">
        <v>74</v>
      </c>
      <c r="BQ239" t="s">
        <v>74</v>
      </c>
      <c r="BR239" t="s">
        <v>104</v>
      </c>
      <c r="BS239" t="s">
        <v>5047</v>
      </c>
      <c r="BT239" t="str">
        <f>HYPERLINK("https%3A%2F%2Fwww.webofscience.com%2Fwos%2Fwoscc%2Ffull-record%2FWOS:000448475100038","View Full Record in Web of Science")</f>
        <v>View Full Record in Web of Science</v>
      </c>
    </row>
    <row r="240" spans="1:72" x14ac:dyDescent="0.15">
      <c r="A240" t="s">
        <v>72</v>
      </c>
      <c r="B240" t="s">
        <v>5048</v>
      </c>
      <c r="C240" t="s">
        <v>74</v>
      </c>
      <c r="D240" t="s">
        <v>74</v>
      </c>
      <c r="E240" t="s">
        <v>74</v>
      </c>
      <c r="F240" t="s">
        <v>5049</v>
      </c>
      <c r="G240" t="s">
        <v>74</v>
      </c>
      <c r="H240" t="s">
        <v>74</v>
      </c>
      <c r="I240" t="s">
        <v>5050</v>
      </c>
      <c r="J240" t="s">
        <v>2382</v>
      </c>
      <c r="K240" t="s">
        <v>74</v>
      </c>
      <c r="L240" t="s">
        <v>74</v>
      </c>
      <c r="M240" t="s">
        <v>78</v>
      </c>
      <c r="N240" t="s">
        <v>79</v>
      </c>
      <c r="O240" t="s">
        <v>74</v>
      </c>
      <c r="P240" t="s">
        <v>74</v>
      </c>
      <c r="Q240" t="s">
        <v>74</v>
      </c>
      <c r="R240" t="s">
        <v>74</v>
      </c>
      <c r="S240" t="s">
        <v>74</v>
      </c>
      <c r="T240" t="s">
        <v>74</v>
      </c>
      <c r="U240" t="s">
        <v>5051</v>
      </c>
      <c r="V240" t="s">
        <v>5052</v>
      </c>
      <c r="W240" t="s">
        <v>5053</v>
      </c>
      <c r="X240" t="s">
        <v>5054</v>
      </c>
      <c r="Y240" t="s">
        <v>5055</v>
      </c>
      <c r="Z240" t="s">
        <v>5056</v>
      </c>
      <c r="AA240" t="s">
        <v>74</v>
      </c>
      <c r="AB240" t="s">
        <v>5057</v>
      </c>
      <c r="AC240" t="s">
        <v>5058</v>
      </c>
      <c r="AD240" t="s">
        <v>5059</v>
      </c>
      <c r="AE240" t="s">
        <v>5060</v>
      </c>
      <c r="AF240" t="s">
        <v>74</v>
      </c>
      <c r="AG240">
        <v>37</v>
      </c>
      <c r="AH240">
        <v>1</v>
      </c>
      <c r="AI240">
        <v>1</v>
      </c>
      <c r="AJ240">
        <v>0</v>
      </c>
      <c r="AK240">
        <v>16</v>
      </c>
      <c r="AL240" t="s">
        <v>2393</v>
      </c>
      <c r="AM240" t="s">
        <v>2394</v>
      </c>
      <c r="AN240" t="s">
        <v>2395</v>
      </c>
      <c r="AO240" t="s">
        <v>2396</v>
      </c>
      <c r="AP240" t="s">
        <v>2397</v>
      </c>
      <c r="AQ240" t="s">
        <v>74</v>
      </c>
      <c r="AR240" t="s">
        <v>2382</v>
      </c>
      <c r="AS240" t="s">
        <v>183</v>
      </c>
      <c r="AT240" t="s">
        <v>4616</v>
      </c>
      <c r="AU240">
        <v>2018</v>
      </c>
      <c r="AV240">
        <v>46</v>
      </c>
      <c r="AW240">
        <v>9</v>
      </c>
      <c r="AX240" t="s">
        <v>74</v>
      </c>
      <c r="AY240" t="s">
        <v>74</v>
      </c>
      <c r="AZ240" t="s">
        <v>74</v>
      </c>
      <c r="BA240" t="s">
        <v>74</v>
      </c>
      <c r="BB240">
        <v>811</v>
      </c>
      <c r="BC240">
        <v>814</v>
      </c>
      <c r="BD240" t="s">
        <v>74</v>
      </c>
      <c r="BE240" t="s">
        <v>5061</v>
      </c>
      <c r="BF240" t="str">
        <f>HYPERLINK("http://dx.doi.org/10.1130/G45048.1","http://dx.doi.org/10.1130/G45048.1")</f>
        <v>http://dx.doi.org/10.1130/G45048.1</v>
      </c>
      <c r="BG240" t="s">
        <v>74</v>
      </c>
      <c r="BH240" t="s">
        <v>74</v>
      </c>
      <c r="BI240">
        <v>4</v>
      </c>
      <c r="BJ240" t="s">
        <v>183</v>
      </c>
      <c r="BK240" t="s">
        <v>101</v>
      </c>
      <c r="BL240" t="s">
        <v>183</v>
      </c>
      <c r="BM240" t="s">
        <v>5062</v>
      </c>
      <c r="BN240" t="s">
        <v>74</v>
      </c>
      <c r="BO240" t="s">
        <v>74</v>
      </c>
      <c r="BP240" t="s">
        <v>74</v>
      </c>
      <c r="BQ240" t="s">
        <v>74</v>
      </c>
      <c r="BR240" t="s">
        <v>104</v>
      </c>
      <c r="BS240" t="s">
        <v>5063</v>
      </c>
      <c r="BT240" t="str">
        <f>HYPERLINK("https%3A%2F%2Fwww.webofscience.com%2Fwos%2Fwoscc%2Ffull-record%2FWOS:000442904600021","View Full Record in Web of Science")</f>
        <v>View Full Record in Web of Science</v>
      </c>
    </row>
    <row r="241" spans="1:72" x14ac:dyDescent="0.15">
      <c r="A241" t="s">
        <v>72</v>
      </c>
      <c r="B241" t="s">
        <v>5064</v>
      </c>
      <c r="C241" t="s">
        <v>74</v>
      </c>
      <c r="D241" t="s">
        <v>74</v>
      </c>
      <c r="E241" t="s">
        <v>74</v>
      </c>
      <c r="F241" t="s">
        <v>5065</v>
      </c>
      <c r="G241" t="s">
        <v>74</v>
      </c>
      <c r="H241" t="s">
        <v>74</v>
      </c>
      <c r="I241" t="s">
        <v>5066</v>
      </c>
      <c r="J241" t="s">
        <v>5067</v>
      </c>
      <c r="K241" t="s">
        <v>74</v>
      </c>
      <c r="L241" t="s">
        <v>74</v>
      </c>
      <c r="M241" t="s">
        <v>78</v>
      </c>
      <c r="N241" t="s">
        <v>79</v>
      </c>
      <c r="O241" t="s">
        <v>74</v>
      </c>
      <c r="P241" t="s">
        <v>74</v>
      </c>
      <c r="Q241" t="s">
        <v>74</v>
      </c>
      <c r="R241" t="s">
        <v>74</v>
      </c>
      <c r="S241" t="s">
        <v>74</v>
      </c>
      <c r="T241" t="s">
        <v>5068</v>
      </c>
      <c r="U241" t="s">
        <v>5069</v>
      </c>
      <c r="V241" t="s">
        <v>5070</v>
      </c>
      <c r="W241" t="s">
        <v>5071</v>
      </c>
      <c r="X241" t="s">
        <v>5072</v>
      </c>
      <c r="Y241" t="s">
        <v>5073</v>
      </c>
      <c r="Z241" t="s">
        <v>5074</v>
      </c>
      <c r="AA241" t="s">
        <v>74</v>
      </c>
      <c r="AB241" t="s">
        <v>74</v>
      </c>
      <c r="AC241" t="s">
        <v>5075</v>
      </c>
      <c r="AD241" t="s">
        <v>5076</v>
      </c>
      <c r="AE241" t="s">
        <v>5077</v>
      </c>
      <c r="AF241" t="s">
        <v>74</v>
      </c>
      <c r="AG241">
        <v>9</v>
      </c>
      <c r="AH241">
        <v>0</v>
      </c>
      <c r="AI241">
        <v>0</v>
      </c>
      <c r="AJ241">
        <v>0</v>
      </c>
      <c r="AK241">
        <v>1</v>
      </c>
      <c r="AL241" t="s">
        <v>5078</v>
      </c>
      <c r="AM241" t="s">
        <v>2037</v>
      </c>
      <c r="AN241" t="s">
        <v>5079</v>
      </c>
      <c r="AO241" t="s">
        <v>5080</v>
      </c>
      <c r="AP241" t="s">
        <v>5081</v>
      </c>
      <c r="AQ241" t="s">
        <v>74</v>
      </c>
      <c r="AR241" t="s">
        <v>5082</v>
      </c>
      <c r="AS241" t="s">
        <v>5083</v>
      </c>
      <c r="AT241" t="s">
        <v>4616</v>
      </c>
      <c r="AU241">
        <v>2018</v>
      </c>
      <c r="AV241">
        <v>47</v>
      </c>
      <c r="AW241">
        <v>9</v>
      </c>
      <c r="AX241" t="s">
        <v>74</v>
      </c>
      <c r="AY241" t="s">
        <v>74</v>
      </c>
      <c r="AZ241" t="s">
        <v>74</v>
      </c>
      <c r="BA241" t="s">
        <v>74</v>
      </c>
      <c r="BB241">
        <v>1769</v>
      </c>
      <c r="BC241">
        <v>1773</v>
      </c>
      <c r="BD241" t="s">
        <v>74</v>
      </c>
      <c r="BE241" t="s">
        <v>74</v>
      </c>
      <c r="BF241" t="s">
        <v>74</v>
      </c>
      <c r="BG241" t="s">
        <v>74</v>
      </c>
      <c r="BH241" t="s">
        <v>74</v>
      </c>
      <c r="BI241">
        <v>5</v>
      </c>
      <c r="BJ241" t="s">
        <v>157</v>
      </c>
      <c r="BK241" t="s">
        <v>101</v>
      </c>
      <c r="BL241" t="s">
        <v>157</v>
      </c>
      <c r="BM241" t="s">
        <v>5084</v>
      </c>
      <c r="BN241" t="s">
        <v>74</v>
      </c>
      <c r="BO241" t="s">
        <v>74</v>
      </c>
      <c r="BP241" t="s">
        <v>74</v>
      </c>
      <c r="BQ241" t="s">
        <v>74</v>
      </c>
      <c r="BR241" t="s">
        <v>104</v>
      </c>
      <c r="BS241" t="s">
        <v>5085</v>
      </c>
      <c r="BT241" t="str">
        <f>HYPERLINK("https%3A%2F%2Fwww.webofscience.com%2Fwos%2Fwoscc%2Ffull-record%2FWOS:000451789800008","View Full Record in Web of Science")</f>
        <v>View Full Record in Web of Science</v>
      </c>
    </row>
    <row r="242" spans="1:72" x14ac:dyDescent="0.15">
      <c r="A242" t="s">
        <v>72</v>
      </c>
      <c r="B242" t="s">
        <v>5086</v>
      </c>
      <c r="C242" t="s">
        <v>74</v>
      </c>
      <c r="D242" t="s">
        <v>74</v>
      </c>
      <c r="E242" t="s">
        <v>74</v>
      </c>
      <c r="F242" t="s">
        <v>5087</v>
      </c>
      <c r="G242" t="s">
        <v>74</v>
      </c>
      <c r="H242" t="s">
        <v>74</v>
      </c>
      <c r="I242" t="s">
        <v>5088</v>
      </c>
      <c r="J242" t="s">
        <v>5089</v>
      </c>
      <c r="K242" t="s">
        <v>74</v>
      </c>
      <c r="L242" t="s">
        <v>74</v>
      </c>
      <c r="M242" t="s">
        <v>78</v>
      </c>
      <c r="N242" t="s">
        <v>79</v>
      </c>
      <c r="O242" t="s">
        <v>74</v>
      </c>
      <c r="P242" t="s">
        <v>74</v>
      </c>
      <c r="Q242" t="s">
        <v>74</v>
      </c>
      <c r="R242" t="s">
        <v>74</v>
      </c>
      <c r="S242" t="s">
        <v>74</v>
      </c>
      <c r="T242" t="s">
        <v>5090</v>
      </c>
      <c r="U242" t="s">
        <v>5091</v>
      </c>
      <c r="V242" t="s">
        <v>5092</v>
      </c>
      <c r="W242" t="s">
        <v>5093</v>
      </c>
      <c r="X242" t="s">
        <v>5094</v>
      </c>
      <c r="Y242" t="s">
        <v>5095</v>
      </c>
      <c r="Z242" t="s">
        <v>5096</v>
      </c>
      <c r="AA242" t="s">
        <v>5097</v>
      </c>
      <c r="AB242" t="s">
        <v>5098</v>
      </c>
      <c r="AC242" t="s">
        <v>5099</v>
      </c>
      <c r="AD242" t="s">
        <v>5100</v>
      </c>
      <c r="AE242" t="s">
        <v>5101</v>
      </c>
      <c r="AF242" t="s">
        <v>74</v>
      </c>
      <c r="AG242">
        <v>30</v>
      </c>
      <c r="AH242">
        <v>14</v>
      </c>
      <c r="AI242">
        <v>15</v>
      </c>
      <c r="AJ242">
        <v>1</v>
      </c>
      <c r="AK242">
        <v>32</v>
      </c>
      <c r="AL242" t="s">
        <v>758</v>
      </c>
      <c r="AM242" t="s">
        <v>759</v>
      </c>
      <c r="AN242" t="s">
        <v>760</v>
      </c>
      <c r="AO242" t="s">
        <v>5102</v>
      </c>
      <c r="AP242" t="s">
        <v>5103</v>
      </c>
      <c r="AQ242" t="s">
        <v>74</v>
      </c>
      <c r="AR242" t="s">
        <v>5104</v>
      </c>
      <c r="AS242" t="s">
        <v>5105</v>
      </c>
      <c r="AT242" t="s">
        <v>4616</v>
      </c>
      <c r="AU242">
        <v>2018</v>
      </c>
      <c r="AV242">
        <v>38</v>
      </c>
      <c r="AW242">
        <v>11</v>
      </c>
      <c r="AX242" t="s">
        <v>74</v>
      </c>
      <c r="AY242" t="s">
        <v>74</v>
      </c>
      <c r="AZ242" t="s">
        <v>74</v>
      </c>
      <c r="BA242" t="s">
        <v>74</v>
      </c>
      <c r="BB242">
        <v>4225</v>
      </c>
      <c r="BC242">
        <v>4238</v>
      </c>
      <c r="BD242" t="s">
        <v>74</v>
      </c>
      <c r="BE242" t="s">
        <v>5106</v>
      </c>
      <c r="BF242" t="str">
        <f>HYPERLINK("http://dx.doi.org/10.1002/joc.5563","http://dx.doi.org/10.1002/joc.5563")</f>
        <v>http://dx.doi.org/10.1002/joc.5563</v>
      </c>
      <c r="BG242" t="s">
        <v>74</v>
      </c>
      <c r="BH242" t="s">
        <v>74</v>
      </c>
      <c r="BI242">
        <v>14</v>
      </c>
      <c r="BJ242" t="s">
        <v>369</v>
      </c>
      <c r="BK242" t="s">
        <v>101</v>
      </c>
      <c r="BL242" t="s">
        <v>369</v>
      </c>
      <c r="BM242" t="s">
        <v>5107</v>
      </c>
      <c r="BN242" t="s">
        <v>74</v>
      </c>
      <c r="BO242" t="s">
        <v>74</v>
      </c>
      <c r="BP242" t="s">
        <v>74</v>
      </c>
      <c r="BQ242" t="s">
        <v>74</v>
      </c>
      <c r="BR242" t="s">
        <v>104</v>
      </c>
      <c r="BS242" t="s">
        <v>5108</v>
      </c>
      <c r="BT242" t="str">
        <f>HYPERLINK("https%3A%2F%2Fwww.webofscience.com%2Fwos%2Fwoscc%2Ffull-record%2FWOS:000443683600013","View Full Record in Web of Science")</f>
        <v>View Full Record in Web of Science</v>
      </c>
    </row>
    <row r="243" spans="1:72" x14ac:dyDescent="0.15">
      <c r="A243" t="s">
        <v>72</v>
      </c>
      <c r="B243" t="s">
        <v>5109</v>
      </c>
      <c r="C243" t="s">
        <v>74</v>
      </c>
      <c r="D243" t="s">
        <v>74</v>
      </c>
      <c r="E243" t="s">
        <v>74</v>
      </c>
      <c r="F243" t="s">
        <v>5110</v>
      </c>
      <c r="G243" t="s">
        <v>74</v>
      </c>
      <c r="H243" t="s">
        <v>74</v>
      </c>
      <c r="I243" t="s">
        <v>5111</v>
      </c>
      <c r="J243" t="s">
        <v>5112</v>
      </c>
      <c r="K243" t="s">
        <v>74</v>
      </c>
      <c r="L243" t="s">
        <v>74</v>
      </c>
      <c r="M243" t="s">
        <v>78</v>
      </c>
      <c r="N243" t="s">
        <v>79</v>
      </c>
      <c r="O243" t="s">
        <v>74</v>
      </c>
      <c r="P243" t="s">
        <v>74</v>
      </c>
      <c r="Q243" t="s">
        <v>74</v>
      </c>
      <c r="R243" t="s">
        <v>74</v>
      </c>
      <c r="S243" t="s">
        <v>74</v>
      </c>
      <c r="T243" t="s">
        <v>5113</v>
      </c>
      <c r="U243" t="s">
        <v>74</v>
      </c>
      <c r="V243" t="s">
        <v>5114</v>
      </c>
      <c r="W243" t="s">
        <v>5115</v>
      </c>
      <c r="X243" t="s">
        <v>5116</v>
      </c>
      <c r="Y243" t="s">
        <v>5117</v>
      </c>
      <c r="Z243" t="s">
        <v>5118</v>
      </c>
      <c r="AA243" t="s">
        <v>5119</v>
      </c>
      <c r="AB243" t="s">
        <v>5120</v>
      </c>
      <c r="AC243" t="s">
        <v>5121</v>
      </c>
      <c r="AD243" t="s">
        <v>5122</v>
      </c>
      <c r="AE243" t="s">
        <v>5123</v>
      </c>
      <c r="AF243" t="s">
        <v>74</v>
      </c>
      <c r="AG243">
        <v>22</v>
      </c>
      <c r="AH243">
        <v>16</v>
      </c>
      <c r="AI243">
        <v>16</v>
      </c>
      <c r="AJ243">
        <v>2</v>
      </c>
      <c r="AK243">
        <v>8</v>
      </c>
      <c r="AL243" t="s">
        <v>5124</v>
      </c>
      <c r="AM243" t="s">
        <v>175</v>
      </c>
      <c r="AN243" t="s">
        <v>5125</v>
      </c>
      <c r="AO243" t="s">
        <v>5126</v>
      </c>
      <c r="AP243" t="s">
        <v>5127</v>
      </c>
      <c r="AQ243" t="s">
        <v>74</v>
      </c>
      <c r="AR243" t="s">
        <v>5128</v>
      </c>
      <c r="AS243" t="s">
        <v>5129</v>
      </c>
      <c r="AT243" t="s">
        <v>4616</v>
      </c>
      <c r="AU243">
        <v>2018</v>
      </c>
      <c r="AV243">
        <v>35</v>
      </c>
      <c r="AW243">
        <v>3</v>
      </c>
      <c r="AX243" t="s">
        <v>74</v>
      </c>
      <c r="AY243" t="s">
        <v>74</v>
      </c>
      <c r="AZ243" t="s">
        <v>74</v>
      </c>
      <c r="BA243" t="s">
        <v>74</v>
      </c>
      <c r="BB243">
        <v>185</v>
      </c>
      <c r="BC243">
        <v>193</v>
      </c>
      <c r="BD243" t="s">
        <v>74</v>
      </c>
      <c r="BE243" t="s">
        <v>5130</v>
      </c>
      <c r="BF243" t="str">
        <f>HYPERLINK("http://dx.doi.org/10.5140/JASS.2018.35.3.185","http://dx.doi.org/10.5140/JASS.2018.35.3.185")</f>
        <v>http://dx.doi.org/10.5140/JASS.2018.35.3.185</v>
      </c>
      <c r="BG243" t="s">
        <v>74</v>
      </c>
      <c r="BH243" t="s">
        <v>74</v>
      </c>
      <c r="BI243">
        <v>9</v>
      </c>
      <c r="BJ243" t="s">
        <v>1301</v>
      </c>
      <c r="BK243" t="s">
        <v>126</v>
      </c>
      <c r="BL243" t="s">
        <v>1301</v>
      </c>
      <c r="BM243" t="s">
        <v>5131</v>
      </c>
      <c r="BN243" t="s">
        <v>74</v>
      </c>
      <c r="BO243" t="s">
        <v>1584</v>
      </c>
      <c r="BP243" t="s">
        <v>74</v>
      </c>
      <c r="BQ243" t="s">
        <v>74</v>
      </c>
      <c r="BR243" t="s">
        <v>104</v>
      </c>
      <c r="BS243" t="s">
        <v>5132</v>
      </c>
      <c r="BT243" t="str">
        <f>HYPERLINK("https%3A%2F%2Fwww.webofscience.com%2Fwos%2Fwoscc%2Ffull-record%2FWOS:000444613500007","View Full Record in Web of Science")</f>
        <v>View Full Record in Web of Science</v>
      </c>
    </row>
    <row r="244" spans="1:72" x14ac:dyDescent="0.15">
      <c r="A244" t="s">
        <v>72</v>
      </c>
      <c r="B244" t="s">
        <v>5133</v>
      </c>
      <c r="C244" t="s">
        <v>74</v>
      </c>
      <c r="D244" t="s">
        <v>74</v>
      </c>
      <c r="E244" t="s">
        <v>74</v>
      </c>
      <c r="F244" t="s">
        <v>5134</v>
      </c>
      <c r="G244" t="s">
        <v>74</v>
      </c>
      <c r="H244" t="s">
        <v>74</v>
      </c>
      <c r="I244" t="s">
        <v>5135</v>
      </c>
      <c r="J244" t="s">
        <v>5136</v>
      </c>
      <c r="K244" t="s">
        <v>74</v>
      </c>
      <c r="L244" t="s">
        <v>74</v>
      </c>
      <c r="M244" t="s">
        <v>78</v>
      </c>
      <c r="N244" t="s">
        <v>79</v>
      </c>
      <c r="O244" t="s">
        <v>74</v>
      </c>
      <c r="P244" t="s">
        <v>74</v>
      </c>
      <c r="Q244" t="s">
        <v>74</v>
      </c>
      <c r="R244" t="s">
        <v>74</v>
      </c>
      <c r="S244" t="s">
        <v>74</v>
      </c>
      <c r="T244" t="s">
        <v>5137</v>
      </c>
      <c r="U244" t="s">
        <v>5138</v>
      </c>
      <c r="V244" t="s">
        <v>5139</v>
      </c>
      <c r="W244" t="s">
        <v>5140</v>
      </c>
      <c r="X244" t="s">
        <v>5141</v>
      </c>
      <c r="Y244" t="s">
        <v>5142</v>
      </c>
      <c r="Z244" t="s">
        <v>5143</v>
      </c>
      <c r="AA244" t="s">
        <v>74</v>
      </c>
      <c r="AB244" t="s">
        <v>74</v>
      </c>
      <c r="AC244" t="s">
        <v>5144</v>
      </c>
      <c r="AD244" t="s">
        <v>5145</v>
      </c>
      <c r="AE244" t="s">
        <v>5146</v>
      </c>
      <c r="AF244" t="s">
        <v>74</v>
      </c>
      <c r="AG244">
        <v>37</v>
      </c>
      <c r="AH244">
        <v>1</v>
      </c>
      <c r="AI244">
        <v>1</v>
      </c>
      <c r="AJ244">
        <v>1</v>
      </c>
      <c r="AK244">
        <v>25</v>
      </c>
      <c r="AL244" t="s">
        <v>5147</v>
      </c>
      <c r="AM244" t="s">
        <v>5148</v>
      </c>
      <c r="AN244" t="s">
        <v>5149</v>
      </c>
      <c r="AO244" t="s">
        <v>5150</v>
      </c>
      <c r="AP244" t="s">
        <v>5151</v>
      </c>
      <c r="AQ244" t="s">
        <v>74</v>
      </c>
      <c r="AR244" t="s">
        <v>5152</v>
      </c>
      <c r="AS244" t="s">
        <v>5153</v>
      </c>
      <c r="AT244" t="s">
        <v>4616</v>
      </c>
      <c r="AU244">
        <v>2018</v>
      </c>
      <c r="AV244">
        <v>26</v>
      </c>
      <c r="AW244">
        <v>3</v>
      </c>
      <c r="AX244" t="s">
        <v>74</v>
      </c>
      <c r="AY244" t="s">
        <v>74</v>
      </c>
      <c r="AZ244" t="s">
        <v>74</v>
      </c>
      <c r="BA244" t="s">
        <v>74</v>
      </c>
      <c r="BB244">
        <v>399</v>
      </c>
      <c r="BC244">
        <v>419</v>
      </c>
      <c r="BD244" t="s">
        <v>74</v>
      </c>
      <c r="BE244" t="s">
        <v>5154</v>
      </c>
      <c r="BF244" t="str">
        <f>HYPERLINK("http://dx.doi.org/10.1142/S0218339018500183","http://dx.doi.org/10.1142/S0218339018500183")</f>
        <v>http://dx.doi.org/10.1142/S0218339018500183</v>
      </c>
      <c r="BG244" t="s">
        <v>74</v>
      </c>
      <c r="BH244" t="s">
        <v>74</v>
      </c>
      <c r="BI244">
        <v>21</v>
      </c>
      <c r="BJ244" t="s">
        <v>5155</v>
      </c>
      <c r="BK244" t="s">
        <v>101</v>
      </c>
      <c r="BL244" t="s">
        <v>5156</v>
      </c>
      <c r="BM244" t="s">
        <v>5157</v>
      </c>
      <c r="BN244" t="s">
        <v>74</v>
      </c>
      <c r="BO244" t="s">
        <v>712</v>
      </c>
      <c r="BP244" t="s">
        <v>74</v>
      </c>
      <c r="BQ244" t="s">
        <v>74</v>
      </c>
      <c r="BR244" t="s">
        <v>104</v>
      </c>
      <c r="BS244" t="s">
        <v>5158</v>
      </c>
      <c r="BT244" t="str">
        <f>HYPERLINK("https%3A%2F%2Fwww.webofscience.com%2Fwos%2Fwoscc%2Ffull-record%2FWOS:000444994200002","View Full Record in Web of Science")</f>
        <v>View Full Record in Web of Science</v>
      </c>
    </row>
    <row r="245" spans="1:72" x14ac:dyDescent="0.15">
      <c r="A245" t="s">
        <v>72</v>
      </c>
      <c r="B245" t="s">
        <v>5159</v>
      </c>
      <c r="C245" t="s">
        <v>74</v>
      </c>
      <c r="D245" t="s">
        <v>74</v>
      </c>
      <c r="E245" t="s">
        <v>74</v>
      </c>
      <c r="F245" t="s">
        <v>5160</v>
      </c>
      <c r="G245" t="s">
        <v>74</v>
      </c>
      <c r="H245" t="s">
        <v>74</v>
      </c>
      <c r="I245" t="s">
        <v>5161</v>
      </c>
      <c r="J245" t="s">
        <v>773</v>
      </c>
      <c r="K245" t="s">
        <v>74</v>
      </c>
      <c r="L245" t="s">
        <v>74</v>
      </c>
      <c r="M245" t="s">
        <v>78</v>
      </c>
      <c r="N245" t="s">
        <v>79</v>
      </c>
      <c r="O245" t="s">
        <v>74</v>
      </c>
      <c r="P245" t="s">
        <v>74</v>
      </c>
      <c r="Q245" t="s">
        <v>74</v>
      </c>
      <c r="R245" t="s">
        <v>74</v>
      </c>
      <c r="S245" t="s">
        <v>74</v>
      </c>
      <c r="T245" t="s">
        <v>5162</v>
      </c>
      <c r="U245" t="s">
        <v>5163</v>
      </c>
      <c r="V245" t="s">
        <v>5164</v>
      </c>
      <c r="W245" t="s">
        <v>5165</v>
      </c>
      <c r="X245" t="s">
        <v>5166</v>
      </c>
      <c r="Y245" t="s">
        <v>5167</v>
      </c>
      <c r="Z245" t="s">
        <v>5168</v>
      </c>
      <c r="AA245" t="s">
        <v>5169</v>
      </c>
      <c r="AB245" t="s">
        <v>5170</v>
      </c>
      <c r="AC245" t="s">
        <v>5171</v>
      </c>
      <c r="AD245" t="s">
        <v>5172</v>
      </c>
      <c r="AE245" t="s">
        <v>5173</v>
      </c>
      <c r="AF245" t="s">
        <v>74</v>
      </c>
      <c r="AG245">
        <v>68</v>
      </c>
      <c r="AH245">
        <v>20</v>
      </c>
      <c r="AI245">
        <v>21</v>
      </c>
      <c r="AJ245">
        <v>3</v>
      </c>
      <c r="AK245">
        <v>38</v>
      </c>
      <c r="AL245" t="s">
        <v>785</v>
      </c>
      <c r="AM245" t="s">
        <v>786</v>
      </c>
      <c r="AN245" t="s">
        <v>787</v>
      </c>
      <c r="AO245" t="s">
        <v>788</v>
      </c>
      <c r="AP245" t="s">
        <v>789</v>
      </c>
      <c r="AQ245" t="s">
        <v>74</v>
      </c>
      <c r="AR245" t="s">
        <v>790</v>
      </c>
      <c r="AS245" t="s">
        <v>791</v>
      </c>
      <c r="AT245" t="s">
        <v>4616</v>
      </c>
      <c r="AU245">
        <v>2018</v>
      </c>
      <c r="AV245">
        <v>31</v>
      </c>
      <c r="AW245">
        <v>18</v>
      </c>
      <c r="AX245" t="s">
        <v>74</v>
      </c>
      <c r="AY245" t="s">
        <v>74</v>
      </c>
      <c r="AZ245" t="s">
        <v>74</v>
      </c>
      <c r="BA245" t="s">
        <v>74</v>
      </c>
      <c r="BB245">
        <v>7209</v>
      </c>
      <c r="BC245">
        <v>7224</v>
      </c>
      <c r="BD245" t="s">
        <v>74</v>
      </c>
      <c r="BE245" t="s">
        <v>5174</v>
      </c>
      <c r="BF245" t="str">
        <f>HYPERLINK("http://dx.doi.org/10.1175/JCLI-D-17-0903.1","http://dx.doi.org/10.1175/JCLI-D-17-0903.1")</f>
        <v>http://dx.doi.org/10.1175/JCLI-D-17-0903.1</v>
      </c>
      <c r="BG245" t="s">
        <v>74</v>
      </c>
      <c r="BH245" t="s">
        <v>74</v>
      </c>
      <c r="BI245">
        <v>16</v>
      </c>
      <c r="BJ245" t="s">
        <v>369</v>
      </c>
      <c r="BK245" t="s">
        <v>101</v>
      </c>
      <c r="BL245" t="s">
        <v>369</v>
      </c>
      <c r="BM245" t="s">
        <v>5175</v>
      </c>
      <c r="BN245" t="s">
        <v>74</v>
      </c>
      <c r="BO245" t="s">
        <v>74</v>
      </c>
      <c r="BP245" t="s">
        <v>74</v>
      </c>
      <c r="BQ245" t="s">
        <v>74</v>
      </c>
      <c r="BR245" t="s">
        <v>104</v>
      </c>
      <c r="BS245" t="s">
        <v>5176</v>
      </c>
      <c r="BT245" t="str">
        <f>HYPERLINK("https%3A%2F%2Fwww.webofscience.com%2Fwos%2Fwoscc%2Ffull-record%2FWOS:000440402800003","View Full Record in Web of Science")</f>
        <v>View Full Record in Web of Science</v>
      </c>
    </row>
    <row r="246" spans="1:72" x14ac:dyDescent="0.15">
      <c r="A246" t="s">
        <v>72</v>
      </c>
      <c r="B246" t="s">
        <v>5177</v>
      </c>
      <c r="C246" t="s">
        <v>74</v>
      </c>
      <c r="D246" t="s">
        <v>74</v>
      </c>
      <c r="E246" t="s">
        <v>74</v>
      </c>
      <c r="F246" t="s">
        <v>5178</v>
      </c>
      <c r="G246" t="s">
        <v>74</v>
      </c>
      <c r="H246" t="s">
        <v>74</v>
      </c>
      <c r="I246" t="s">
        <v>5179</v>
      </c>
      <c r="J246" t="s">
        <v>5180</v>
      </c>
      <c r="K246" t="s">
        <v>74</v>
      </c>
      <c r="L246" t="s">
        <v>74</v>
      </c>
      <c r="M246" t="s">
        <v>78</v>
      </c>
      <c r="N246" t="s">
        <v>79</v>
      </c>
      <c r="O246" t="s">
        <v>74</v>
      </c>
      <c r="P246" t="s">
        <v>74</v>
      </c>
      <c r="Q246" t="s">
        <v>74</v>
      </c>
      <c r="R246" t="s">
        <v>74</v>
      </c>
      <c r="S246" t="s">
        <v>74</v>
      </c>
      <c r="T246" t="s">
        <v>5181</v>
      </c>
      <c r="U246" t="s">
        <v>5182</v>
      </c>
      <c r="V246" t="s">
        <v>5183</v>
      </c>
      <c r="W246" t="s">
        <v>5184</v>
      </c>
      <c r="X246" t="s">
        <v>5185</v>
      </c>
      <c r="Y246" t="s">
        <v>5186</v>
      </c>
      <c r="Z246" t="s">
        <v>5187</v>
      </c>
      <c r="AA246" t="s">
        <v>5188</v>
      </c>
      <c r="AB246" t="s">
        <v>5189</v>
      </c>
      <c r="AC246" t="s">
        <v>5190</v>
      </c>
      <c r="AD246" t="s">
        <v>5191</v>
      </c>
      <c r="AE246" t="s">
        <v>5192</v>
      </c>
      <c r="AF246" t="s">
        <v>74</v>
      </c>
      <c r="AG246">
        <v>34</v>
      </c>
      <c r="AH246">
        <v>9</v>
      </c>
      <c r="AI246">
        <v>9</v>
      </c>
      <c r="AJ246">
        <v>0</v>
      </c>
      <c r="AK246">
        <v>16</v>
      </c>
      <c r="AL246" t="s">
        <v>758</v>
      </c>
      <c r="AM246" t="s">
        <v>759</v>
      </c>
      <c r="AN246" t="s">
        <v>760</v>
      </c>
      <c r="AO246" t="s">
        <v>5193</v>
      </c>
      <c r="AP246" t="s">
        <v>5194</v>
      </c>
      <c r="AQ246" t="s">
        <v>74</v>
      </c>
      <c r="AR246" t="s">
        <v>5195</v>
      </c>
      <c r="AS246" t="s">
        <v>5196</v>
      </c>
      <c r="AT246" t="s">
        <v>4616</v>
      </c>
      <c r="AU246">
        <v>2018</v>
      </c>
      <c r="AV246">
        <v>41</v>
      </c>
      <c r="AW246">
        <v>9</v>
      </c>
      <c r="AX246" t="s">
        <v>74</v>
      </c>
      <c r="AY246" t="s">
        <v>74</v>
      </c>
      <c r="AZ246" t="s">
        <v>74</v>
      </c>
      <c r="BA246" t="s">
        <v>74</v>
      </c>
      <c r="BB246">
        <v>1403</v>
      </c>
      <c r="BC246">
        <v>1410</v>
      </c>
      <c r="BD246" t="s">
        <v>74</v>
      </c>
      <c r="BE246" t="s">
        <v>5197</v>
      </c>
      <c r="BF246" t="str">
        <f>HYPERLINK("http://dx.doi.org/10.1111/jfd.12834","http://dx.doi.org/10.1111/jfd.12834")</f>
        <v>http://dx.doi.org/10.1111/jfd.12834</v>
      </c>
      <c r="BG246" t="s">
        <v>74</v>
      </c>
      <c r="BH246" t="s">
        <v>74</v>
      </c>
      <c r="BI246">
        <v>8</v>
      </c>
      <c r="BJ246" t="s">
        <v>5198</v>
      </c>
      <c r="BK246" t="s">
        <v>101</v>
      </c>
      <c r="BL246" t="s">
        <v>5198</v>
      </c>
      <c r="BM246" t="s">
        <v>5199</v>
      </c>
      <c r="BN246">
        <v>29938799</v>
      </c>
      <c r="BO246" t="s">
        <v>740</v>
      </c>
      <c r="BP246" t="s">
        <v>74</v>
      </c>
      <c r="BQ246" t="s">
        <v>74</v>
      </c>
      <c r="BR246" t="s">
        <v>104</v>
      </c>
      <c r="BS246" t="s">
        <v>5200</v>
      </c>
      <c r="BT246" t="str">
        <f>HYPERLINK("https%3A%2F%2Fwww.webofscience.com%2Fwos%2Fwoscc%2Ffull-record%2FWOS:000441247300009","View Full Record in Web of Science")</f>
        <v>View Full Record in Web of Science</v>
      </c>
    </row>
    <row r="247" spans="1:72" x14ac:dyDescent="0.15">
      <c r="A247" t="s">
        <v>72</v>
      </c>
      <c r="B247" t="s">
        <v>5201</v>
      </c>
      <c r="C247" t="s">
        <v>74</v>
      </c>
      <c r="D247" t="s">
        <v>74</v>
      </c>
      <c r="E247" t="s">
        <v>74</v>
      </c>
      <c r="F247" t="s">
        <v>5202</v>
      </c>
      <c r="G247" t="s">
        <v>74</v>
      </c>
      <c r="H247" t="s">
        <v>74</v>
      </c>
      <c r="I247" t="s">
        <v>5203</v>
      </c>
      <c r="J247" t="s">
        <v>5204</v>
      </c>
      <c r="K247" t="s">
        <v>74</v>
      </c>
      <c r="L247" t="s">
        <v>74</v>
      </c>
      <c r="M247" t="s">
        <v>78</v>
      </c>
      <c r="N247" t="s">
        <v>79</v>
      </c>
      <c r="O247" t="s">
        <v>74</v>
      </c>
      <c r="P247" t="s">
        <v>74</v>
      </c>
      <c r="Q247" t="s">
        <v>74</v>
      </c>
      <c r="R247" t="s">
        <v>74</v>
      </c>
      <c r="S247" t="s">
        <v>74</v>
      </c>
      <c r="T247" t="s">
        <v>5205</v>
      </c>
      <c r="U247" t="s">
        <v>5206</v>
      </c>
      <c r="V247" t="s">
        <v>5207</v>
      </c>
      <c r="W247" t="s">
        <v>5208</v>
      </c>
      <c r="X247" t="s">
        <v>5209</v>
      </c>
      <c r="Y247" t="s">
        <v>5210</v>
      </c>
      <c r="Z247" t="s">
        <v>5211</v>
      </c>
      <c r="AA247" t="s">
        <v>5212</v>
      </c>
      <c r="AB247" t="s">
        <v>5213</v>
      </c>
      <c r="AC247" t="s">
        <v>5214</v>
      </c>
      <c r="AD247" t="s">
        <v>5215</v>
      </c>
      <c r="AE247" t="s">
        <v>5216</v>
      </c>
      <c r="AF247" t="s">
        <v>74</v>
      </c>
      <c r="AG247">
        <v>99</v>
      </c>
      <c r="AH247">
        <v>3</v>
      </c>
      <c r="AI247">
        <v>3</v>
      </c>
      <c r="AJ247">
        <v>0</v>
      </c>
      <c r="AK247">
        <v>53</v>
      </c>
      <c r="AL247" t="s">
        <v>503</v>
      </c>
      <c r="AM247" t="s">
        <v>504</v>
      </c>
      <c r="AN247" t="s">
        <v>505</v>
      </c>
      <c r="AO247" t="s">
        <v>5217</v>
      </c>
      <c r="AP247" t="s">
        <v>5218</v>
      </c>
      <c r="AQ247" t="s">
        <v>74</v>
      </c>
      <c r="AR247" t="s">
        <v>5219</v>
      </c>
      <c r="AS247" t="s">
        <v>5220</v>
      </c>
      <c r="AT247" t="s">
        <v>4616</v>
      </c>
      <c r="AU247">
        <v>2018</v>
      </c>
      <c r="AV247">
        <v>123</v>
      </c>
      <c r="AW247">
        <v>9</v>
      </c>
      <c r="AX247" t="s">
        <v>74</v>
      </c>
      <c r="AY247" t="s">
        <v>74</v>
      </c>
      <c r="AZ247" t="s">
        <v>74</v>
      </c>
      <c r="BA247" t="s">
        <v>74</v>
      </c>
      <c r="BB247">
        <v>2955</v>
      </c>
      <c r="BC247">
        <v>2975</v>
      </c>
      <c r="BD247" t="s">
        <v>74</v>
      </c>
      <c r="BE247" t="s">
        <v>5221</v>
      </c>
      <c r="BF247" t="str">
        <f>HYPERLINK("http://dx.doi.org/10.1029/2017JG004316","http://dx.doi.org/10.1029/2017JG004316")</f>
        <v>http://dx.doi.org/10.1029/2017JG004316</v>
      </c>
      <c r="BG247" t="s">
        <v>74</v>
      </c>
      <c r="BH247" t="s">
        <v>74</v>
      </c>
      <c r="BI247">
        <v>21</v>
      </c>
      <c r="BJ247" t="s">
        <v>5222</v>
      </c>
      <c r="BK247" t="s">
        <v>101</v>
      </c>
      <c r="BL247" t="s">
        <v>5223</v>
      </c>
      <c r="BM247" t="s">
        <v>5224</v>
      </c>
      <c r="BN247" t="s">
        <v>74</v>
      </c>
      <c r="BO247" t="s">
        <v>3156</v>
      </c>
      <c r="BP247" t="s">
        <v>74</v>
      </c>
      <c r="BQ247" t="s">
        <v>74</v>
      </c>
      <c r="BR247" t="s">
        <v>104</v>
      </c>
      <c r="BS247" t="s">
        <v>5225</v>
      </c>
      <c r="BT247" t="str">
        <f>HYPERLINK("https%3A%2F%2Fwww.webofscience.com%2Fwos%2Fwoscc%2Ffull-record%2FWOS:000447644800020","View Full Record in Web of Science")</f>
        <v>View Full Record in Web of Science</v>
      </c>
    </row>
    <row r="248" spans="1:72" x14ac:dyDescent="0.15">
      <c r="A248" t="s">
        <v>72</v>
      </c>
      <c r="B248" t="s">
        <v>5226</v>
      </c>
      <c r="C248" t="s">
        <v>74</v>
      </c>
      <c r="D248" t="s">
        <v>74</v>
      </c>
      <c r="E248" t="s">
        <v>74</v>
      </c>
      <c r="F248" t="s">
        <v>5227</v>
      </c>
      <c r="G248" t="s">
        <v>74</v>
      </c>
      <c r="H248" t="s">
        <v>74</v>
      </c>
      <c r="I248" t="s">
        <v>5228</v>
      </c>
      <c r="J248" t="s">
        <v>798</v>
      </c>
      <c r="K248" t="s">
        <v>74</v>
      </c>
      <c r="L248" t="s">
        <v>74</v>
      </c>
      <c r="M248" t="s">
        <v>78</v>
      </c>
      <c r="N248" t="s">
        <v>79</v>
      </c>
      <c r="O248" t="s">
        <v>74</v>
      </c>
      <c r="P248" t="s">
        <v>74</v>
      </c>
      <c r="Q248" t="s">
        <v>74</v>
      </c>
      <c r="R248" t="s">
        <v>74</v>
      </c>
      <c r="S248" t="s">
        <v>74</v>
      </c>
      <c r="T248" t="s">
        <v>5229</v>
      </c>
      <c r="U248" t="s">
        <v>5230</v>
      </c>
      <c r="V248" t="s">
        <v>5231</v>
      </c>
      <c r="W248" t="s">
        <v>5232</v>
      </c>
      <c r="X248" t="s">
        <v>5233</v>
      </c>
      <c r="Y248" t="s">
        <v>5234</v>
      </c>
      <c r="Z248" t="s">
        <v>5235</v>
      </c>
      <c r="AA248" t="s">
        <v>5236</v>
      </c>
      <c r="AB248" t="s">
        <v>5237</v>
      </c>
      <c r="AC248" t="s">
        <v>5238</v>
      </c>
      <c r="AD248" t="s">
        <v>5239</v>
      </c>
      <c r="AE248" t="s">
        <v>5240</v>
      </c>
      <c r="AF248" t="s">
        <v>74</v>
      </c>
      <c r="AG248">
        <v>43</v>
      </c>
      <c r="AH248">
        <v>33</v>
      </c>
      <c r="AI248">
        <v>39</v>
      </c>
      <c r="AJ248">
        <v>4</v>
      </c>
      <c r="AK248">
        <v>27</v>
      </c>
      <c r="AL248" t="s">
        <v>503</v>
      </c>
      <c r="AM248" t="s">
        <v>504</v>
      </c>
      <c r="AN248" t="s">
        <v>505</v>
      </c>
      <c r="AO248" t="s">
        <v>811</v>
      </c>
      <c r="AP248" t="s">
        <v>812</v>
      </c>
      <c r="AQ248" t="s">
        <v>74</v>
      </c>
      <c r="AR248" t="s">
        <v>813</v>
      </c>
      <c r="AS248" t="s">
        <v>814</v>
      </c>
      <c r="AT248" t="s">
        <v>4616</v>
      </c>
      <c r="AU248">
        <v>2018</v>
      </c>
      <c r="AV248">
        <v>123</v>
      </c>
      <c r="AW248">
        <v>9</v>
      </c>
      <c r="AX248" t="s">
        <v>74</v>
      </c>
      <c r="AY248" t="s">
        <v>74</v>
      </c>
      <c r="AZ248" t="s">
        <v>74</v>
      </c>
      <c r="BA248" t="s">
        <v>74</v>
      </c>
      <c r="BB248">
        <v>6053</v>
      </c>
      <c r="BC248">
        <v>6069</v>
      </c>
      <c r="BD248" t="s">
        <v>74</v>
      </c>
      <c r="BE248" t="s">
        <v>5241</v>
      </c>
      <c r="BF248" t="str">
        <f>HYPERLINK("http://dx.doi.org/10.1029/2017JC013628","http://dx.doi.org/10.1029/2017JC013628")</f>
        <v>http://dx.doi.org/10.1029/2017JC013628</v>
      </c>
      <c r="BG248" t="s">
        <v>74</v>
      </c>
      <c r="BH248" t="s">
        <v>74</v>
      </c>
      <c r="BI248">
        <v>17</v>
      </c>
      <c r="BJ248" t="s">
        <v>157</v>
      </c>
      <c r="BK248" t="s">
        <v>101</v>
      </c>
      <c r="BL248" t="s">
        <v>157</v>
      </c>
      <c r="BM248" t="s">
        <v>5242</v>
      </c>
      <c r="BN248" t="s">
        <v>74</v>
      </c>
      <c r="BO248" t="s">
        <v>635</v>
      </c>
      <c r="BP248" t="s">
        <v>74</v>
      </c>
      <c r="BQ248" t="s">
        <v>74</v>
      </c>
      <c r="BR248" t="s">
        <v>104</v>
      </c>
      <c r="BS248" t="s">
        <v>5243</v>
      </c>
      <c r="BT248" t="str">
        <f>HYPERLINK("https%3A%2F%2Fwww.webofscience.com%2Fwos%2Fwoscc%2Ffull-record%2FWOS:000447552600002","View Full Record in Web of Science")</f>
        <v>View Full Record in Web of Science</v>
      </c>
    </row>
    <row r="249" spans="1:72" x14ac:dyDescent="0.15">
      <c r="A249" t="s">
        <v>72</v>
      </c>
      <c r="B249" t="s">
        <v>5244</v>
      </c>
      <c r="C249" t="s">
        <v>74</v>
      </c>
      <c r="D249" t="s">
        <v>74</v>
      </c>
      <c r="E249" t="s">
        <v>74</v>
      </c>
      <c r="F249" t="s">
        <v>5245</v>
      </c>
      <c r="G249" t="s">
        <v>74</v>
      </c>
      <c r="H249" t="s">
        <v>74</v>
      </c>
      <c r="I249" t="s">
        <v>5246</v>
      </c>
      <c r="J249" t="s">
        <v>798</v>
      </c>
      <c r="K249" t="s">
        <v>74</v>
      </c>
      <c r="L249" t="s">
        <v>74</v>
      </c>
      <c r="M249" t="s">
        <v>78</v>
      </c>
      <c r="N249" t="s">
        <v>79</v>
      </c>
      <c r="O249" t="s">
        <v>74</v>
      </c>
      <c r="P249" t="s">
        <v>74</v>
      </c>
      <c r="Q249" t="s">
        <v>74</v>
      </c>
      <c r="R249" t="s">
        <v>74</v>
      </c>
      <c r="S249" t="s">
        <v>74</v>
      </c>
      <c r="T249" t="s">
        <v>5247</v>
      </c>
      <c r="U249" t="s">
        <v>5248</v>
      </c>
      <c r="V249" t="s">
        <v>5249</v>
      </c>
      <c r="W249" t="s">
        <v>5250</v>
      </c>
      <c r="X249" t="s">
        <v>5251</v>
      </c>
      <c r="Y249" t="s">
        <v>5252</v>
      </c>
      <c r="Z249" t="s">
        <v>5253</v>
      </c>
      <c r="AA249" t="s">
        <v>5254</v>
      </c>
      <c r="AB249" t="s">
        <v>5255</v>
      </c>
      <c r="AC249" t="s">
        <v>5256</v>
      </c>
      <c r="AD249" t="s">
        <v>5257</v>
      </c>
      <c r="AE249" t="s">
        <v>5258</v>
      </c>
      <c r="AF249" t="s">
        <v>74</v>
      </c>
      <c r="AG249">
        <v>48</v>
      </c>
      <c r="AH249">
        <v>20</v>
      </c>
      <c r="AI249">
        <v>21</v>
      </c>
      <c r="AJ249">
        <v>1</v>
      </c>
      <c r="AK249">
        <v>12</v>
      </c>
      <c r="AL249" t="s">
        <v>503</v>
      </c>
      <c r="AM249" t="s">
        <v>504</v>
      </c>
      <c r="AN249" t="s">
        <v>505</v>
      </c>
      <c r="AO249" t="s">
        <v>811</v>
      </c>
      <c r="AP249" t="s">
        <v>812</v>
      </c>
      <c r="AQ249" t="s">
        <v>74</v>
      </c>
      <c r="AR249" t="s">
        <v>813</v>
      </c>
      <c r="AS249" t="s">
        <v>814</v>
      </c>
      <c r="AT249" t="s">
        <v>4616</v>
      </c>
      <c r="AU249">
        <v>2018</v>
      </c>
      <c r="AV249">
        <v>123</v>
      </c>
      <c r="AW249">
        <v>9</v>
      </c>
      <c r="AX249" t="s">
        <v>74</v>
      </c>
      <c r="AY249" t="s">
        <v>74</v>
      </c>
      <c r="AZ249" t="s">
        <v>74</v>
      </c>
      <c r="BA249" t="s">
        <v>74</v>
      </c>
      <c r="BB249">
        <v>6581</v>
      </c>
      <c r="BC249">
        <v>6597</v>
      </c>
      <c r="BD249" t="s">
        <v>74</v>
      </c>
      <c r="BE249" t="s">
        <v>5259</v>
      </c>
      <c r="BF249" t="str">
        <f>HYPERLINK("http://dx.doi.org/10.1029/2018JC013995","http://dx.doi.org/10.1029/2018JC013995")</f>
        <v>http://dx.doi.org/10.1029/2018JC013995</v>
      </c>
      <c r="BG249" t="s">
        <v>74</v>
      </c>
      <c r="BH249" t="s">
        <v>74</v>
      </c>
      <c r="BI249">
        <v>17</v>
      </c>
      <c r="BJ249" t="s">
        <v>157</v>
      </c>
      <c r="BK249" t="s">
        <v>101</v>
      </c>
      <c r="BL249" t="s">
        <v>157</v>
      </c>
      <c r="BM249" t="s">
        <v>5242</v>
      </c>
      <c r="BN249" t="s">
        <v>74</v>
      </c>
      <c r="BO249" t="s">
        <v>712</v>
      </c>
      <c r="BP249" t="s">
        <v>74</v>
      </c>
      <c r="BQ249" t="s">
        <v>74</v>
      </c>
      <c r="BR249" t="s">
        <v>104</v>
      </c>
      <c r="BS249" t="s">
        <v>5260</v>
      </c>
      <c r="BT249" t="str">
        <f>HYPERLINK("https%3A%2F%2Fwww.webofscience.com%2Fwos%2Fwoscc%2Ffull-record%2FWOS:000447552600032","View Full Record in Web of Science")</f>
        <v>View Full Record in Web of Science</v>
      </c>
    </row>
    <row r="250" spans="1:72" x14ac:dyDescent="0.15">
      <c r="A250" t="s">
        <v>72</v>
      </c>
      <c r="B250" t="s">
        <v>5261</v>
      </c>
      <c r="C250" t="s">
        <v>74</v>
      </c>
      <c r="D250" t="s">
        <v>74</v>
      </c>
      <c r="E250" t="s">
        <v>74</v>
      </c>
      <c r="F250" t="s">
        <v>5262</v>
      </c>
      <c r="G250" t="s">
        <v>74</v>
      </c>
      <c r="H250" t="s">
        <v>74</v>
      </c>
      <c r="I250" t="s">
        <v>5263</v>
      </c>
      <c r="J250" t="s">
        <v>5264</v>
      </c>
      <c r="K250" t="s">
        <v>74</v>
      </c>
      <c r="L250" t="s">
        <v>74</v>
      </c>
      <c r="M250" t="s">
        <v>78</v>
      </c>
      <c r="N250" t="s">
        <v>79</v>
      </c>
      <c r="O250" t="s">
        <v>74</v>
      </c>
      <c r="P250" t="s">
        <v>74</v>
      </c>
      <c r="Q250" t="s">
        <v>74</v>
      </c>
      <c r="R250" t="s">
        <v>74</v>
      </c>
      <c r="S250" t="s">
        <v>74</v>
      </c>
      <c r="T250" t="s">
        <v>5265</v>
      </c>
      <c r="U250" t="s">
        <v>5266</v>
      </c>
      <c r="V250" t="s">
        <v>5267</v>
      </c>
      <c r="W250" t="s">
        <v>5268</v>
      </c>
      <c r="X250" t="s">
        <v>5269</v>
      </c>
      <c r="Y250" t="s">
        <v>5270</v>
      </c>
      <c r="Z250" t="s">
        <v>5271</v>
      </c>
      <c r="AA250" t="s">
        <v>5272</v>
      </c>
      <c r="AB250" t="s">
        <v>5273</v>
      </c>
      <c r="AC250" t="s">
        <v>5274</v>
      </c>
      <c r="AD250" t="s">
        <v>5275</v>
      </c>
      <c r="AE250" t="s">
        <v>5276</v>
      </c>
      <c r="AF250" t="s">
        <v>74</v>
      </c>
      <c r="AG250">
        <v>63</v>
      </c>
      <c r="AH250">
        <v>8</v>
      </c>
      <c r="AI250">
        <v>8</v>
      </c>
      <c r="AJ250">
        <v>1</v>
      </c>
      <c r="AK250">
        <v>23</v>
      </c>
      <c r="AL250" t="s">
        <v>503</v>
      </c>
      <c r="AM250" t="s">
        <v>504</v>
      </c>
      <c r="AN250" t="s">
        <v>505</v>
      </c>
      <c r="AO250" t="s">
        <v>5277</v>
      </c>
      <c r="AP250" t="s">
        <v>5278</v>
      </c>
      <c r="AQ250" t="s">
        <v>74</v>
      </c>
      <c r="AR250" t="s">
        <v>5279</v>
      </c>
      <c r="AS250" t="s">
        <v>5280</v>
      </c>
      <c r="AT250" t="s">
        <v>4616</v>
      </c>
      <c r="AU250">
        <v>2018</v>
      </c>
      <c r="AV250">
        <v>123</v>
      </c>
      <c r="AW250">
        <v>9</v>
      </c>
      <c r="AX250" t="s">
        <v>74</v>
      </c>
      <c r="AY250" t="s">
        <v>74</v>
      </c>
      <c r="AZ250" t="s">
        <v>74</v>
      </c>
      <c r="BA250" t="s">
        <v>74</v>
      </c>
      <c r="BB250">
        <v>7321</v>
      </c>
      <c r="BC250">
        <v>7337</v>
      </c>
      <c r="BD250" t="s">
        <v>74</v>
      </c>
      <c r="BE250" t="s">
        <v>5281</v>
      </c>
      <c r="BF250" t="str">
        <f>HYPERLINK("http://dx.doi.org/10.1029/2018JB016099","http://dx.doi.org/10.1029/2018JB016099")</f>
        <v>http://dx.doi.org/10.1029/2018JB016099</v>
      </c>
      <c r="BG250" t="s">
        <v>74</v>
      </c>
      <c r="BH250" t="s">
        <v>74</v>
      </c>
      <c r="BI250">
        <v>17</v>
      </c>
      <c r="BJ250" t="s">
        <v>484</v>
      </c>
      <c r="BK250" t="s">
        <v>101</v>
      </c>
      <c r="BL250" t="s">
        <v>484</v>
      </c>
      <c r="BM250" t="s">
        <v>5282</v>
      </c>
      <c r="BN250" t="s">
        <v>74</v>
      </c>
      <c r="BO250" t="s">
        <v>712</v>
      </c>
      <c r="BP250" t="s">
        <v>74</v>
      </c>
      <c r="BQ250" t="s">
        <v>74</v>
      </c>
      <c r="BR250" t="s">
        <v>104</v>
      </c>
      <c r="BS250" t="s">
        <v>5283</v>
      </c>
      <c r="BT250" t="str">
        <f>HYPERLINK("https%3A%2F%2Fwww.webofscience.com%2Fwos%2Fwoscc%2Ffull-record%2FWOS:000447858800008","View Full Record in Web of Science")</f>
        <v>View Full Record in Web of Science</v>
      </c>
    </row>
    <row r="251" spans="1:72" x14ac:dyDescent="0.15">
      <c r="A251" t="s">
        <v>72</v>
      </c>
      <c r="B251" t="s">
        <v>5284</v>
      </c>
      <c r="C251" t="s">
        <v>74</v>
      </c>
      <c r="D251" t="s">
        <v>74</v>
      </c>
      <c r="E251" t="s">
        <v>74</v>
      </c>
      <c r="F251" t="s">
        <v>5285</v>
      </c>
      <c r="G251" t="s">
        <v>74</v>
      </c>
      <c r="H251" t="s">
        <v>74</v>
      </c>
      <c r="I251" t="s">
        <v>5286</v>
      </c>
      <c r="J251" t="s">
        <v>5264</v>
      </c>
      <c r="K251" t="s">
        <v>74</v>
      </c>
      <c r="L251" t="s">
        <v>74</v>
      </c>
      <c r="M251" t="s">
        <v>78</v>
      </c>
      <c r="N251" t="s">
        <v>79</v>
      </c>
      <c r="O251" t="s">
        <v>74</v>
      </c>
      <c r="P251" t="s">
        <v>74</v>
      </c>
      <c r="Q251" t="s">
        <v>74</v>
      </c>
      <c r="R251" t="s">
        <v>74</v>
      </c>
      <c r="S251" t="s">
        <v>74</v>
      </c>
      <c r="T251" t="s">
        <v>5287</v>
      </c>
      <c r="U251" t="s">
        <v>5288</v>
      </c>
      <c r="V251" t="s">
        <v>5289</v>
      </c>
      <c r="W251" t="s">
        <v>5290</v>
      </c>
      <c r="X251" t="s">
        <v>5291</v>
      </c>
      <c r="Y251" t="s">
        <v>5292</v>
      </c>
      <c r="Z251" t="s">
        <v>5293</v>
      </c>
      <c r="AA251" t="s">
        <v>5294</v>
      </c>
      <c r="AB251" t="s">
        <v>5295</v>
      </c>
      <c r="AC251" t="s">
        <v>74</v>
      </c>
      <c r="AD251" t="s">
        <v>74</v>
      </c>
      <c r="AE251" t="s">
        <v>74</v>
      </c>
      <c r="AF251" t="s">
        <v>74</v>
      </c>
      <c r="AG251">
        <v>47</v>
      </c>
      <c r="AH251">
        <v>30</v>
      </c>
      <c r="AI251">
        <v>32</v>
      </c>
      <c r="AJ251">
        <v>4</v>
      </c>
      <c r="AK251">
        <v>21</v>
      </c>
      <c r="AL251" t="s">
        <v>503</v>
      </c>
      <c r="AM251" t="s">
        <v>504</v>
      </c>
      <c r="AN251" t="s">
        <v>505</v>
      </c>
      <c r="AO251" t="s">
        <v>5277</v>
      </c>
      <c r="AP251" t="s">
        <v>5278</v>
      </c>
      <c r="AQ251" t="s">
        <v>74</v>
      </c>
      <c r="AR251" t="s">
        <v>5279</v>
      </c>
      <c r="AS251" t="s">
        <v>5280</v>
      </c>
      <c r="AT251" t="s">
        <v>4616</v>
      </c>
      <c r="AU251">
        <v>2018</v>
      </c>
      <c r="AV251">
        <v>123</v>
      </c>
      <c r="AW251">
        <v>9</v>
      </c>
      <c r="AX251" t="s">
        <v>74</v>
      </c>
      <c r="AY251" t="s">
        <v>74</v>
      </c>
      <c r="AZ251" t="s">
        <v>74</v>
      </c>
      <c r="BA251" t="s">
        <v>74</v>
      </c>
      <c r="BB251">
        <v>7896</v>
      </c>
      <c r="BC251">
        <v>7912</v>
      </c>
      <c r="BD251" t="s">
        <v>74</v>
      </c>
      <c r="BE251" t="s">
        <v>5296</v>
      </c>
      <c r="BF251" t="str">
        <f>HYPERLINK("http://dx.doi.org/10.1029/2018JB016115","http://dx.doi.org/10.1029/2018JB016115")</f>
        <v>http://dx.doi.org/10.1029/2018JB016115</v>
      </c>
      <c r="BG251" t="s">
        <v>74</v>
      </c>
      <c r="BH251" t="s">
        <v>74</v>
      </c>
      <c r="BI251">
        <v>17</v>
      </c>
      <c r="BJ251" t="s">
        <v>484</v>
      </c>
      <c r="BK251" t="s">
        <v>101</v>
      </c>
      <c r="BL251" t="s">
        <v>484</v>
      </c>
      <c r="BM251" t="s">
        <v>5282</v>
      </c>
      <c r="BN251" t="s">
        <v>74</v>
      </c>
      <c r="BO251" t="s">
        <v>712</v>
      </c>
      <c r="BP251" t="s">
        <v>74</v>
      </c>
      <c r="BQ251" t="s">
        <v>74</v>
      </c>
      <c r="BR251" t="s">
        <v>104</v>
      </c>
      <c r="BS251" t="s">
        <v>5297</v>
      </c>
      <c r="BT251" t="str">
        <f>HYPERLINK("https%3A%2F%2Fwww.webofscience.com%2Fwos%2Fwoscc%2Ffull-record%2FWOS:000447858800039","View Full Record in Web of Science")</f>
        <v>View Full Record in Web of Science</v>
      </c>
    </row>
    <row r="252" spans="1:72" x14ac:dyDescent="0.15">
      <c r="A252" t="s">
        <v>72</v>
      </c>
      <c r="B252" t="s">
        <v>5298</v>
      </c>
      <c r="C252" t="s">
        <v>74</v>
      </c>
      <c r="D252" t="s">
        <v>74</v>
      </c>
      <c r="E252" t="s">
        <v>74</v>
      </c>
      <c r="F252" t="s">
        <v>5299</v>
      </c>
      <c r="G252" t="s">
        <v>74</v>
      </c>
      <c r="H252" t="s">
        <v>74</v>
      </c>
      <c r="I252" t="s">
        <v>5300</v>
      </c>
      <c r="J252" t="s">
        <v>5301</v>
      </c>
      <c r="K252" t="s">
        <v>74</v>
      </c>
      <c r="L252" t="s">
        <v>74</v>
      </c>
      <c r="M252" t="s">
        <v>78</v>
      </c>
      <c r="N252" t="s">
        <v>79</v>
      </c>
      <c r="O252" t="s">
        <v>74</v>
      </c>
      <c r="P252" t="s">
        <v>74</v>
      </c>
      <c r="Q252" t="s">
        <v>74</v>
      </c>
      <c r="R252" t="s">
        <v>74</v>
      </c>
      <c r="S252" t="s">
        <v>74</v>
      </c>
      <c r="T252" t="s">
        <v>5302</v>
      </c>
      <c r="U252" t="s">
        <v>5303</v>
      </c>
      <c r="V252" t="s">
        <v>5304</v>
      </c>
      <c r="W252" t="s">
        <v>5305</v>
      </c>
      <c r="X252" t="s">
        <v>5306</v>
      </c>
      <c r="Y252" t="s">
        <v>5307</v>
      </c>
      <c r="Z252" t="s">
        <v>5308</v>
      </c>
      <c r="AA252" t="s">
        <v>5309</v>
      </c>
      <c r="AB252" t="s">
        <v>5310</v>
      </c>
      <c r="AC252" t="s">
        <v>74</v>
      </c>
      <c r="AD252" t="s">
        <v>74</v>
      </c>
      <c r="AE252" t="s">
        <v>74</v>
      </c>
      <c r="AF252" t="s">
        <v>74</v>
      </c>
      <c r="AG252">
        <v>27</v>
      </c>
      <c r="AH252">
        <v>19</v>
      </c>
      <c r="AI252">
        <v>19</v>
      </c>
      <c r="AJ252">
        <v>0</v>
      </c>
      <c r="AK252">
        <v>5</v>
      </c>
      <c r="AL252" t="s">
        <v>5311</v>
      </c>
      <c r="AM252" t="s">
        <v>1054</v>
      </c>
      <c r="AN252" t="s">
        <v>5312</v>
      </c>
      <c r="AO252" t="s">
        <v>5313</v>
      </c>
      <c r="AP252" t="s">
        <v>5314</v>
      </c>
      <c r="AQ252" t="s">
        <v>74</v>
      </c>
      <c r="AR252" t="s">
        <v>5315</v>
      </c>
      <c r="AS252" t="s">
        <v>5316</v>
      </c>
      <c r="AT252" t="s">
        <v>4616</v>
      </c>
      <c r="AU252">
        <v>2018</v>
      </c>
      <c r="AV252">
        <v>20</v>
      </c>
      <c r="AW252">
        <v>3</v>
      </c>
      <c r="AX252" t="s">
        <v>74</v>
      </c>
      <c r="AY252" t="s">
        <v>74</v>
      </c>
      <c r="AZ252" t="s">
        <v>74</v>
      </c>
      <c r="BA252" t="s">
        <v>74</v>
      </c>
      <c r="BB252">
        <v>929</v>
      </c>
      <c r="BC252">
        <v>935</v>
      </c>
      <c r="BD252" t="s">
        <v>74</v>
      </c>
      <c r="BE252" t="s">
        <v>5317</v>
      </c>
      <c r="BF252" t="str">
        <f>HYPERLINK("http://dx.doi.org/10.1007/s00021-017-0347-0","http://dx.doi.org/10.1007/s00021-017-0347-0")</f>
        <v>http://dx.doi.org/10.1007/s00021-017-0347-0</v>
      </c>
      <c r="BG252" t="s">
        <v>74</v>
      </c>
      <c r="BH252" t="s">
        <v>74</v>
      </c>
      <c r="BI252">
        <v>7</v>
      </c>
      <c r="BJ252" t="s">
        <v>5318</v>
      </c>
      <c r="BK252" t="s">
        <v>101</v>
      </c>
      <c r="BL252" t="s">
        <v>5319</v>
      </c>
      <c r="BM252" t="s">
        <v>5320</v>
      </c>
      <c r="BN252" t="s">
        <v>74</v>
      </c>
      <c r="BO252" t="s">
        <v>74</v>
      </c>
      <c r="BP252" t="s">
        <v>74</v>
      </c>
      <c r="BQ252" t="s">
        <v>74</v>
      </c>
      <c r="BR252" t="s">
        <v>104</v>
      </c>
      <c r="BS252" t="s">
        <v>5321</v>
      </c>
      <c r="BT252" t="str">
        <f>HYPERLINK("https%3A%2F%2Fwww.webofscience.com%2Fwos%2Fwoscc%2Ffull-record%2FWOS:000441287600004","View Full Record in Web of Science")</f>
        <v>View Full Record in Web of Science</v>
      </c>
    </row>
    <row r="253" spans="1:72" x14ac:dyDescent="0.15">
      <c r="A253" t="s">
        <v>72</v>
      </c>
      <c r="B253" t="s">
        <v>5322</v>
      </c>
      <c r="C253" t="s">
        <v>74</v>
      </c>
      <c r="D253" t="s">
        <v>74</v>
      </c>
      <c r="E253" t="s">
        <v>74</v>
      </c>
      <c r="F253" t="s">
        <v>5323</v>
      </c>
      <c r="G253" t="s">
        <v>74</v>
      </c>
      <c r="H253" t="s">
        <v>74</v>
      </c>
      <c r="I253" t="s">
        <v>5324</v>
      </c>
      <c r="J253" t="s">
        <v>5325</v>
      </c>
      <c r="K253" t="s">
        <v>74</v>
      </c>
      <c r="L253" t="s">
        <v>74</v>
      </c>
      <c r="M253" t="s">
        <v>78</v>
      </c>
      <c r="N253" t="s">
        <v>79</v>
      </c>
      <c r="O253" t="s">
        <v>74</v>
      </c>
      <c r="P253" t="s">
        <v>74</v>
      </c>
      <c r="Q253" t="s">
        <v>74</v>
      </c>
      <c r="R253" t="s">
        <v>74</v>
      </c>
      <c r="S253" t="s">
        <v>74</v>
      </c>
      <c r="T253" t="s">
        <v>5326</v>
      </c>
      <c r="U253" t="s">
        <v>5327</v>
      </c>
      <c r="V253" t="s">
        <v>5328</v>
      </c>
      <c r="W253" t="s">
        <v>5329</v>
      </c>
      <c r="X253" t="s">
        <v>5330</v>
      </c>
      <c r="Y253" t="s">
        <v>5331</v>
      </c>
      <c r="Z253" t="s">
        <v>5332</v>
      </c>
      <c r="AA253" t="s">
        <v>5333</v>
      </c>
      <c r="AB253" t="s">
        <v>74</v>
      </c>
      <c r="AC253" t="s">
        <v>5334</v>
      </c>
      <c r="AD253" t="s">
        <v>5335</v>
      </c>
      <c r="AE253" t="s">
        <v>5336</v>
      </c>
      <c r="AF253" t="s">
        <v>74</v>
      </c>
      <c r="AG253">
        <v>56</v>
      </c>
      <c r="AH253">
        <v>6</v>
      </c>
      <c r="AI253">
        <v>6</v>
      </c>
      <c r="AJ253">
        <v>3</v>
      </c>
      <c r="AK253">
        <v>56</v>
      </c>
      <c r="AL253" t="s">
        <v>1793</v>
      </c>
      <c r="AM253" t="s">
        <v>1794</v>
      </c>
      <c r="AN253" t="s">
        <v>5337</v>
      </c>
      <c r="AO253" t="s">
        <v>5338</v>
      </c>
      <c r="AP253" t="s">
        <v>74</v>
      </c>
      <c r="AQ253" t="s">
        <v>74</v>
      </c>
      <c r="AR253" t="s">
        <v>5339</v>
      </c>
      <c r="AS253" t="s">
        <v>5340</v>
      </c>
      <c r="AT253" t="s">
        <v>4616</v>
      </c>
      <c r="AU253">
        <v>2018</v>
      </c>
      <c r="AV253">
        <v>36</v>
      </c>
      <c r="AW253">
        <v>5</v>
      </c>
      <c r="AX253" t="s">
        <v>74</v>
      </c>
      <c r="AY253" t="s">
        <v>74</v>
      </c>
      <c r="AZ253" t="s">
        <v>74</v>
      </c>
      <c r="BA253" t="s">
        <v>74</v>
      </c>
      <c r="BB253">
        <v>1459</v>
      </c>
      <c r="BC253">
        <v>1474</v>
      </c>
      <c r="BD253" t="s">
        <v>74</v>
      </c>
      <c r="BE253" t="s">
        <v>5341</v>
      </c>
      <c r="BF253" t="str">
        <f>HYPERLINK("http://dx.doi.org/10.1007/s00343-018-6068-2","http://dx.doi.org/10.1007/s00343-018-6068-2")</f>
        <v>http://dx.doi.org/10.1007/s00343-018-6068-2</v>
      </c>
      <c r="BG253" t="s">
        <v>74</v>
      </c>
      <c r="BH253" t="s">
        <v>74</v>
      </c>
      <c r="BI253">
        <v>16</v>
      </c>
      <c r="BJ253" t="s">
        <v>1837</v>
      </c>
      <c r="BK253" t="s">
        <v>101</v>
      </c>
      <c r="BL253" t="s">
        <v>1838</v>
      </c>
      <c r="BM253" t="s">
        <v>5342</v>
      </c>
      <c r="BN253" t="s">
        <v>74</v>
      </c>
      <c r="BO253" t="s">
        <v>74</v>
      </c>
      <c r="BP253" t="s">
        <v>74</v>
      </c>
      <c r="BQ253" t="s">
        <v>74</v>
      </c>
      <c r="BR253" t="s">
        <v>104</v>
      </c>
      <c r="BS253" t="s">
        <v>5343</v>
      </c>
      <c r="BT253" t="str">
        <f>HYPERLINK("https%3A%2F%2Fwww.webofscience.com%2Fwos%2Fwoscc%2Ffull-record%2FWOS:000450165300001","View Full Record in Web of Science")</f>
        <v>View Full Record in Web of Science</v>
      </c>
    </row>
    <row r="254" spans="1:72" x14ac:dyDescent="0.15">
      <c r="A254" t="s">
        <v>72</v>
      </c>
      <c r="B254" t="s">
        <v>5344</v>
      </c>
      <c r="C254" t="s">
        <v>74</v>
      </c>
      <c r="D254" t="s">
        <v>74</v>
      </c>
      <c r="E254" t="s">
        <v>74</v>
      </c>
      <c r="F254" t="s">
        <v>5345</v>
      </c>
      <c r="G254" t="s">
        <v>74</v>
      </c>
      <c r="H254" t="s">
        <v>74</v>
      </c>
      <c r="I254" t="s">
        <v>5346</v>
      </c>
      <c r="J254" t="s">
        <v>5347</v>
      </c>
      <c r="K254" t="s">
        <v>74</v>
      </c>
      <c r="L254" t="s">
        <v>74</v>
      </c>
      <c r="M254" t="s">
        <v>78</v>
      </c>
      <c r="N254" t="s">
        <v>79</v>
      </c>
      <c r="O254" t="s">
        <v>74</v>
      </c>
      <c r="P254" t="s">
        <v>74</v>
      </c>
      <c r="Q254" t="s">
        <v>74</v>
      </c>
      <c r="R254" t="s">
        <v>74</v>
      </c>
      <c r="S254" t="s">
        <v>74</v>
      </c>
      <c r="T254" t="s">
        <v>5348</v>
      </c>
      <c r="U254" t="s">
        <v>5349</v>
      </c>
      <c r="V254" t="s">
        <v>5350</v>
      </c>
      <c r="W254" t="s">
        <v>5351</v>
      </c>
      <c r="X254" t="s">
        <v>5352</v>
      </c>
      <c r="Y254" t="s">
        <v>5353</v>
      </c>
      <c r="Z254" t="s">
        <v>5354</v>
      </c>
      <c r="AA254" t="s">
        <v>5355</v>
      </c>
      <c r="AB254" t="s">
        <v>5356</v>
      </c>
      <c r="AC254" t="s">
        <v>5357</v>
      </c>
      <c r="AD254" t="s">
        <v>5358</v>
      </c>
      <c r="AE254" t="s">
        <v>5359</v>
      </c>
      <c r="AF254" t="s">
        <v>74</v>
      </c>
      <c r="AG254">
        <v>36</v>
      </c>
      <c r="AH254">
        <v>14</v>
      </c>
      <c r="AI254">
        <v>16</v>
      </c>
      <c r="AJ254">
        <v>0</v>
      </c>
      <c r="AK254">
        <v>5</v>
      </c>
      <c r="AL254" t="s">
        <v>285</v>
      </c>
      <c r="AM254" t="s">
        <v>286</v>
      </c>
      <c r="AN254" t="s">
        <v>287</v>
      </c>
      <c r="AO254" t="s">
        <v>5360</v>
      </c>
      <c r="AP254" t="s">
        <v>5361</v>
      </c>
      <c r="AQ254" t="s">
        <v>74</v>
      </c>
      <c r="AR254" t="s">
        <v>5362</v>
      </c>
      <c r="AS254" t="s">
        <v>5363</v>
      </c>
      <c r="AT254" t="s">
        <v>4616</v>
      </c>
      <c r="AU254">
        <v>2018</v>
      </c>
      <c r="AV254">
        <v>143</v>
      </c>
      <c r="AW254" t="s">
        <v>74</v>
      </c>
      <c r="AX254" t="s">
        <v>74</v>
      </c>
      <c r="AY254" t="s">
        <v>74</v>
      </c>
      <c r="AZ254" t="s">
        <v>74</v>
      </c>
      <c r="BA254" t="s">
        <v>74</v>
      </c>
      <c r="BB254">
        <v>70</v>
      </c>
      <c r="BC254">
        <v>79</v>
      </c>
      <c r="BD254" t="s">
        <v>74</v>
      </c>
      <c r="BE254" t="s">
        <v>5364</v>
      </c>
      <c r="BF254" t="str">
        <f>HYPERLINK("http://dx.doi.org/10.1016/j.marmicro.2018.07.002","http://dx.doi.org/10.1016/j.marmicro.2018.07.002")</f>
        <v>http://dx.doi.org/10.1016/j.marmicro.2018.07.002</v>
      </c>
      <c r="BG254" t="s">
        <v>74</v>
      </c>
      <c r="BH254" t="s">
        <v>74</v>
      </c>
      <c r="BI254">
        <v>10</v>
      </c>
      <c r="BJ254" t="s">
        <v>4573</v>
      </c>
      <c r="BK254" t="s">
        <v>101</v>
      </c>
      <c r="BL254" t="s">
        <v>4573</v>
      </c>
      <c r="BM254" t="s">
        <v>5365</v>
      </c>
      <c r="BN254" t="s">
        <v>74</v>
      </c>
      <c r="BO254" t="s">
        <v>346</v>
      </c>
      <c r="BP254" t="s">
        <v>74</v>
      </c>
      <c r="BQ254" t="s">
        <v>74</v>
      </c>
      <c r="BR254" t="s">
        <v>104</v>
      </c>
      <c r="BS254" t="s">
        <v>5366</v>
      </c>
      <c r="BT254" t="str">
        <f>HYPERLINK("https%3A%2F%2Fwww.webofscience.com%2Fwos%2Fwoscc%2Ffull-record%2FWOS:000446147300006","View Full Record in Web of Science")</f>
        <v>View Full Record in Web of Science</v>
      </c>
    </row>
    <row r="255" spans="1:72" x14ac:dyDescent="0.15">
      <c r="A255" t="s">
        <v>72</v>
      </c>
      <c r="B255" t="s">
        <v>5367</v>
      </c>
      <c r="C255" t="s">
        <v>74</v>
      </c>
      <c r="D255" t="s">
        <v>74</v>
      </c>
      <c r="E255" t="s">
        <v>74</v>
      </c>
      <c r="F255" t="s">
        <v>5368</v>
      </c>
      <c r="G255" t="s">
        <v>74</v>
      </c>
      <c r="H255" t="s">
        <v>74</v>
      </c>
      <c r="I255" t="s">
        <v>5369</v>
      </c>
      <c r="J255" t="s">
        <v>5370</v>
      </c>
      <c r="K255" t="s">
        <v>74</v>
      </c>
      <c r="L255" t="s">
        <v>74</v>
      </c>
      <c r="M255" t="s">
        <v>78</v>
      </c>
      <c r="N255" t="s">
        <v>79</v>
      </c>
      <c r="O255" t="s">
        <v>74</v>
      </c>
      <c r="P255" t="s">
        <v>74</v>
      </c>
      <c r="Q255" t="s">
        <v>74</v>
      </c>
      <c r="R255" t="s">
        <v>74</v>
      </c>
      <c r="S255" t="s">
        <v>74</v>
      </c>
      <c r="T255" t="s">
        <v>5371</v>
      </c>
      <c r="U255" t="s">
        <v>5372</v>
      </c>
      <c r="V255" t="s">
        <v>5373</v>
      </c>
      <c r="W255" t="s">
        <v>5374</v>
      </c>
      <c r="X255" t="s">
        <v>5375</v>
      </c>
      <c r="Y255" t="s">
        <v>5376</v>
      </c>
      <c r="Z255" t="s">
        <v>5377</v>
      </c>
      <c r="AA255" t="s">
        <v>5378</v>
      </c>
      <c r="AB255" t="s">
        <v>5379</v>
      </c>
      <c r="AC255" t="s">
        <v>5380</v>
      </c>
      <c r="AD255" t="s">
        <v>5381</v>
      </c>
      <c r="AE255" t="s">
        <v>5382</v>
      </c>
      <c r="AF255" t="s">
        <v>74</v>
      </c>
      <c r="AG255">
        <v>35</v>
      </c>
      <c r="AH255">
        <v>5</v>
      </c>
      <c r="AI255">
        <v>6</v>
      </c>
      <c r="AJ255">
        <v>4</v>
      </c>
      <c r="AK255">
        <v>46</v>
      </c>
      <c r="AL255" t="s">
        <v>5383</v>
      </c>
      <c r="AM255" t="s">
        <v>258</v>
      </c>
      <c r="AN255" t="s">
        <v>5384</v>
      </c>
      <c r="AO255" t="s">
        <v>5385</v>
      </c>
      <c r="AP255" t="s">
        <v>5386</v>
      </c>
      <c r="AQ255" t="s">
        <v>74</v>
      </c>
      <c r="AR255" t="s">
        <v>5387</v>
      </c>
      <c r="AS255" t="s">
        <v>344</v>
      </c>
      <c r="AT255" t="s">
        <v>4616</v>
      </c>
      <c r="AU255">
        <v>2018</v>
      </c>
      <c r="AV255">
        <v>87</v>
      </c>
      <c r="AW255">
        <v>5</v>
      </c>
      <c r="AX255" t="s">
        <v>74</v>
      </c>
      <c r="AY255" t="s">
        <v>74</v>
      </c>
      <c r="AZ255" t="s">
        <v>74</v>
      </c>
      <c r="BA255" t="s">
        <v>74</v>
      </c>
      <c r="BB255">
        <v>692</v>
      </c>
      <c r="BC255">
        <v>698</v>
      </c>
      <c r="BD255" t="s">
        <v>74</v>
      </c>
      <c r="BE255" t="s">
        <v>5388</v>
      </c>
      <c r="BF255" t="str">
        <f>HYPERLINK("http://dx.doi.org/10.1134/S0026261718050089","http://dx.doi.org/10.1134/S0026261718050089")</f>
        <v>http://dx.doi.org/10.1134/S0026261718050089</v>
      </c>
      <c r="BG255" t="s">
        <v>74</v>
      </c>
      <c r="BH255" t="s">
        <v>74</v>
      </c>
      <c r="BI255">
        <v>7</v>
      </c>
      <c r="BJ255" t="s">
        <v>344</v>
      </c>
      <c r="BK255" t="s">
        <v>101</v>
      </c>
      <c r="BL255" t="s">
        <v>344</v>
      </c>
      <c r="BM255" t="s">
        <v>5389</v>
      </c>
      <c r="BN255" t="s">
        <v>74</v>
      </c>
      <c r="BO255" t="s">
        <v>74</v>
      </c>
      <c r="BP255" t="s">
        <v>74</v>
      </c>
      <c r="BQ255" t="s">
        <v>74</v>
      </c>
      <c r="BR255" t="s">
        <v>104</v>
      </c>
      <c r="BS255" t="s">
        <v>5390</v>
      </c>
      <c r="BT255" t="str">
        <f>HYPERLINK("https%3A%2F%2Fwww.webofscience.com%2Fwos%2Fwoscc%2Ffull-record%2FWOS:000446336300010","View Full Record in Web of Science")</f>
        <v>View Full Record in Web of Science</v>
      </c>
    </row>
    <row r="256" spans="1:72" x14ac:dyDescent="0.15">
      <c r="A256" t="s">
        <v>72</v>
      </c>
      <c r="B256" t="s">
        <v>5391</v>
      </c>
      <c r="C256" t="s">
        <v>74</v>
      </c>
      <c r="D256" t="s">
        <v>74</v>
      </c>
      <c r="E256" t="s">
        <v>74</v>
      </c>
      <c r="F256" t="s">
        <v>5392</v>
      </c>
      <c r="G256" t="s">
        <v>74</v>
      </c>
      <c r="H256" t="s">
        <v>74</v>
      </c>
      <c r="I256" t="s">
        <v>5393</v>
      </c>
      <c r="J256" t="s">
        <v>1147</v>
      </c>
      <c r="K256" t="s">
        <v>74</v>
      </c>
      <c r="L256" t="s">
        <v>74</v>
      </c>
      <c r="M256" t="s">
        <v>78</v>
      </c>
      <c r="N256" t="s">
        <v>273</v>
      </c>
      <c r="O256" t="s">
        <v>74</v>
      </c>
      <c r="P256" t="s">
        <v>74</v>
      </c>
      <c r="Q256" t="s">
        <v>74</v>
      </c>
      <c r="R256" t="s">
        <v>74</v>
      </c>
      <c r="S256" t="s">
        <v>74</v>
      </c>
      <c r="T256" t="s">
        <v>74</v>
      </c>
      <c r="U256" t="s">
        <v>5394</v>
      </c>
      <c r="V256" t="s">
        <v>5395</v>
      </c>
      <c r="W256" t="s">
        <v>5396</v>
      </c>
      <c r="X256" t="s">
        <v>5397</v>
      </c>
      <c r="Y256" t="s">
        <v>5398</v>
      </c>
      <c r="Z256" t="s">
        <v>5399</v>
      </c>
      <c r="AA256" t="s">
        <v>5400</v>
      </c>
      <c r="AB256" t="s">
        <v>5401</v>
      </c>
      <c r="AC256" t="s">
        <v>5402</v>
      </c>
      <c r="AD256" t="s">
        <v>5403</v>
      </c>
      <c r="AE256" t="s">
        <v>5404</v>
      </c>
      <c r="AF256" t="s">
        <v>74</v>
      </c>
      <c r="AG256">
        <v>106</v>
      </c>
      <c r="AH256">
        <v>42</v>
      </c>
      <c r="AI256">
        <v>45</v>
      </c>
      <c r="AJ256">
        <v>0</v>
      </c>
      <c r="AK256">
        <v>35</v>
      </c>
      <c r="AL256" t="s">
        <v>3555</v>
      </c>
      <c r="AM256" t="s">
        <v>1131</v>
      </c>
      <c r="AN256" t="s">
        <v>1132</v>
      </c>
      <c r="AO256" t="s">
        <v>1161</v>
      </c>
      <c r="AP256" t="s">
        <v>1162</v>
      </c>
      <c r="AQ256" t="s">
        <v>74</v>
      </c>
      <c r="AR256" t="s">
        <v>1163</v>
      </c>
      <c r="AS256" t="s">
        <v>1164</v>
      </c>
      <c r="AT256" t="s">
        <v>4616</v>
      </c>
      <c r="AU256">
        <v>2018</v>
      </c>
      <c r="AV256">
        <v>11</v>
      </c>
      <c r="AW256">
        <v>9</v>
      </c>
      <c r="AX256" t="s">
        <v>74</v>
      </c>
      <c r="AY256" t="s">
        <v>74</v>
      </c>
      <c r="AZ256" t="s">
        <v>74</v>
      </c>
      <c r="BA256" t="s">
        <v>74</v>
      </c>
      <c r="BB256">
        <v>627</v>
      </c>
      <c r="BC256">
        <v>634</v>
      </c>
      <c r="BD256" t="s">
        <v>74</v>
      </c>
      <c r="BE256" t="s">
        <v>5405</v>
      </c>
      <c r="BF256" t="str">
        <f>HYPERLINK("http://dx.doi.org/10.1038/s41561-018-0195-4","http://dx.doi.org/10.1038/s41561-018-0195-4")</f>
        <v>http://dx.doi.org/10.1038/s41561-018-0195-4</v>
      </c>
      <c r="BG256" t="s">
        <v>74</v>
      </c>
      <c r="BH256" t="s">
        <v>74</v>
      </c>
      <c r="BI256">
        <v>8</v>
      </c>
      <c r="BJ256" t="s">
        <v>182</v>
      </c>
      <c r="BK256" t="s">
        <v>101</v>
      </c>
      <c r="BL256" t="s">
        <v>183</v>
      </c>
      <c r="BM256" t="s">
        <v>5406</v>
      </c>
      <c r="BN256" t="s">
        <v>74</v>
      </c>
      <c r="BO256" t="s">
        <v>535</v>
      </c>
      <c r="BP256" t="s">
        <v>74</v>
      </c>
      <c r="BQ256" t="s">
        <v>74</v>
      </c>
      <c r="BR256" t="s">
        <v>104</v>
      </c>
      <c r="BS256" t="s">
        <v>5407</v>
      </c>
      <c r="BT256" t="str">
        <f>HYPERLINK("https%3A%2F%2Fwww.webofscience.com%2Fwos%2Fwoscc%2Ffull-record%2FWOS:000443302900007","View Full Record in Web of Science")</f>
        <v>View Full Record in Web of Science</v>
      </c>
    </row>
    <row r="257" spans="1:72" x14ac:dyDescent="0.15">
      <c r="A257" t="s">
        <v>72</v>
      </c>
      <c r="B257" t="s">
        <v>5408</v>
      </c>
      <c r="C257" t="s">
        <v>74</v>
      </c>
      <c r="D257" t="s">
        <v>74</v>
      </c>
      <c r="E257" t="s">
        <v>74</v>
      </c>
      <c r="F257" t="s">
        <v>5409</v>
      </c>
      <c r="G257" t="s">
        <v>74</v>
      </c>
      <c r="H257" t="s">
        <v>74</v>
      </c>
      <c r="I257" t="s">
        <v>5410</v>
      </c>
      <c r="J257" t="s">
        <v>5411</v>
      </c>
      <c r="K257" t="s">
        <v>74</v>
      </c>
      <c r="L257" t="s">
        <v>74</v>
      </c>
      <c r="M257" t="s">
        <v>78</v>
      </c>
      <c r="N257" t="s">
        <v>79</v>
      </c>
      <c r="O257" t="s">
        <v>74</v>
      </c>
      <c r="P257" t="s">
        <v>74</v>
      </c>
      <c r="Q257" t="s">
        <v>74</v>
      </c>
      <c r="R257" t="s">
        <v>74</v>
      </c>
      <c r="S257" t="s">
        <v>74</v>
      </c>
      <c r="T257" t="s">
        <v>74</v>
      </c>
      <c r="U257" t="s">
        <v>5412</v>
      </c>
      <c r="V257" t="s">
        <v>5413</v>
      </c>
      <c r="W257" t="s">
        <v>5414</v>
      </c>
      <c r="X257" t="s">
        <v>5415</v>
      </c>
      <c r="Y257" t="s">
        <v>5416</v>
      </c>
      <c r="Z257" t="s">
        <v>5417</v>
      </c>
      <c r="AA257" t="s">
        <v>74</v>
      </c>
      <c r="AB257" t="s">
        <v>74</v>
      </c>
      <c r="AC257" t="s">
        <v>74</v>
      </c>
      <c r="AD257" t="s">
        <v>74</v>
      </c>
      <c r="AE257" t="s">
        <v>74</v>
      </c>
      <c r="AF257" t="s">
        <v>74</v>
      </c>
      <c r="AG257">
        <v>54</v>
      </c>
      <c r="AH257">
        <v>1</v>
      </c>
      <c r="AI257">
        <v>1</v>
      </c>
      <c r="AJ257">
        <v>0</v>
      </c>
      <c r="AK257">
        <v>2</v>
      </c>
      <c r="AL257" t="s">
        <v>5418</v>
      </c>
      <c r="AM257" t="s">
        <v>5419</v>
      </c>
      <c r="AN257" t="s">
        <v>5420</v>
      </c>
      <c r="AO257" t="s">
        <v>5421</v>
      </c>
      <c r="AP257" t="s">
        <v>74</v>
      </c>
      <c r="AQ257" t="s">
        <v>74</v>
      </c>
      <c r="AR257" t="s">
        <v>5411</v>
      </c>
      <c r="AS257" t="s">
        <v>157</v>
      </c>
      <c r="AT257" t="s">
        <v>4616</v>
      </c>
      <c r="AU257">
        <v>2018</v>
      </c>
      <c r="AV257">
        <v>31</v>
      </c>
      <c r="AW257">
        <v>3</v>
      </c>
      <c r="AX257" t="s">
        <v>74</v>
      </c>
      <c r="AY257" t="s">
        <v>74</v>
      </c>
      <c r="AZ257" t="s">
        <v>155</v>
      </c>
      <c r="BA257" t="s">
        <v>74</v>
      </c>
      <c r="BB257">
        <v>14</v>
      </c>
      <c r="BC257">
        <v>21</v>
      </c>
      <c r="BD257" t="s">
        <v>74</v>
      </c>
      <c r="BE257" t="s">
        <v>5422</v>
      </c>
      <c r="BF257" t="str">
        <f>HYPERLINK("http://dx.doi.org/10.5670/oceanog.2018.304","http://dx.doi.org/10.5670/oceanog.2018.304")</f>
        <v>http://dx.doi.org/10.5670/oceanog.2018.304</v>
      </c>
      <c r="BG257" t="s">
        <v>74</v>
      </c>
      <c r="BH257" t="s">
        <v>74</v>
      </c>
      <c r="BI257">
        <v>8</v>
      </c>
      <c r="BJ257" t="s">
        <v>157</v>
      </c>
      <c r="BK257" t="s">
        <v>101</v>
      </c>
      <c r="BL257" t="s">
        <v>157</v>
      </c>
      <c r="BM257" t="s">
        <v>5423</v>
      </c>
      <c r="BN257" t="s">
        <v>74</v>
      </c>
      <c r="BO257" t="s">
        <v>1584</v>
      </c>
      <c r="BP257" t="s">
        <v>74</v>
      </c>
      <c r="BQ257" t="s">
        <v>74</v>
      </c>
      <c r="BR257" t="s">
        <v>104</v>
      </c>
      <c r="BS257" t="s">
        <v>5424</v>
      </c>
      <c r="BT257" t="str">
        <f>HYPERLINK("https%3A%2F%2Fwww.webofscience.com%2Fwos%2Fwoscc%2Ffull-record%2FWOS:000452825400004","View Full Record in Web of Science")</f>
        <v>View Full Record in Web of Science</v>
      </c>
    </row>
    <row r="258" spans="1:72" x14ac:dyDescent="0.15">
      <c r="A258" t="s">
        <v>72</v>
      </c>
      <c r="B258" t="s">
        <v>5425</v>
      </c>
      <c r="C258" t="s">
        <v>74</v>
      </c>
      <c r="D258" t="s">
        <v>74</v>
      </c>
      <c r="E258" t="s">
        <v>74</v>
      </c>
      <c r="F258" t="s">
        <v>5426</v>
      </c>
      <c r="G258" t="s">
        <v>74</v>
      </c>
      <c r="H258" t="s">
        <v>74</v>
      </c>
      <c r="I258" t="s">
        <v>5427</v>
      </c>
      <c r="J258" t="s">
        <v>5411</v>
      </c>
      <c r="K258" t="s">
        <v>74</v>
      </c>
      <c r="L258" t="s">
        <v>74</v>
      </c>
      <c r="M258" t="s">
        <v>78</v>
      </c>
      <c r="N258" t="s">
        <v>79</v>
      </c>
      <c r="O258" t="s">
        <v>74</v>
      </c>
      <c r="P258" t="s">
        <v>74</v>
      </c>
      <c r="Q258" t="s">
        <v>74</v>
      </c>
      <c r="R258" t="s">
        <v>74</v>
      </c>
      <c r="S258" t="s">
        <v>74</v>
      </c>
      <c r="T258" t="s">
        <v>74</v>
      </c>
      <c r="U258" t="s">
        <v>5428</v>
      </c>
      <c r="V258" t="s">
        <v>5429</v>
      </c>
      <c r="W258" t="s">
        <v>5430</v>
      </c>
      <c r="X258" t="s">
        <v>5431</v>
      </c>
      <c r="Y258" t="s">
        <v>5432</v>
      </c>
      <c r="Z258" t="s">
        <v>5433</v>
      </c>
      <c r="AA258" t="s">
        <v>5309</v>
      </c>
      <c r="AB258" t="s">
        <v>5434</v>
      </c>
      <c r="AC258" t="s">
        <v>5435</v>
      </c>
      <c r="AD258" t="s">
        <v>5436</v>
      </c>
      <c r="AE258" t="s">
        <v>5437</v>
      </c>
      <c r="AF258" t="s">
        <v>74</v>
      </c>
      <c r="AG258">
        <v>41</v>
      </c>
      <c r="AH258">
        <v>19</v>
      </c>
      <c r="AI258">
        <v>19</v>
      </c>
      <c r="AJ258">
        <v>0</v>
      </c>
      <c r="AK258">
        <v>14</v>
      </c>
      <c r="AL258" t="s">
        <v>5418</v>
      </c>
      <c r="AM258" t="s">
        <v>5419</v>
      </c>
      <c r="AN258" t="s">
        <v>5420</v>
      </c>
      <c r="AO258" t="s">
        <v>5421</v>
      </c>
      <c r="AP258" t="s">
        <v>74</v>
      </c>
      <c r="AQ258" t="s">
        <v>74</v>
      </c>
      <c r="AR258" t="s">
        <v>5411</v>
      </c>
      <c r="AS258" t="s">
        <v>157</v>
      </c>
      <c r="AT258" t="s">
        <v>4616</v>
      </c>
      <c r="AU258">
        <v>2018</v>
      </c>
      <c r="AV258">
        <v>31</v>
      </c>
      <c r="AW258">
        <v>3</v>
      </c>
      <c r="AX258" t="s">
        <v>74</v>
      </c>
      <c r="AY258" t="s">
        <v>74</v>
      </c>
      <c r="AZ258" t="s">
        <v>155</v>
      </c>
      <c r="BA258" t="s">
        <v>74</v>
      </c>
      <c r="BB258">
        <v>68</v>
      </c>
      <c r="BC258">
        <v>75</v>
      </c>
      <c r="BD258" t="s">
        <v>74</v>
      </c>
      <c r="BE258" t="s">
        <v>5438</v>
      </c>
      <c r="BF258" t="str">
        <f>HYPERLINK("http://dx.doi.org/10.5670/oceanog.2018.311","http://dx.doi.org/10.5670/oceanog.2018.311")</f>
        <v>http://dx.doi.org/10.5670/oceanog.2018.311</v>
      </c>
      <c r="BG258" t="s">
        <v>74</v>
      </c>
      <c r="BH258" t="s">
        <v>74</v>
      </c>
      <c r="BI258">
        <v>8</v>
      </c>
      <c r="BJ258" t="s">
        <v>157</v>
      </c>
      <c r="BK258" t="s">
        <v>101</v>
      </c>
      <c r="BL258" t="s">
        <v>157</v>
      </c>
      <c r="BM258" t="s">
        <v>5423</v>
      </c>
      <c r="BN258" t="s">
        <v>74</v>
      </c>
      <c r="BO258" t="s">
        <v>1584</v>
      </c>
      <c r="BP258" t="s">
        <v>74</v>
      </c>
      <c r="BQ258" t="s">
        <v>74</v>
      </c>
      <c r="BR258" t="s">
        <v>104</v>
      </c>
      <c r="BS258" t="s">
        <v>5439</v>
      </c>
      <c r="BT258" t="str">
        <f>HYPERLINK("https%3A%2F%2Fwww.webofscience.com%2Fwos%2Fwoscc%2Ffull-record%2FWOS:000452825400011","View Full Record in Web of Science")</f>
        <v>View Full Record in Web of Science</v>
      </c>
    </row>
    <row r="259" spans="1:72" x14ac:dyDescent="0.15">
      <c r="A259" t="s">
        <v>72</v>
      </c>
      <c r="B259" t="s">
        <v>5440</v>
      </c>
      <c r="C259" t="s">
        <v>74</v>
      </c>
      <c r="D259" t="s">
        <v>74</v>
      </c>
      <c r="E259" t="s">
        <v>74</v>
      </c>
      <c r="F259" t="s">
        <v>5441</v>
      </c>
      <c r="G259" t="s">
        <v>74</v>
      </c>
      <c r="H259" t="s">
        <v>74</v>
      </c>
      <c r="I259" t="s">
        <v>5442</v>
      </c>
      <c r="J259" t="s">
        <v>1192</v>
      </c>
      <c r="K259" t="s">
        <v>74</v>
      </c>
      <c r="L259" t="s">
        <v>74</v>
      </c>
      <c r="M259" t="s">
        <v>78</v>
      </c>
      <c r="N259" t="s">
        <v>79</v>
      </c>
      <c r="O259" t="s">
        <v>74</v>
      </c>
      <c r="P259" t="s">
        <v>74</v>
      </c>
      <c r="Q259" t="s">
        <v>74</v>
      </c>
      <c r="R259" t="s">
        <v>74</v>
      </c>
      <c r="S259" t="s">
        <v>74</v>
      </c>
      <c r="T259" t="s">
        <v>5443</v>
      </c>
      <c r="U259" t="s">
        <v>5444</v>
      </c>
      <c r="V259" t="s">
        <v>5445</v>
      </c>
      <c r="W259" t="s">
        <v>5446</v>
      </c>
      <c r="X259" t="s">
        <v>5447</v>
      </c>
      <c r="Y259" t="s">
        <v>5448</v>
      </c>
      <c r="Z259" t="s">
        <v>5449</v>
      </c>
      <c r="AA259" t="s">
        <v>5450</v>
      </c>
      <c r="AB259" t="s">
        <v>5451</v>
      </c>
      <c r="AC259" t="s">
        <v>5452</v>
      </c>
      <c r="AD259" t="s">
        <v>5453</v>
      </c>
      <c r="AE259" t="s">
        <v>5454</v>
      </c>
      <c r="AF259" t="s">
        <v>74</v>
      </c>
      <c r="AG259">
        <v>71</v>
      </c>
      <c r="AH259">
        <v>8</v>
      </c>
      <c r="AI259">
        <v>8</v>
      </c>
      <c r="AJ259">
        <v>0</v>
      </c>
      <c r="AK259">
        <v>21</v>
      </c>
      <c r="AL259" t="s">
        <v>337</v>
      </c>
      <c r="AM259" t="s">
        <v>258</v>
      </c>
      <c r="AN259" t="s">
        <v>387</v>
      </c>
      <c r="AO259" t="s">
        <v>1204</v>
      </c>
      <c r="AP259" t="s">
        <v>1205</v>
      </c>
      <c r="AQ259" t="s">
        <v>74</v>
      </c>
      <c r="AR259" t="s">
        <v>1206</v>
      </c>
      <c r="AS259" t="s">
        <v>1207</v>
      </c>
      <c r="AT259" t="s">
        <v>4616</v>
      </c>
      <c r="AU259">
        <v>2018</v>
      </c>
      <c r="AV259">
        <v>41</v>
      </c>
      <c r="AW259">
        <v>9</v>
      </c>
      <c r="AX259" t="s">
        <v>74</v>
      </c>
      <c r="AY259" t="s">
        <v>74</v>
      </c>
      <c r="AZ259" t="s">
        <v>74</v>
      </c>
      <c r="BA259" t="s">
        <v>74</v>
      </c>
      <c r="BB259">
        <v>1815</v>
      </c>
      <c r="BC259">
        <v>1826</v>
      </c>
      <c r="BD259" t="s">
        <v>74</v>
      </c>
      <c r="BE259" t="s">
        <v>5455</v>
      </c>
      <c r="BF259" t="str">
        <f>HYPERLINK("http://dx.doi.org/10.1007/s00300-018-2321-6","http://dx.doi.org/10.1007/s00300-018-2321-6")</f>
        <v>http://dx.doi.org/10.1007/s00300-018-2321-6</v>
      </c>
      <c r="BG259" t="s">
        <v>74</v>
      </c>
      <c r="BH259" t="s">
        <v>74</v>
      </c>
      <c r="BI259">
        <v>12</v>
      </c>
      <c r="BJ259" t="s">
        <v>1209</v>
      </c>
      <c r="BK259" t="s">
        <v>101</v>
      </c>
      <c r="BL259" t="s">
        <v>1210</v>
      </c>
      <c r="BM259" t="s">
        <v>5456</v>
      </c>
      <c r="BN259" t="s">
        <v>74</v>
      </c>
      <c r="BO259" t="s">
        <v>1142</v>
      </c>
      <c r="BP259" t="s">
        <v>74</v>
      </c>
      <c r="BQ259" t="s">
        <v>74</v>
      </c>
      <c r="BR259" t="s">
        <v>104</v>
      </c>
      <c r="BS259" t="s">
        <v>5457</v>
      </c>
      <c r="BT259" t="str">
        <f>HYPERLINK("https%3A%2F%2Fwww.webofscience.com%2Fwos%2Fwoscc%2Ffull-record%2FWOS:000447600600014","View Full Record in Web of Science")</f>
        <v>View Full Record in Web of Science</v>
      </c>
    </row>
    <row r="260" spans="1:72" x14ac:dyDescent="0.15">
      <c r="A260" t="s">
        <v>72</v>
      </c>
      <c r="B260" t="s">
        <v>5458</v>
      </c>
      <c r="C260" t="s">
        <v>74</v>
      </c>
      <c r="D260" t="s">
        <v>74</v>
      </c>
      <c r="E260" t="s">
        <v>74</v>
      </c>
      <c r="F260" t="s">
        <v>5459</v>
      </c>
      <c r="G260" t="s">
        <v>74</v>
      </c>
      <c r="H260" t="s">
        <v>74</v>
      </c>
      <c r="I260" t="s">
        <v>5460</v>
      </c>
      <c r="J260" t="s">
        <v>5461</v>
      </c>
      <c r="K260" t="s">
        <v>74</v>
      </c>
      <c r="L260" t="s">
        <v>74</v>
      </c>
      <c r="M260" t="s">
        <v>78</v>
      </c>
      <c r="N260" t="s">
        <v>79</v>
      </c>
      <c r="O260" t="s">
        <v>74</v>
      </c>
      <c r="P260" t="s">
        <v>74</v>
      </c>
      <c r="Q260" t="s">
        <v>74</v>
      </c>
      <c r="R260" t="s">
        <v>74</v>
      </c>
      <c r="S260" t="s">
        <v>74</v>
      </c>
      <c r="T260" t="s">
        <v>5462</v>
      </c>
      <c r="U260" t="s">
        <v>5463</v>
      </c>
      <c r="V260" t="s">
        <v>5464</v>
      </c>
      <c r="W260" t="s">
        <v>5465</v>
      </c>
      <c r="X260" t="s">
        <v>5466</v>
      </c>
      <c r="Y260" t="s">
        <v>5467</v>
      </c>
      <c r="Z260" t="s">
        <v>5468</v>
      </c>
      <c r="AA260" t="s">
        <v>5469</v>
      </c>
      <c r="AB260" t="s">
        <v>5470</v>
      </c>
      <c r="AC260" t="s">
        <v>5471</v>
      </c>
      <c r="AD260" t="s">
        <v>5472</v>
      </c>
      <c r="AE260" t="s">
        <v>5473</v>
      </c>
      <c r="AF260" t="s">
        <v>74</v>
      </c>
      <c r="AG260">
        <v>35</v>
      </c>
      <c r="AH260">
        <v>7</v>
      </c>
      <c r="AI260">
        <v>8</v>
      </c>
      <c r="AJ260">
        <v>0</v>
      </c>
      <c r="AK260">
        <v>25</v>
      </c>
      <c r="AL260" t="s">
        <v>1053</v>
      </c>
      <c r="AM260" t="s">
        <v>1054</v>
      </c>
      <c r="AN260" t="s">
        <v>1055</v>
      </c>
      <c r="AO260" t="s">
        <v>5474</v>
      </c>
      <c r="AP260" t="s">
        <v>74</v>
      </c>
      <c r="AQ260" t="s">
        <v>74</v>
      </c>
      <c r="AR260" t="s">
        <v>5475</v>
      </c>
      <c r="AS260" t="s">
        <v>5476</v>
      </c>
      <c r="AT260" t="s">
        <v>4616</v>
      </c>
      <c r="AU260">
        <v>2018</v>
      </c>
      <c r="AV260">
        <v>10</v>
      </c>
      <c r="AW260">
        <v>9</v>
      </c>
      <c r="AX260" t="s">
        <v>74</v>
      </c>
      <c r="AY260" t="s">
        <v>74</v>
      </c>
      <c r="AZ260" t="s">
        <v>74</v>
      </c>
      <c r="BA260" t="s">
        <v>74</v>
      </c>
      <c r="BB260" t="s">
        <v>74</v>
      </c>
      <c r="BC260" t="s">
        <v>74</v>
      </c>
      <c r="BD260">
        <v>1043</v>
      </c>
      <c r="BE260" t="s">
        <v>5477</v>
      </c>
      <c r="BF260" t="str">
        <f>HYPERLINK("http://dx.doi.org/10.3390/polym10091043","http://dx.doi.org/10.3390/polym10091043")</f>
        <v>http://dx.doi.org/10.3390/polym10091043</v>
      </c>
      <c r="BG260" t="s">
        <v>74</v>
      </c>
      <c r="BH260" t="s">
        <v>74</v>
      </c>
      <c r="BI260">
        <v>16</v>
      </c>
      <c r="BJ260" t="s">
        <v>4085</v>
      </c>
      <c r="BK260" t="s">
        <v>101</v>
      </c>
      <c r="BL260" t="s">
        <v>4085</v>
      </c>
      <c r="BM260" t="s">
        <v>5478</v>
      </c>
      <c r="BN260">
        <v>30960968</v>
      </c>
      <c r="BO260" t="s">
        <v>4310</v>
      </c>
      <c r="BP260" t="s">
        <v>74</v>
      </c>
      <c r="BQ260" t="s">
        <v>74</v>
      </c>
      <c r="BR260" t="s">
        <v>104</v>
      </c>
      <c r="BS260" t="s">
        <v>5479</v>
      </c>
      <c r="BT260" t="str">
        <f>HYPERLINK("https%3A%2F%2Fwww.webofscience.com%2Fwos%2Fwoscc%2Ffull-record%2FWOS:000449988800112","View Full Record in Web of Science")</f>
        <v>View Full Record in Web of Science</v>
      </c>
    </row>
    <row r="261" spans="1:72" x14ac:dyDescent="0.15">
      <c r="A261" t="s">
        <v>72</v>
      </c>
      <c r="B261" t="s">
        <v>5480</v>
      </c>
      <c r="C261" t="s">
        <v>74</v>
      </c>
      <c r="D261" t="s">
        <v>74</v>
      </c>
      <c r="E261" t="s">
        <v>74</v>
      </c>
      <c r="F261" t="s">
        <v>5481</v>
      </c>
      <c r="G261" t="s">
        <v>74</v>
      </c>
      <c r="H261" t="s">
        <v>74</v>
      </c>
      <c r="I261" t="s">
        <v>5482</v>
      </c>
      <c r="J261" t="s">
        <v>1866</v>
      </c>
      <c r="K261" t="s">
        <v>74</v>
      </c>
      <c r="L261" t="s">
        <v>74</v>
      </c>
      <c r="M261" t="s">
        <v>78</v>
      </c>
      <c r="N261" t="s">
        <v>79</v>
      </c>
      <c r="O261" t="s">
        <v>74</v>
      </c>
      <c r="P261" t="s">
        <v>74</v>
      </c>
      <c r="Q261" t="s">
        <v>74</v>
      </c>
      <c r="R261" t="s">
        <v>74</v>
      </c>
      <c r="S261" t="s">
        <v>74</v>
      </c>
      <c r="T261" t="s">
        <v>5483</v>
      </c>
      <c r="U261" t="s">
        <v>5484</v>
      </c>
      <c r="V261" t="s">
        <v>5485</v>
      </c>
      <c r="W261" t="s">
        <v>5486</v>
      </c>
      <c r="X261" t="s">
        <v>5487</v>
      </c>
      <c r="Y261" t="s">
        <v>5488</v>
      </c>
      <c r="Z261" t="s">
        <v>5489</v>
      </c>
      <c r="AA261" t="s">
        <v>5490</v>
      </c>
      <c r="AB261" t="s">
        <v>5491</v>
      </c>
      <c r="AC261" t="s">
        <v>5492</v>
      </c>
      <c r="AD261" t="s">
        <v>5493</v>
      </c>
      <c r="AE261" t="s">
        <v>5494</v>
      </c>
      <c r="AF261" t="s">
        <v>74</v>
      </c>
      <c r="AG261">
        <v>76</v>
      </c>
      <c r="AH261">
        <v>21</v>
      </c>
      <c r="AI261">
        <v>23</v>
      </c>
      <c r="AJ261">
        <v>1</v>
      </c>
      <c r="AK261">
        <v>18</v>
      </c>
      <c r="AL261" t="s">
        <v>149</v>
      </c>
      <c r="AM261" t="s">
        <v>93</v>
      </c>
      <c r="AN261" t="s">
        <v>150</v>
      </c>
      <c r="AO261" t="s">
        <v>1879</v>
      </c>
      <c r="AP261" t="s">
        <v>74</v>
      </c>
      <c r="AQ261" t="s">
        <v>74</v>
      </c>
      <c r="AR261" t="s">
        <v>1880</v>
      </c>
      <c r="AS261" t="s">
        <v>1881</v>
      </c>
      <c r="AT261" t="s">
        <v>4851</v>
      </c>
      <c r="AU261">
        <v>2018</v>
      </c>
      <c r="AV261">
        <v>195</v>
      </c>
      <c r="AW261" t="s">
        <v>74</v>
      </c>
      <c r="AX261" t="s">
        <v>74</v>
      </c>
      <c r="AY261" t="s">
        <v>74</v>
      </c>
      <c r="AZ261" t="s">
        <v>74</v>
      </c>
      <c r="BA261" t="s">
        <v>74</v>
      </c>
      <c r="BB261">
        <v>153</v>
      </c>
      <c r="BC261">
        <v>170</v>
      </c>
      <c r="BD261" t="s">
        <v>74</v>
      </c>
      <c r="BE261" t="s">
        <v>5495</v>
      </c>
      <c r="BF261" t="str">
        <f>HYPERLINK("http://dx.doi.org/10.1016/j.quascirev.2018.07.028","http://dx.doi.org/10.1016/j.quascirev.2018.07.028")</f>
        <v>http://dx.doi.org/10.1016/j.quascirev.2018.07.028</v>
      </c>
      <c r="BG261" t="s">
        <v>74</v>
      </c>
      <c r="BH261" t="s">
        <v>74</v>
      </c>
      <c r="BI261">
        <v>18</v>
      </c>
      <c r="BJ261" t="s">
        <v>208</v>
      </c>
      <c r="BK261" t="s">
        <v>101</v>
      </c>
      <c r="BL261" t="s">
        <v>209</v>
      </c>
      <c r="BM261" t="s">
        <v>5496</v>
      </c>
      <c r="BN261" t="s">
        <v>74</v>
      </c>
      <c r="BO261" t="s">
        <v>1142</v>
      </c>
      <c r="BP261" t="s">
        <v>74</v>
      </c>
      <c r="BQ261" t="s">
        <v>74</v>
      </c>
      <c r="BR261" t="s">
        <v>104</v>
      </c>
      <c r="BS261" t="s">
        <v>5497</v>
      </c>
      <c r="BT261" t="str">
        <f>HYPERLINK("https%3A%2F%2Fwww.webofscience.com%2Fwos%2Fwoscc%2Ffull-record%2FWOS:000442332700009","View Full Record in Web of Science")</f>
        <v>View Full Record in Web of Science</v>
      </c>
    </row>
    <row r="262" spans="1:72" x14ac:dyDescent="0.15">
      <c r="A262" t="s">
        <v>72</v>
      </c>
      <c r="B262" t="s">
        <v>5498</v>
      </c>
      <c r="C262" t="s">
        <v>74</v>
      </c>
      <c r="D262" t="s">
        <v>74</v>
      </c>
      <c r="E262" t="s">
        <v>74</v>
      </c>
      <c r="F262" t="s">
        <v>5499</v>
      </c>
      <c r="G262" t="s">
        <v>74</v>
      </c>
      <c r="H262" t="s">
        <v>74</v>
      </c>
      <c r="I262" t="s">
        <v>5500</v>
      </c>
      <c r="J262" t="s">
        <v>5501</v>
      </c>
      <c r="K262" t="s">
        <v>74</v>
      </c>
      <c r="L262" t="s">
        <v>74</v>
      </c>
      <c r="M262" t="s">
        <v>78</v>
      </c>
      <c r="N262" t="s">
        <v>79</v>
      </c>
      <c r="O262" t="s">
        <v>74</v>
      </c>
      <c r="P262" t="s">
        <v>74</v>
      </c>
      <c r="Q262" t="s">
        <v>74</v>
      </c>
      <c r="R262" t="s">
        <v>74</v>
      </c>
      <c r="S262" t="s">
        <v>74</v>
      </c>
      <c r="T262" t="s">
        <v>5502</v>
      </c>
      <c r="U262" t="s">
        <v>5503</v>
      </c>
      <c r="V262" t="s">
        <v>5504</v>
      </c>
      <c r="W262" t="s">
        <v>5505</v>
      </c>
      <c r="X262" t="s">
        <v>74</v>
      </c>
      <c r="Y262" t="s">
        <v>5506</v>
      </c>
      <c r="Z262" t="s">
        <v>5507</v>
      </c>
      <c r="AA262" t="s">
        <v>5508</v>
      </c>
      <c r="AB262" t="s">
        <v>5509</v>
      </c>
      <c r="AC262" t="s">
        <v>5510</v>
      </c>
      <c r="AD262" t="s">
        <v>5511</v>
      </c>
      <c r="AE262" t="s">
        <v>5512</v>
      </c>
      <c r="AF262" t="s">
        <v>74</v>
      </c>
      <c r="AG262">
        <v>15</v>
      </c>
      <c r="AH262">
        <v>5</v>
      </c>
      <c r="AI262">
        <v>5</v>
      </c>
      <c r="AJ262">
        <v>0</v>
      </c>
      <c r="AK262">
        <v>0</v>
      </c>
      <c r="AL262" t="s">
        <v>5513</v>
      </c>
      <c r="AM262" t="s">
        <v>5514</v>
      </c>
      <c r="AN262" t="s">
        <v>5515</v>
      </c>
      <c r="AO262" t="s">
        <v>5516</v>
      </c>
      <c r="AP262" t="s">
        <v>74</v>
      </c>
      <c r="AQ262" t="s">
        <v>74</v>
      </c>
      <c r="AR262" t="s">
        <v>5517</v>
      </c>
      <c r="AS262" t="s">
        <v>5518</v>
      </c>
      <c r="AT262" t="s">
        <v>5519</v>
      </c>
      <c r="AU262">
        <v>2018</v>
      </c>
      <c r="AV262">
        <v>18</v>
      </c>
      <c r="AW262">
        <v>5</v>
      </c>
      <c r="AX262" t="s">
        <v>74</v>
      </c>
      <c r="AY262" t="s">
        <v>74</v>
      </c>
      <c r="AZ262" t="s">
        <v>74</v>
      </c>
      <c r="BA262" t="s">
        <v>74</v>
      </c>
      <c r="BB262" t="s">
        <v>74</v>
      </c>
      <c r="BC262" t="s">
        <v>74</v>
      </c>
      <c r="BD262" t="s">
        <v>5520</v>
      </c>
      <c r="BE262" t="s">
        <v>5521</v>
      </c>
      <c r="BF262" t="str">
        <f>HYPERLINK("http://dx.doi.org/10.2205/2018ES000630","http://dx.doi.org/10.2205/2018ES000630")</f>
        <v>http://dx.doi.org/10.2205/2018ES000630</v>
      </c>
      <c r="BG262" t="s">
        <v>74</v>
      </c>
      <c r="BH262" t="s">
        <v>74</v>
      </c>
      <c r="BI262">
        <v>6</v>
      </c>
      <c r="BJ262" t="s">
        <v>182</v>
      </c>
      <c r="BK262" t="s">
        <v>126</v>
      </c>
      <c r="BL262" t="s">
        <v>183</v>
      </c>
      <c r="BM262" t="s">
        <v>5522</v>
      </c>
      <c r="BN262" t="s">
        <v>74</v>
      </c>
      <c r="BO262" t="s">
        <v>712</v>
      </c>
      <c r="BP262" t="s">
        <v>74</v>
      </c>
      <c r="BQ262" t="s">
        <v>74</v>
      </c>
      <c r="BR262" t="s">
        <v>104</v>
      </c>
      <c r="BS262" t="s">
        <v>5523</v>
      </c>
      <c r="BT262" t="str">
        <f>HYPERLINK("https%3A%2F%2Fwww.webofscience.com%2Fwos%2Fwoscc%2Ffull-record%2FWOS:000449784000006","View Full Record in Web of Science")</f>
        <v>View Full Record in Web of Science</v>
      </c>
    </row>
    <row r="263" spans="1:72" x14ac:dyDescent="0.15">
      <c r="A263" t="s">
        <v>72</v>
      </c>
      <c r="B263" t="s">
        <v>5524</v>
      </c>
      <c r="C263" t="s">
        <v>74</v>
      </c>
      <c r="D263" t="s">
        <v>74</v>
      </c>
      <c r="E263" t="s">
        <v>74</v>
      </c>
      <c r="F263" t="s">
        <v>5525</v>
      </c>
      <c r="G263" t="s">
        <v>74</v>
      </c>
      <c r="H263" t="s">
        <v>74</v>
      </c>
      <c r="I263" t="s">
        <v>5526</v>
      </c>
      <c r="J263" t="s">
        <v>5527</v>
      </c>
      <c r="K263" t="s">
        <v>74</v>
      </c>
      <c r="L263" t="s">
        <v>74</v>
      </c>
      <c r="M263" t="s">
        <v>78</v>
      </c>
      <c r="N263" t="s">
        <v>79</v>
      </c>
      <c r="O263" t="s">
        <v>74</v>
      </c>
      <c r="P263" t="s">
        <v>74</v>
      </c>
      <c r="Q263" t="s">
        <v>74</v>
      </c>
      <c r="R263" t="s">
        <v>74</v>
      </c>
      <c r="S263" t="s">
        <v>74</v>
      </c>
      <c r="T263" t="s">
        <v>5528</v>
      </c>
      <c r="U263" t="s">
        <v>5529</v>
      </c>
      <c r="V263" t="s">
        <v>5530</v>
      </c>
      <c r="W263" t="s">
        <v>5531</v>
      </c>
      <c r="X263" t="s">
        <v>5532</v>
      </c>
      <c r="Y263" t="s">
        <v>5533</v>
      </c>
      <c r="Z263" t="s">
        <v>5534</v>
      </c>
      <c r="AA263" t="s">
        <v>5535</v>
      </c>
      <c r="AB263" t="s">
        <v>5536</v>
      </c>
      <c r="AC263" t="s">
        <v>5537</v>
      </c>
      <c r="AD263" t="s">
        <v>5538</v>
      </c>
      <c r="AE263" t="s">
        <v>5539</v>
      </c>
      <c r="AF263" t="s">
        <v>74</v>
      </c>
      <c r="AG263">
        <v>44</v>
      </c>
      <c r="AH263">
        <v>99</v>
      </c>
      <c r="AI263">
        <v>121</v>
      </c>
      <c r="AJ263">
        <v>10</v>
      </c>
      <c r="AK263">
        <v>136</v>
      </c>
      <c r="AL263" t="s">
        <v>430</v>
      </c>
      <c r="AM263" t="s">
        <v>286</v>
      </c>
      <c r="AN263" t="s">
        <v>431</v>
      </c>
      <c r="AO263" t="s">
        <v>5540</v>
      </c>
      <c r="AP263" t="s">
        <v>5541</v>
      </c>
      <c r="AQ263" t="s">
        <v>74</v>
      </c>
      <c r="AR263" t="s">
        <v>5542</v>
      </c>
      <c r="AS263" t="s">
        <v>5543</v>
      </c>
      <c r="AT263" t="s">
        <v>4851</v>
      </c>
      <c r="AU263">
        <v>2018</v>
      </c>
      <c r="AV263">
        <v>635</v>
      </c>
      <c r="AW263" t="s">
        <v>74</v>
      </c>
      <c r="AX263" t="s">
        <v>74</v>
      </c>
      <c r="AY263" t="s">
        <v>74</v>
      </c>
      <c r="AZ263" t="s">
        <v>74</v>
      </c>
      <c r="BA263" t="s">
        <v>74</v>
      </c>
      <c r="BB263">
        <v>576</v>
      </c>
      <c r="BC263">
        <v>585</v>
      </c>
      <c r="BD263" t="s">
        <v>74</v>
      </c>
      <c r="BE263" t="s">
        <v>5544</v>
      </c>
      <c r="BF263" t="str">
        <f>HYPERLINK("http://dx.doi.org/10.1016/j.scitotenv.2018.04.122","http://dx.doi.org/10.1016/j.scitotenv.2018.04.122")</f>
        <v>http://dx.doi.org/10.1016/j.scitotenv.2018.04.122</v>
      </c>
      <c r="BG263" t="s">
        <v>74</v>
      </c>
      <c r="BH263" t="s">
        <v>74</v>
      </c>
      <c r="BI263">
        <v>10</v>
      </c>
      <c r="BJ263" t="s">
        <v>558</v>
      </c>
      <c r="BK263" t="s">
        <v>101</v>
      </c>
      <c r="BL263" t="s">
        <v>559</v>
      </c>
      <c r="BM263" t="s">
        <v>5545</v>
      </c>
      <c r="BN263">
        <v>29679830</v>
      </c>
      <c r="BO263" t="s">
        <v>74</v>
      </c>
      <c r="BP263" t="s">
        <v>74</v>
      </c>
      <c r="BQ263" t="s">
        <v>74</v>
      </c>
      <c r="BR263" t="s">
        <v>104</v>
      </c>
      <c r="BS263" t="s">
        <v>5546</v>
      </c>
      <c r="BT263" t="str">
        <f>HYPERLINK("https%3A%2F%2Fwww.webofscience.com%2Fwos%2Fwoscc%2Ffull-record%2FWOS:000436494400056","View Full Record in Web of Science")</f>
        <v>View Full Record in Web of Science</v>
      </c>
    </row>
    <row r="264" spans="1:72" x14ac:dyDescent="0.15">
      <c r="A264" t="s">
        <v>72</v>
      </c>
      <c r="B264" t="s">
        <v>5547</v>
      </c>
      <c r="C264" t="s">
        <v>74</v>
      </c>
      <c r="D264" t="s">
        <v>74</v>
      </c>
      <c r="E264" t="s">
        <v>74</v>
      </c>
      <c r="F264" t="s">
        <v>5548</v>
      </c>
      <c r="G264" t="s">
        <v>74</v>
      </c>
      <c r="H264" t="s">
        <v>74</v>
      </c>
      <c r="I264" t="s">
        <v>5549</v>
      </c>
      <c r="J264" t="s">
        <v>5550</v>
      </c>
      <c r="K264" t="s">
        <v>74</v>
      </c>
      <c r="L264" t="s">
        <v>74</v>
      </c>
      <c r="M264" t="s">
        <v>78</v>
      </c>
      <c r="N264" t="s">
        <v>79</v>
      </c>
      <c r="O264" t="s">
        <v>74</v>
      </c>
      <c r="P264" t="s">
        <v>74</v>
      </c>
      <c r="Q264" t="s">
        <v>74</v>
      </c>
      <c r="R264" t="s">
        <v>74</v>
      </c>
      <c r="S264" t="s">
        <v>74</v>
      </c>
      <c r="T264" t="s">
        <v>74</v>
      </c>
      <c r="U264" t="s">
        <v>74</v>
      </c>
      <c r="V264" t="s">
        <v>74</v>
      </c>
      <c r="W264" t="s">
        <v>5551</v>
      </c>
      <c r="X264" t="s">
        <v>5552</v>
      </c>
      <c r="Y264" t="s">
        <v>5553</v>
      </c>
      <c r="Z264" t="s">
        <v>5554</v>
      </c>
      <c r="AA264" t="s">
        <v>5555</v>
      </c>
      <c r="AB264" t="s">
        <v>5556</v>
      </c>
      <c r="AC264" t="s">
        <v>5557</v>
      </c>
      <c r="AD264" t="s">
        <v>5558</v>
      </c>
      <c r="AE264" t="s">
        <v>5559</v>
      </c>
      <c r="AF264" t="s">
        <v>74</v>
      </c>
      <c r="AG264">
        <v>2</v>
      </c>
      <c r="AH264">
        <v>1</v>
      </c>
      <c r="AI264">
        <v>2</v>
      </c>
      <c r="AJ264">
        <v>0</v>
      </c>
      <c r="AK264">
        <v>2</v>
      </c>
      <c r="AL264" t="s">
        <v>5383</v>
      </c>
      <c r="AM264" t="s">
        <v>258</v>
      </c>
      <c r="AN264" t="s">
        <v>5384</v>
      </c>
      <c r="AO264" t="s">
        <v>5560</v>
      </c>
      <c r="AP264" t="s">
        <v>5561</v>
      </c>
      <c r="AQ264" t="s">
        <v>74</v>
      </c>
      <c r="AR264" t="s">
        <v>5562</v>
      </c>
      <c r="AS264" t="s">
        <v>5563</v>
      </c>
      <c r="AT264" t="s">
        <v>4616</v>
      </c>
      <c r="AU264">
        <v>2018</v>
      </c>
      <c r="AV264">
        <v>58</v>
      </c>
      <c r="AW264">
        <v>5</v>
      </c>
      <c r="AX264" t="s">
        <v>74</v>
      </c>
      <c r="AY264" t="s">
        <v>74</v>
      </c>
      <c r="AZ264" t="s">
        <v>74</v>
      </c>
      <c r="BA264" t="s">
        <v>74</v>
      </c>
      <c r="BB264">
        <v>763</v>
      </c>
      <c r="BC264">
        <v>768</v>
      </c>
      <c r="BD264" t="s">
        <v>74</v>
      </c>
      <c r="BE264" t="s">
        <v>5564</v>
      </c>
      <c r="BF264" t="str">
        <f>HYPERLINK("http://dx.doi.org/10.1134/S0001437018050016","http://dx.doi.org/10.1134/S0001437018050016")</f>
        <v>http://dx.doi.org/10.1134/S0001437018050016</v>
      </c>
      <c r="BG264" t="s">
        <v>74</v>
      </c>
      <c r="BH264" t="s">
        <v>74</v>
      </c>
      <c r="BI264">
        <v>6</v>
      </c>
      <c r="BJ264" t="s">
        <v>157</v>
      </c>
      <c r="BK264" t="s">
        <v>101</v>
      </c>
      <c r="BL264" t="s">
        <v>157</v>
      </c>
      <c r="BM264" t="s">
        <v>5565</v>
      </c>
      <c r="BN264" t="s">
        <v>74</v>
      </c>
      <c r="BO264" t="s">
        <v>74</v>
      </c>
      <c r="BP264" t="s">
        <v>74</v>
      </c>
      <c r="BQ264" t="s">
        <v>74</v>
      </c>
      <c r="BR264" t="s">
        <v>104</v>
      </c>
      <c r="BS264" t="s">
        <v>5566</v>
      </c>
      <c r="BT264" t="str">
        <f>HYPERLINK("https%3A%2F%2Fwww.webofscience.com%2Fwos%2Fwoscc%2Ffull-record%2FWOS:000449817500017","View Full Record in Web of Science")</f>
        <v>View Full Record in Web of Science</v>
      </c>
    </row>
    <row r="265" spans="1:72" x14ac:dyDescent="0.15">
      <c r="A265" t="s">
        <v>72</v>
      </c>
      <c r="B265" t="s">
        <v>5567</v>
      </c>
      <c r="C265" t="s">
        <v>74</v>
      </c>
      <c r="D265" t="s">
        <v>74</v>
      </c>
      <c r="E265" t="s">
        <v>74</v>
      </c>
      <c r="F265" t="s">
        <v>5568</v>
      </c>
      <c r="G265" t="s">
        <v>74</v>
      </c>
      <c r="H265" t="s">
        <v>74</v>
      </c>
      <c r="I265" t="s">
        <v>5569</v>
      </c>
      <c r="J265" t="s">
        <v>2804</v>
      </c>
      <c r="K265" t="s">
        <v>74</v>
      </c>
      <c r="L265" t="s">
        <v>74</v>
      </c>
      <c r="M265" t="s">
        <v>78</v>
      </c>
      <c r="N265" t="s">
        <v>79</v>
      </c>
      <c r="O265" t="s">
        <v>74</v>
      </c>
      <c r="P265" t="s">
        <v>74</v>
      </c>
      <c r="Q265" t="s">
        <v>74</v>
      </c>
      <c r="R265" t="s">
        <v>74</v>
      </c>
      <c r="S265" t="s">
        <v>74</v>
      </c>
      <c r="T265" t="s">
        <v>5570</v>
      </c>
      <c r="U265" t="s">
        <v>5571</v>
      </c>
      <c r="V265" t="s">
        <v>5572</v>
      </c>
      <c r="W265" t="s">
        <v>5573</v>
      </c>
      <c r="X265" t="s">
        <v>5574</v>
      </c>
      <c r="Y265" t="s">
        <v>5575</v>
      </c>
      <c r="Z265" t="s">
        <v>5576</v>
      </c>
      <c r="AA265" t="s">
        <v>5577</v>
      </c>
      <c r="AB265" t="s">
        <v>5578</v>
      </c>
      <c r="AC265" t="s">
        <v>5579</v>
      </c>
      <c r="AD265" t="s">
        <v>5580</v>
      </c>
      <c r="AE265" t="s">
        <v>5581</v>
      </c>
      <c r="AF265" t="s">
        <v>74</v>
      </c>
      <c r="AG265">
        <v>40</v>
      </c>
      <c r="AH265">
        <v>8</v>
      </c>
      <c r="AI265">
        <v>8</v>
      </c>
      <c r="AJ265">
        <v>1</v>
      </c>
      <c r="AK265">
        <v>9</v>
      </c>
      <c r="AL265" t="s">
        <v>1053</v>
      </c>
      <c r="AM265" t="s">
        <v>1054</v>
      </c>
      <c r="AN265" t="s">
        <v>1055</v>
      </c>
      <c r="AO265" t="s">
        <v>74</v>
      </c>
      <c r="AP265" t="s">
        <v>2816</v>
      </c>
      <c r="AQ265" t="s">
        <v>74</v>
      </c>
      <c r="AR265" t="s">
        <v>2817</v>
      </c>
      <c r="AS265" t="s">
        <v>2818</v>
      </c>
      <c r="AT265" t="s">
        <v>4616</v>
      </c>
      <c r="AU265">
        <v>2018</v>
      </c>
      <c r="AV265">
        <v>10</v>
      </c>
      <c r="AW265">
        <v>9</v>
      </c>
      <c r="AX265" t="s">
        <v>74</v>
      </c>
      <c r="AY265" t="s">
        <v>74</v>
      </c>
      <c r="AZ265" t="s">
        <v>74</v>
      </c>
      <c r="BA265" t="s">
        <v>74</v>
      </c>
      <c r="BB265" t="s">
        <v>74</v>
      </c>
      <c r="BC265" t="s">
        <v>74</v>
      </c>
      <c r="BD265">
        <v>1451</v>
      </c>
      <c r="BE265" t="s">
        <v>5582</v>
      </c>
      <c r="BF265" t="str">
        <f>HYPERLINK("http://dx.doi.org/10.3390/rs10091451","http://dx.doi.org/10.3390/rs10091451")</f>
        <v>http://dx.doi.org/10.3390/rs10091451</v>
      </c>
      <c r="BG265" t="s">
        <v>74</v>
      </c>
      <c r="BH265" t="s">
        <v>74</v>
      </c>
      <c r="BI265">
        <v>15</v>
      </c>
      <c r="BJ265" t="s">
        <v>2820</v>
      </c>
      <c r="BK265" t="s">
        <v>101</v>
      </c>
      <c r="BL265" t="s">
        <v>2821</v>
      </c>
      <c r="BM265" t="s">
        <v>5583</v>
      </c>
      <c r="BN265" t="s">
        <v>74</v>
      </c>
      <c r="BO265" t="s">
        <v>239</v>
      </c>
      <c r="BP265" t="s">
        <v>74</v>
      </c>
      <c r="BQ265" t="s">
        <v>74</v>
      </c>
      <c r="BR265" t="s">
        <v>104</v>
      </c>
      <c r="BS265" t="s">
        <v>5584</v>
      </c>
      <c r="BT265" t="str">
        <f>HYPERLINK("https%3A%2F%2Fwww.webofscience.com%2Fwos%2Fwoscc%2Ffull-record%2FWOS:000449993800131","View Full Record in Web of Science")</f>
        <v>View Full Record in Web of Science</v>
      </c>
    </row>
    <row r="266" spans="1:72" x14ac:dyDescent="0.15">
      <c r="A266" t="s">
        <v>72</v>
      </c>
      <c r="B266" t="s">
        <v>5585</v>
      </c>
      <c r="C266" t="s">
        <v>74</v>
      </c>
      <c r="D266" t="s">
        <v>74</v>
      </c>
      <c r="E266" t="s">
        <v>74</v>
      </c>
      <c r="F266" t="s">
        <v>5586</v>
      </c>
      <c r="G266" t="s">
        <v>74</v>
      </c>
      <c r="H266" t="s">
        <v>74</v>
      </c>
      <c r="I266" t="s">
        <v>5587</v>
      </c>
      <c r="J266" t="s">
        <v>2804</v>
      </c>
      <c r="K266" t="s">
        <v>74</v>
      </c>
      <c r="L266" t="s">
        <v>74</v>
      </c>
      <c r="M266" t="s">
        <v>78</v>
      </c>
      <c r="N266" t="s">
        <v>79</v>
      </c>
      <c r="O266" t="s">
        <v>74</v>
      </c>
      <c r="P266" t="s">
        <v>74</v>
      </c>
      <c r="Q266" t="s">
        <v>74</v>
      </c>
      <c r="R266" t="s">
        <v>74</v>
      </c>
      <c r="S266" t="s">
        <v>74</v>
      </c>
      <c r="T266" t="s">
        <v>5588</v>
      </c>
      <c r="U266" t="s">
        <v>5589</v>
      </c>
      <c r="V266" t="s">
        <v>5590</v>
      </c>
      <c r="W266" t="s">
        <v>5591</v>
      </c>
      <c r="X266" t="s">
        <v>5592</v>
      </c>
      <c r="Y266" t="s">
        <v>5593</v>
      </c>
      <c r="Z266" t="s">
        <v>5594</v>
      </c>
      <c r="AA266" t="s">
        <v>5595</v>
      </c>
      <c r="AB266" t="s">
        <v>74</v>
      </c>
      <c r="AC266" t="s">
        <v>5596</v>
      </c>
      <c r="AD266" t="s">
        <v>5597</v>
      </c>
      <c r="AE266" t="s">
        <v>5598</v>
      </c>
      <c r="AF266" t="s">
        <v>74</v>
      </c>
      <c r="AG266">
        <v>83</v>
      </c>
      <c r="AH266">
        <v>16</v>
      </c>
      <c r="AI266">
        <v>18</v>
      </c>
      <c r="AJ266">
        <v>1</v>
      </c>
      <c r="AK266">
        <v>27</v>
      </c>
      <c r="AL266" t="s">
        <v>1053</v>
      </c>
      <c r="AM266" t="s">
        <v>1054</v>
      </c>
      <c r="AN266" t="s">
        <v>1055</v>
      </c>
      <c r="AO266" t="s">
        <v>74</v>
      </c>
      <c r="AP266" t="s">
        <v>2816</v>
      </c>
      <c r="AQ266" t="s">
        <v>74</v>
      </c>
      <c r="AR266" t="s">
        <v>2817</v>
      </c>
      <c r="AS266" t="s">
        <v>2818</v>
      </c>
      <c r="AT266" t="s">
        <v>4616</v>
      </c>
      <c r="AU266">
        <v>2018</v>
      </c>
      <c r="AV266">
        <v>10</v>
      </c>
      <c r="AW266">
        <v>9</v>
      </c>
      <c r="AX266" t="s">
        <v>74</v>
      </c>
      <c r="AY266" t="s">
        <v>74</v>
      </c>
      <c r="AZ266" t="s">
        <v>74</v>
      </c>
      <c r="BA266" t="s">
        <v>74</v>
      </c>
      <c r="BB266" t="s">
        <v>74</v>
      </c>
      <c r="BC266" t="s">
        <v>74</v>
      </c>
      <c r="BD266">
        <v>1391</v>
      </c>
      <c r="BE266" t="s">
        <v>5599</v>
      </c>
      <c r="BF266" t="str">
        <f>HYPERLINK("http://dx.doi.org/10.3390/rs10091391","http://dx.doi.org/10.3390/rs10091391")</f>
        <v>http://dx.doi.org/10.3390/rs10091391</v>
      </c>
      <c r="BG266" t="s">
        <v>74</v>
      </c>
      <c r="BH266" t="s">
        <v>74</v>
      </c>
      <c r="BI266">
        <v>19</v>
      </c>
      <c r="BJ266" t="s">
        <v>2820</v>
      </c>
      <c r="BK266" t="s">
        <v>101</v>
      </c>
      <c r="BL266" t="s">
        <v>2821</v>
      </c>
      <c r="BM266" t="s">
        <v>5583</v>
      </c>
      <c r="BN266" t="s">
        <v>74</v>
      </c>
      <c r="BO266" t="s">
        <v>3382</v>
      </c>
      <c r="BP266" t="s">
        <v>74</v>
      </c>
      <c r="BQ266" t="s">
        <v>74</v>
      </c>
      <c r="BR266" t="s">
        <v>104</v>
      </c>
      <c r="BS266" t="s">
        <v>5600</v>
      </c>
      <c r="BT266" t="str">
        <f>HYPERLINK("https%3A%2F%2Fwww.webofscience.com%2Fwos%2Fwoscc%2Ffull-record%2FWOS:000449993800071","View Full Record in Web of Science")</f>
        <v>View Full Record in Web of Science</v>
      </c>
    </row>
    <row r="267" spans="1:72" x14ac:dyDescent="0.15">
      <c r="A267" t="s">
        <v>72</v>
      </c>
      <c r="B267" t="s">
        <v>5601</v>
      </c>
      <c r="C267" t="s">
        <v>74</v>
      </c>
      <c r="D267" t="s">
        <v>74</v>
      </c>
      <c r="E267" t="s">
        <v>74</v>
      </c>
      <c r="F267" t="s">
        <v>5602</v>
      </c>
      <c r="G267" t="s">
        <v>74</v>
      </c>
      <c r="H267" t="s">
        <v>74</v>
      </c>
      <c r="I267" t="s">
        <v>5603</v>
      </c>
      <c r="J267" t="s">
        <v>5604</v>
      </c>
      <c r="K267" t="s">
        <v>74</v>
      </c>
      <c r="L267" t="s">
        <v>74</v>
      </c>
      <c r="M267" t="s">
        <v>78</v>
      </c>
      <c r="N267" t="s">
        <v>79</v>
      </c>
      <c r="O267" t="s">
        <v>74</v>
      </c>
      <c r="P267" t="s">
        <v>74</v>
      </c>
      <c r="Q267" t="s">
        <v>74</v>
      </c>
      <c r="R267" t="s">
        <v>74</v>
      </c>
      <c r="S267" t="s">
        <v>74</v>
      </c>
      <c r="T267" t="s">
        <v>74</v>
      </c>
      <c r="U267" t="s">
        <v>5605</v>
      </c>
      <c r="V267" t="s">
        <v>5606</v>
      </c>
      <c r="W267" t="s">
        <v>5607</v>
      </c>
      <c r="X267" t="s">
        <v>5608</v>
      </c>
      <c r="Y267" t="s">
        <v>5609</v>
      </c>
      <c r="Z267" t="s">
        <v>5610</v>
      </c>
      <c r="AA267" t="s">
        <v>5611</v>
      </c>
      <c r="AB267" t="s">
        <v>5612</v>
      </c>
      <c r="AC267" t="s">
        <v>5613</v>
      </c>
      <c r="AD267" t="s">
        <v>5614</v>
      </c>
      <c r="AE267" t="s">
        <v>5615</v>
      </c>
      <c r="AF267" t="s">
        <v>74</v>
      </c>
      <c r="AG267">
        <v>66</v>
      </c>
      <c r="AH267">
        <v>12</v>
      </c>
      <c r="AI267">
        <v>12</v>
      </c>
      <c r="AJ267">
        <v>2</v>
      </c>
      <c r="AK267">
        <v>47</v>
      </c>
      <c r="AL267" t="s">
        <v>758</v>
      </c>
      <c r="AM267" t="s">
        <v>759</v>
      </c>
      <c r="AN267" t="s">
        <v>760</v>
      </c>
      <c r="AO267" t="s">
        <v>5616</v>
      </c>
      <c r="AP267" t="s">
        <v>5617</v>
      </c>
      <c r="AQ267" t="s">
        <v>74</v>
      </c>
      <c r="AR267" t="s">
        <v>5618</v>
      </c>
      <c r="AS267" t="s">
        <v>5619</v>
      </c>
      <c r="AT267" t="s">
        <v>4616</v>
      </c>
      <c r="AU267">
        <v>2018</v>
      </c>
      <c r="AV267">
        <v>63</v>
      </c>
      <c r="AW267">
        <v>5</v>
      </c>
      <c r="AX267" t="s">
        <v>74</v>
      </c>
      <c r="AY267" t="s">
        <v>74</v>
      </c>
      <c r="AZ267" t="s">
        <v>74</v>
      </c>
      <c r="BA267" t="s">
        <v>74</v>
      </c>
      <c r="BB267">
        <v>2179</v>
      </c>
      <c r="BC267">
        <v>2190</v>
      </c>
      <c r="BD267" t="s">
        <v>74</v>
      </c>
      <c r="BE267" t="s">
        <v>5620</v>
      </c>
      <c r="BF267" t="str">
        <f>HYPERLINK("http://dx.doi.org/10.1002/lno.10932","http://dx.doi.org/10.1002/lno.10932")</f>
        <v>http://dx.doi.org/10.1002/lno.10932</v>
      </c>
      <c r="BG267" t="s">
        <v>74</v>
      </c>
      <c r="BH267" t="s">
        <v>74</v>
      </c>
      <c r="BI267">
        <v>12</v>
      </c>
      <c r="BJ267" t="s">
        <v>1837</v>
      </c>
      <c r="BK267" t="s">
        <v>101</v>
      </c>
      <c r="BL267" t="s">
        <v>1838</v>
      </c>
      <c r="BM267" t="s">
        <v>5621</v>
      </c>
      <c r="BN267" t="s">
        <v>74</v>
      </c>
      <c r="BO267" t="s">
        <v>712</v>
      </c>
      <c r="BP267" t="s">
        <v>74</v>
      </c>
      <c r="BQ267" t="s">
        <v>74</v>
      </c>
      <c r="BR267" t="s">
        <v>104</v>
      </c>
      <c r="BS267" t="s">
        <v>5622</v>
      </c>
      <c r="BT267" t="str">
        <f>HYPERLINK("https%3A%2F%2Fwww.webofscience.com%2Fwos%2Fwoscc%2Ffull-record%2FWOS:000449045600022","View Full Record in Web of Science")</f>
        <v>View Full Record in Web of Science</v>
      </c>
    </row>
    <row r="268" spans="1:72" x14ac:dyDescent="0.15">
      <c r="A268" t="s">
        <v>72</v>
      </c>
      <c r="B268" t="s">
        <v>5623</v>
      </c>
      <c r="C268" t="s">
        <v>74</v>
      </c>
      <c r="D268" t="s">
        <v>74</v>
      </c>
      <c r="E268" t="s">
        <v>74</v>
      </c>
      <c r="F268" t="s">
        <v>5624</v>
      </c>
      <c r="G268" t="s">
        <v>74</v>
      </c>
      <c r="H268" t="s">
        <v>74</v>
      </c>
      <c r="I268" t="s">
        <v>5625</v>
      </c>
      <c r="J268" t="s">
        <v>5604</v>
      </c>
      <c r="K268" t="s">
        <v>74</v>
      </c>
      <c r="L268" t="s">
        <v>74</v>
      </c>
      <c r="M268" t="s">
        <v>78</v>
      </c>
      <c r="N268" t="s">
        <v>79</v>
      </c>
      <c r="O268" t="s">
        <v>74</v>
      </c>
      <c r="P268" t="s">
        <v>74</v>
      </c>
      <c r="Q268" t="s">
        <v>74</v>
      </c>
      <c r="R268" t="s">
        <v>74</v>
      </c>
      <c r="S268" t="s">
        <v>74</v>
      </c>
      <c r="T268" t="s">
        <v>74</v>
      </c>
      <c r="U268" t="s">
        <v>5626</v>
      </c>
      <c r="V268" t="s">
        <v>5627</v>
      </c>
      <c r="W268" t="s">
        <v>5628</v>
      </c>
      <c r="X268" t="s">
        <v>5629</v>
      </c>
      <c r="Y268" t="s">
        <v>5630</v>
      </c>
      <c r="Z268" t="s">
        <v>1619</v>
      </c>
      <c r="AA268" t="s">
        <v>1620</v>
      </c>
      <c r="AB268" t="s">
        <v>5631</v>
      </c>
      <c r="AC268" t="s">
        <v>5632</v>
      </c>
      <c r="AD268" t="s">
        <v>5632</v>
      </c>
      <c r="AE268" t="s">
        <v>5633</v>
      </c>
      <c r="AF268" t="s">
        <v>74</v>
      </c>
      <c r="AG268">
        <v>134</v>
      </c>
      <c r="AH268">
        <v>11</v>
      </c>
      <c r="AI268">
        <v>12</v>
      </c>
      <c r="AJ268">
        <v>0</v>
      </c>
      <c r="AK268">
        <v>22</v>
      </c>
      <c r="AL268" t="s">
        <v>758</v>
      </c>
      <c r="AM268" t="s">
        <v>759</v>
      </c>
      <c r="AN268" t="s">
        <v>760</v>
      </c>
      <c r="AO268" t="s">
        <v>5616</v>
      </c>
      <c r="AP268" t="s">
        <v>5617</v>
      </c>
      <c r="AQ268" t="s">
        <v>74</v>
      </c>
      <c r="AR268" t="s">
        <v>5618</v>
      </c>
      <c r="AS268" t="s">
        <v>5619</v>
      </c>
      <c r="AT268" t="s">
        <v>4616</v>
      </c>
      <c r="AU268">
        <v>2018</v>
      </c>
      <c r="AV268">
        <v>63</v>
      </c>
      <c r="AW268">
        <v>5</v>
      </c>
      <c r="AX268" t="s">
        <v>74</v>
      </c>
      <c r="AY268" t="s">
        <v>74</v>
      </c>
      <c r="AZ268" t="s">
        <v>74</v>
      </c>
      <c r="BA268" t="s">
        <v>74</v>
      </c>
      <c r="BB268">
        <v>2206</v>
      </c>
      <c r="BC268">
        <v>2228</v>
      </c>
      <c r="BD268" t="s">
        <v>74</v>
      </c>
      <c r="BE268" t="s">
        <v>5634</v>
      </c>
      <c r="BF268" t="str">
        <f>HYPERLINK("http://dx.doi.org/10.1002/lno.10934","http://dx.doi.org/10.1002/lno.10934")</f>
        <v>http://dx.doi.org/10.1002/lno.10934</v>
      </c>
      <c r="BG268" t="s">
        <v>74</v>
      </c>
      <c r="BH268" t="s">
        <v>74</v>
      </c>
      <c r="BI268">
        <v>23</v>
      </c>
      <c r="BJ268" t="s">
        <v>1837</v>
      </c>
      <c r="BK268" t="s">
        <v>101</v>
      </c>
      <c r="BL268" t="s">
        <v>1838</v>
      </c>
      <c r="BM268" t="s">
        <v>5621</v>
      </c>
      <c r="BN268" t="s">
        <v>74</v>
      </c>
      <c r="BO268" t="s">
        <v>712</v>
      </c>
      <c r="BP268" t="s">
        <v>74</v>
      </c>
      <c r="BQ268" t="s">
        <v>74</v>
      </c>
      <c r="BR268" t="s">
        <v>104</v>
      </c>
      <c r="BS268" t="s">
        <v>5635</v>
      </c>
      <c r="BT268" t="str">
        <f>HYPERLINK("https%3A%2F%2Fwww.webofscience.com%2Fwos%2Fwoscc%2Ffull-record%2FWOS:000449045600024","View Full Record in Web of Science")</f>
        <v>View Full Record in Web of Science</v>
      </c>
    </row>
    <row r="269" spans="1:72" x14ac:dyDescent="0.15">
      <c r="A269" t="s">
        <v>72</v>
      </c>
      <c r="B269" t="s">
        <v>5636</v>
      </c>
      <c r="C269" t="s">
        <v>74</v>
      </c>
      <c r="D269" t="s">
        <v>74</v>
      </c>
      <c r="E269" t="s">
        <v>74</v>
      </c>
      <c r="F269" t="s">
        <v>5637</v>
      </c>
      <c r="G269" t="s">
        <v>74</v>
      </c>
      <c r="H269" t="s">
        <v>74</v>
      </c>
      <c r="I269" t="s">
        <v>5638</v>
      </c>
      <c r="J269" t="s">
        <v>1443</v>
      </c>
      <c r="K269" t="s">
        <v>74</v>
      </c>
      <c r="L269" t="s">
        <v>74</v>
      </c>
      <c r="M269" t="s">
        <v>78</v>
      </c>
      <c r="N269" t="s">
        <v>79</v>
      </c>
      <c r="O269" t="s">
        <v>74</v>
      </c>
      <c r="P269" t="s">
        <v>74</v>
      </c>
      <c r="Q269" t="s">
        <v>74</v>
      </c>
      <c r="R269" t="s">
        <v>74</v>
      </c>
      <c r="S269" t="s">
        <v>74</v>
      </c>
      <c r="T269" t="s">
        <v>74</v>
      </c>
      <c r="U269" t="s">
        <v>5639</v>
      </c>
      <c r="V269" t="s">
        <v>5640</v>
      </c>
      <c r="W269" t="s">
        <v>5641</v>
      </c>
      <c r="X269" t="s">
        <v>5642</v>
      </c>
      <c r="Y269" t="s">
        <v>5643</v>
      </c>
      <c r="Z269" t="s">
        <v>5644</v>
      </c>
      <c r="AA269" t="s">
        <v>5645</v>
      </c>
      <c r="AB269" t="s">
        <v>5646</v>
      </c>
      <c r="AC269" t="s">
        <v>5647</v>
      </c>
      <c r="AD269" t="s">
        <v>5648</v>
      </c>
      <c r="AE269" t="s">
        <v>5649</v>
      </c>
      <c r="AF269" t="s">
        <v>74</v>
      </c>
      <c r="AG269">
        <v>36</v>
      </c>
      <c r="AH269">
        <v>57</v>
      </c>
      <c r="AI269">
        <v>59</v>
      </c>
      <c r="AJ269">
        <v>0</v>
      </c>
      <c r="AK269">
        <v>18</v>
      </c>
      <c r="AL269" t="s">
        <v>503</v>
      </c>
      <c r="AM269" t="s">
        <v>504</v>
      </c>
      <c r="AN269" t="s">
        <v>505</v>
      </c>
      <c r="AO269" t="s">
        <v>1455</v>
      </c>
      <c r="AP269" t="s">
        <v>74</v>
      </c>
      <c r="AQ269" t="s">
        <v>74</v>
      </c>
      <c r="AR269" t="s">
        <v>1456</v>
      </c>
      <c r="AS269" t="s">
        <v>1457</v>
      </c>
      <c r="AT269" t="s">
        <v>4616</v>
      </c>
      <c r="AU269">
        <v>2018</v>
      </c>
      <c r="AV269">
        <v>16</v>
      </c>
      <c r="AW269">
        <v>9</v>
      </c>
      <c r="AX269" t="s">
        <v>74</v>
      </c>
      <c r="AY269" t="s">
        <v>74</v>
      </c>
      <c r="AZ269" t="s">
        <v>74</v>
      </c>
      <c r="BA269" t="s">
        <v>74</v>
      </c>
      <c r="BB269">
        <v>1190</v>
      </c>
      <c r="BC269">
        <v>1201</v>
      </c>
      <c r="BD269" t="s">
        <v>74</v>
      </c>
      <c r="BE269" t="s">
        <v>5650</v>
      </c>
      <c r="BF269" t="str">
        <f>HYPERLINK("http://dx.doi.org/10.1029/2018SW001897","http://dx.doi.org/10.1029/2018SW001897")</f>
        <v>http://dx.doi.org/10.1029/2018SW001897</v>
      </c>
      <c r="BG269" t="s">
        <v>74</v>
      </c>
      <c r="BH269" t="s">
        <v>74</v>
      </c>
      <c r="BI269">
        <v>12</v>
      </c>
      <c r="BJ269" t="s">
        <v>1459</v>
      </c>
      <c r="BK269" t="s">
        <v>101</v>
      </c>
      <c r="BL269" t="s">
        <v>1459</v>
      </c>
      <c r="BM269" t="s">
        <v>5651</v>
      </c>
      <c r="BN269" t="s">
        <v>74</v>
      </c>
      <c r="BO269" t="s">
        <v>346</v>
      </c>
      <c r="BP269" t="s">
        <v>74</v>
      </c>
      <c r="BQ269" t="s">
        <v>74</v>
      </c>
      <c r="BR269" t="s">
        <v>104</v>
      </c>
      <c r="BS269" t="s">
        <v>5652</v>
      </c>
      <c r="BT269" t="str">
        <f>HYPERLINK("https%3A%2F%2Fwww.webofscience.com%2Fwos%2Fwoscc%2Ffull-record%2FWOS:000448291400002","View Full Record in Web of Science")</f>
        <v>View Full Record in Web of Science</v>
      </c>
    </row>
    <row r="270" spans="1:72" x14ac:dyDescent="0.15">
      <c r="A270" t="s">
        <v>72</v>
      </c>
      <c r="B270" t="s">
        <v>5653</v>
      </c>
      <c r="C270" t="s">
        <v>74</v>
      </c>
      <c r="D270" t="s">
        <v>74</v>
      </c>
      <c r="E270" t="s">
        <v>74</v>
      </c>
      <c r="F270" t="s">
        <v>5654</v>
      </c>
      <c r="G270" t="s">
        <v>74</v>
      </c>
      <c r="H270" t="s">
        <v>74</v>
      </c>
      <c r="I270" t="s">
        <v>5655</v>
      </c>
      <c r="J270" t="s">
        <v>1443</v>
      </c>
      <c r="K270" t="s">
        <v>74</v>
      </c>
      <c r="L270" t="s">
        <v>74</v>
      </c>
      <c r="M270" t="s">
        <v>78</v>
      </c>
      <c r="N270" t="s">
        <v>79</v>
      </c>
      <c r="O270" t="s">
        <v>74</v>
      </c>
      <c r="P270" t="s">
        <v>74</v>
      </c>
      <c r="Q270" t="s">
        <v>74</v>
      </c>
      <c r="R270" t="s">
        <v>74</v>
      </c>
      <c r="S270" t="s">
        <v>74</v>
      </c>
      <c r="T270" t="s">
        <v>74</v>
      </c>
      <c r="U270" t="s">
        <v>5656</v>
      </c>
      <c r="V270" t="s">
        <v>5657</v>
      </c>
      <c r="W270" t="s">
        <v>5658</v>
      </c>
      <c r="X270" t="s">
        <v>5659</v>
      </c>
      <c r="Y270" t="s">
        <v>5660</v>
      </c>
      <c r="Z270" t="s">
        <v>5661</v>
      </c>
      <c r="AA270" t="s">
        <v>5662</v>
      </c>
      <c r="AB270" t="s">
        <v>5663</v>
      </c>
      <c r="AC270" t="s">
        <v>5664</v>
      </c>
      <c r="AD270" t="s">
        <v>5665</v>
      </c>
      <c r="AE270" t="s">
        <v>5666</v>
      </c>
      <c r="AF270" t="s">
        <v>74</v>
      </c>
      <c r="AG270">
        <v>86</v>
      </c>
      <c r="AH270">
        <v>22</v>
      </c>
      <c r="AI270">
        <v>22</v>
      </c>
      <c r="AJ270">
        <v>0</v>
      </c>
      <c r="AK270">
        <v>3</v>
      </c>
      <c r="AL270" t="s">
        <v>503</v>
      </c>
      <c r="AM270" t="s">
        <v>504</v>
      </c>
      <c r="AN270" t="s">
        <v>505</v>
      </c>
      <c r="AO270" t="s">
        <v>74</v>
      </c>
      <c r="AP270" t="s">
        <v>1455</v>
      </c>
      <c r="AQ270" t="s">
        <v>74</v>
      </c>
      <c r="AR270" t="s">
        <v>1456</v>
      </c>
      <c r="AS270" t="s">
        <v>1457</v>
      </c>
      <c r="AT270" t="s">
        <v>4616</v>
      </c>
      <c r="AU270">
        <v>2018</v>
      </c>
      <c r="AV270">
        <v>16</v>
      </c>
      <c r="AW270">
        <v>9</v>
      </c>
      <c r="AX270" t="s">
        <v>74</v>
      </c>
      <c r="AY270" t="s">
        <v>74</v>
      </c>
      <c r="AZ270" t="s">
        <v>74</v>
      </c>
      <c r="BA270" t="s">
        <v>74</v>
      </c>
      <c r="BB270">
        <v>1202</v>
      </c>
      <c r="BC270">
        <v>1215</v>
      </c>
      <c r="BD270" t="s">
        <v>74</v>
      </c>
      <c r="BE270" t="s">
        <v>5667</v>
      </c>
      <c r="BF270" t="str">
        <f>HYPERLINK("http://dx.doi.org/10.1029/2018SW001948","http://dx.doi.org/10.1029/2018SW001948")</f>
        <v>http://dx.doi.org/10.1029/2018SW001948</v>
      </c>
      <c r="BG270" t="s">
        <v>74</v>
      </c>
      <c r="BH270" t="s">
        <v>74</v>
      </c>
      <c r="BI270">
        <v>14</v>
      </c>
      <c r="BJ270" t="s">
        <v>1459</v>
      </c>
      <c r="BK270" t="s">
        <v>101</v>
      </c>
      <c r="BL270" t="s">
        <v>1459</v>
      </c>
      <c r="BM270" t="s">
        <v>5651</v>
      </c>
      <c r="BN270">
        <v>31031572</v>
      </c>
      <c r="BO270" t="s">
        <v>2989</v>
      </c>
      <c r="BP270" t="s">
        <v>74</v>
      </c>
      <c r="BQ270" t="s">
        <v>74</v>
      </c>
      <c r="BR270" t="s">
        <v>104</v>
      </c>
      <c r="BS270" t="s">
        <v>5668</v>
      </c>
      <c r="BT270" t="str">
        <f>HYPERLINK("https%3A%2F%2Fwww.webofscience.com%2Fwos%2Fwoscc%2Ffull-record%2FWOS:000448291400003","View Full Record in Web of Science")</f>
        <v>View Full Record in Web of Science</v>
      </c>
    </row>
    <row r="271" spans="1:72" x14ac:dyDescent="0.15">
      <c r="A271" t="s">
        <v>72</v>
      </c>
      <c r="B271" t="s">
        <v>5669</v>
      </c>
      <c r="C271" t="s">
        <v>74</v>
      </c>
      <c r="D271" t="s">
        <v>74</v>
      </c>
      <c r="E271" t="s">
        <v>74</v>
      </c>
      <c r="F271" t="s">
        <v>5670</v>
      </c>
      <c r="G271" t="s">
        <v>74</v>
      </c>
      <c r="H271" t="s">
        <v>74</v>
      </c>
      <c r="I271" t="s">
        <v>5671</v>
      </c>
      <c r="J271" t="s">
        <v>1443</v>
      </c>
      <c r="K271" t="s">
        <v>74</v>
      </c>
      <c r="L271" t="s">
        <v>74</v>
      </c>
      <c r="M271" t="s">
        <v>78</v>
      </c>
      <c r="N271" t="s">
        <v>79</v>
      </c>
      <c r="O271" t="s">
        <v>74</v>
      </c>
      <c r="P271" t="s">
        <v>74</v>
      </c>
      <c r="Q271" t="s">
        <v>74</v>
      </c>
      <c r="R271" t="s">
        <v>74</v>
      </c>
      <c r="S271" t="s">
        <v>74</v>
      </c>
      <c r="T271" t="s">
        <v>74</v>
      </c>
      <c r="U271" t="s">
        <v>5672</v>
      </c>
      <c r="V271" t="s">
        <v>5673</v>
      </c>
      <c r="W271" t="s">
        <v>5674</v>
      </c>
      <c r="X271" t="s">
        <v>5675</v>
      </c>
      <c r="Y271" t="s">
        <v>5676</v>
      </c>
      <c r="Z271" t="s">
        <v>5677</v>
      </c>
      <c r="AA271" t="s">
        <v>1471</v>
      </c>
      <c r="AB271" t="s">
        <v>1472</v>
      </c>
      <c r="AC271" t="s">
        <v>5678</v>
      </c>
      <c r="AD271" t="s">
        <v>5679</v>
      </c>
      <c r="AE271" t="s">
        <v>5680</v>
      </c>
      <c r="AF271" t="s">
        <v>74</v>
      </c>
      <c r="AG271">
        <v>38</v>
      </c>
      <c r="AH271">
        <v>27</v>
      </c>
      <c r="AI271">
        <v>30</v>
      </c>
      <c r="AJ271">
        <v>1</v>
      </c>
      <c r="AK271">
        <v>21</v>
      </c>
      <c r="AL271" t="s">
        <v>503</v>
      </c>
      <c r="AM271" t="s">
        <v>504</v>
      </c>
      <c r="AN271" t="s">
        <v>505</v>
      </c>
      <c r="AO271" t="s">
        <v>1455</v>
      </c>
      <c r="AP271" t="s">
        <v>74</v>
      </c>
      <c r="AQ271" t="s">
        <v>74</v>
      </c>
      <c r="AR271" t="s">
        <v>1456</v>
      </c>
      <c r="AS271" t="s">
        <v>1457</v>
      </c>
      <c r="AT271" t="s">
        <v>4616</v>
      </c>
      <c r="AU271">
        <v>2018</v>
      </c>
      <c r="AV271">
        <v>16</v>
      </c>
      <c r="AW271">
        <v>9</v>
      </c>
      <c r="AX271" t="s">
        <v>74</v>
      </c>
      <c r="AY271" t="s">
        <v>74</v>
      </c>
      <c r="AZ271" t="s">
        <v>74</v>
      </c>
      <c r="BA271" t="s">
        <v>74</v>
      </c>
      <c r="BB271">
        <v>1216</v>
      </c>
      <c r="BC271">
        <v>1226</v>
      </c>
      <c r="BD271" t="s">
        <v>74</v>
      </c>
      <c r="BE271" t="s">
        <v>5681</v>
      </c>
      <c r="BF271" t="str">
        <f>HYPERLINK("http://dx.doi.org/10.1029/2018SW001913","http://dx.doi.org/10.1029/2018SW001913")</f>
        <v>http://dx.doi.org/10.1029/2018SW001913</v>
      </c>
      <c r="BG271" t="s">
        <v>74</v>
      </c>
      <c r="BH271" t="s">
        <v>74</v>
      </c>
      <c r="BI271">
        <v>11</v>
      </c>
      <c r="BJ271" t="s">
        <v>1459</v>
      </c>
      <c r="BK271" t="s">
        <v>101</v>
      </c>
      <c r="BL271" t="s">
        <v>1459</v>
      </c>
      <c r="BM271" t="s">
        <v>5651</v>
      </c>
      <c r="BN271" t="s">
        <v>74</v>
      </c>
      <c r="BO271" t="s">
        <v>853</v>
      </c>
      <c r="BP271" t="s">
        <v>74</v>
      </c>
      <c r="BQ271" t="s">
        <v>74</v>
      </c>
      <c r="BR271" t="s">
        <v>104</v>
      </c>
      <c r="BS271" t="s">
        <v>5682</v>
      </c>
      <c r="BT271" t="str">
        <f>HYPERLINK("https%3A%2F%2Fwww.webofscience.com%2Fwos%2Fwoscc%2Ffull-record%2FWOS:000448291400004","View Full Record in Web of Science")</f>
        <v>View Full Record in Web of Science</v>
      </c>
    </row>
    <row r="272" spans="1:72" x14ac:dyDescent="0.15">
      <c r="A272" t="s">
        <v>72</v>
      </c>
      <c r="B272" t="s">
        <v>5683</v>
      </c>
      <c r="C272" t="s">
        <v>74</v>
      </c>
      <c r="D272" t="s">
        <v>74</v>
      </c>
      <c r="E272" t="s">
        <v>74</v>
      </c>
      <c r="F272" t="s">
        <v>5684</v>
      </c>
      <c r="G272" t="s">
        <v>74</v>
      </c>
      <c r="H272" t="s">
        <v>74</v>
      </c>
      <c r="I272" t="s">
        <v>5685</v>
      </c>
      <c r="J272" t="s">
        <v>1443</v>
      </c>
      <c r="K272" t="s">
        <v>74</v>
      </c>
      <c r="L272" t="s">
        <v>74</v>
      </c>
      <c r="M272" t="s">
        <v>78</v>
      </c>
      <c r="N272" t="s">
        <v>79</v>
      </c>
      <c r="O272" t="s">
        <v>74</v>
      </c>
      <c r="P272" t="s">
        <v>74</v>
      </c>
      <c r="Q272" t="s">
        <v>74</v>
      </c>
      <c r="R272" t="s">
        <v>74</v>
      </c>
      <c r="S272" t="s">
        <v>74</v>
      </c>
      <c r="T272" t="s">
        <v>74</v>
      </c>
      <c r="U272" t="s">
        <v>5686</v>
      </c>
      <c r="V272" t="s">
        <v>5687</v>
      </c>
      <c r="W272" t="s">
        <v>5688</v>
      </c>
      <c r="X272" t="s">
        <v>2679</v>
      </c>
      <c r="Y272" t="s">
        <v>5689</v>
      </c>
      <c r="Z272" t="s">
        <v>5690</v>
      </c>
      <c r="AA272" t="s">
        <v>74</v>
      </c>
      <c r="AB272" t="s">
        <v>5691</v>
      </c>
      <c r="AC272" t="s">
        <v>5692</v>
      </c>
      <c r="AD272" t="s">
        <v>5693</v>
      </c>
      <c r="AE272" t="s">
        <v>5694</v>
      </c>
      <c r="AF272" t="s">
        <v>74</v>
      </c>
      <c r="AG272">
        <v>77</v>
      </c>
      <c r="AH272">
        <v>34</v>
      </c>
      <c r="AI272">
        <v>34</v>
      </c>
      <c r="AJ272">
        <v>0</v>
      </c>
      <c r="AK272">
        <v>13</v>
      </c>
      <c r="AL272" t="s">
        <v>503</v>
      </c>
      <c r="AM272" t="s">
        <v>504</v>
      </c>
      <c r="AN272" t="s">
        <v>505</v>
      </c>
      <c r="AO272" t="s">
        <v>1455</v>
      </c>
      <c r="AP272" t="s">
        <v>74</v>
      </c>
      <c r="AQ272" t="s">
        <v>74</v>
      </c>
      <c r="AR272" t="s">
        <v>1456</v>
      </c>
      <c r="AS272" t="s">
        <v>1457</v>
      </c>
      <c r="AT272" t="s">
        <v>4616</v>
      </c>
      <c r="AU272">
        <v>2018</v>
      </c>
      <c r="AV272">
        <v>16</v>
      </c>
      <c r="AW272">
        <v>9</v>
      </c>
      <c r="AX272" t="s">
        <v>74</v>
      </c>
      <c r="AY272" t="s">
        <v>74</v>
      </c>
      <c r="AZ272" t="s">
        <v>74</v>
      </c>
      <c r="BA272" t="s">
        <v>74</v>
      </c>
      <c r="BB272">
        <v>1377</v>
      </c>
      <c r="BC272">
        <v>1395</v>
      </c>
      <c r="BD272" t="s">
        <v>74</v>
      </c>
      <c r="BE272" t="s">
        <v>5695</v>
      </c>
      <c r="BF272" t="str">
        <f>HYPERLINK("http://dx.doi.org/10.1029/2018SW001869","http://dx.doi.org/10.1029/2018SW001869")</f>
        <v>http://dx.doi.org/10.1029/2018SW001869</v>
      </c>
      <c r="BG272" t="s">
        <v>74</v>
      </c>
      <c r="BH272" t="s">
        <v>74</v>
      </c>
      <c r="BI272">
        <v>19</v>
      </c>
      <c r="BJ272" t="s">
        <v>1459</v>
      </c>
      <c r="BK272" t="s">
        <v>101</v>
      </c>
      <c r="BL272" t="s">
        <v>1459</v>
      </c>
      <c r="BM272" t="s">
        <v>5651</v>
      </c>
      <c r="BN272" t="s">
        <v>74</v>
      </c>
      <c r="BO272" t="s">
        <v>712</v>
      </c>
      <c r="BP272" t="s">
        <v>74</v>
      </c>
      <c r="BQ272" t="s">
        <v>74</v>
      </c>
      <c r="BR272" t="s">
        <v>104</v>
      </c>
      <c r="BS272" t="s">
        <v>5696</v>
      </c>
      <c r="BT272" t="str">
        <f>HYPERLINK("https%3A%2F%2Fwww.webofscience.com%2Fwos%2Fwoscc%2Ffull-record%2FWOS:000448291400015","View Full Record in Web of Science")</f>
        <v>View Full Record in Web of Science</v>
      </c>
    </row>
    <row r="273" spans="1:72" x14ac:dyDescent="0.15">
      <c r="A273" t="s">
        <v>72</v>
      </c>
      <c r="B273" t="s">
        <v>5697</v>
      </c>
      <c r="C273" t="s">
        <v>74</v>
      </c>
      <c r="D273" t="s">
        <v>74</v>
      </c>
      <c r="E273" t="s">
        <v>74</v>
      </c>
      <c r="F273" t="s">
        <v>5698</v>
      </c>
      <c r="G273" t="s">
        <v>74</v>
      </c>
      <c r="H273" t="s">
        <v>74</v>
      </c>
      <c r="I273" t="s">
        <v>5699</v>
      </c>
      <c r="J273" t="s">
        <v>1371</v>
      </c>
      <c r="K273" t="s">
        <v>74</v>
      </c>
      <c r="L273" t="s">
        <v>74</v>
      </c>
      <c r="M273" t="s">
        <v>78</v>
      </c>
      <c r="N273" t="s">
        <v>79</v>
      </c>
      <c r="O273" t="s">
        <v>74</v>
      </c>
      <c r="P273" t="s">
        <v>74</v>
      </c>
      <c r="Q273" t="s">
        <v>74</v>
      </c>
      <c r="R273" t="s">
        <v>74</v>
      </c>
      <c r="S273" t="s">
        <v>74</v>
      </c>
      <c r="T273" t="s">
        <v>5700</v>
      </c>
      <c r="U273" t="s">
        <v>5701</v>
      </c>
      <c r="V273" t="s">
        <v>5702</v>
      </c>
      <c r="W273" t="s">
        <v>5703</v>
      </c>
      <c r="X273" t="s">
        <v>5704</v>
      </c>
      <c r="Y273" t="s">
        <v>5705</v>
      </c>
      <c r="Z273" t="s">
        <v>5706</v>
      </c>
      <c r="AA273" t="s">
        <v>5707</v>
      </c>
      <c r="AB273" t="s">
        <v>5708</v>
      </c>
      <c r="AC273" t="s">
        <v>5709</v>
      </c>
      <c r="AD273" t="s">
        <v>5710</v>
      </c>
      <c r="AE273" t="s">
        <v>5711</v>
      </c>
      <c r="AF273" t="s">
        <v>74</v>
      </c>
      <c r="AG273">
        <v>39</v>
      </c>
      <c r="AH273">
        <v>24</v>
      </c>
      <c r="AI273">
        <v>24</v>
      </c>
      <c r="AJ273">
        <v>0</v>
      </c>
      <c r="AK273">
        <v>0</v>
      </c>
      <c r="AL273" t="s">
        <v>503</v>
      </c>
      <c r="AM273" t="s">
        <v>504</v>
      </c>
      <c r="AN273" t="s">
        <v>505</v>
      </c>
      <c r="AO273" t="s">
        <v>1383</v>
      </c>
      <c r="AP273" t="s">
        <v>1384</v>
      </c>
      <c r="AQ273" t="s">
        <v>74</v>
      </c>
      <c r="AR273" t="s">
        <v>1385</v>
      </c>
      <c r="AS273" t="s">
        <v>1386</v>
      </c>
      <c r="AT273" t="s">
        <v>4616</v>
      </c>
      <c r="AU273">
        <v>2018</v>
      </c>
      <c r="AV273">
        <v>123</v>
      </c>
      <c r="AW273">
        <v>9</v>
      </c>
      <c r="AX273" t="s">
        <v>74</v>
      </c>
      <c r="AY273" t="s">
        <v>74</v>
      </c>
      <c r="AZ273" t="s">
        <v>74</v>
      </c>
      <c r="BA273" t="s">
        <v>74</v>
      </c>
      <c r="BB273">
        <v>7181</v>
      </c>
      <c r="BC273">
        <v>7195</v>
      </c>
      <c r="BD273" t="s">
        <v>74</v>
      </c>
      <c r="BE273" t="s">
        <v>5712</v>
      </c>
      <c r="BF273" t="str">
        <f>HYPERLINK("http://dx.doi.org/10.1029/2017JA025135","http://dx.doi.org/10.1029/2017JA025135")</f>
        <v>http://dx.doi.org/10.1029/2017JA025135</v>
      </c>
      <c r="BG273" t="s">
        <v>74</v>
      </c>
      <c r="BH273" t="s">
        <v>74</v>
      </c>
      <c r="BI273">
        <v>15</v>
      </c>
      <c r="BJ273" t="s">
        <v>1301</v>
      </c>
      <c r="BK273" t="s">
        <v>101</v>
      </c>
      <c r="BL273" t="s">
        <v>1301</v>
      </c>
      <c r="BM273" t="s">
        <v>5713</v>
      </c>
      <c r="BN273" t="s">
        <v>74</v>
      </c>
      <c r="BO273" t="s">
        <v>853</v>
      </c>
      <c r="BP273" t="s">
        <v>74</v>
      </c>
      <c r="BQ273" t="s">
        <v>74</v>
      </c>
      <c r="BR273" t="s">
        <v>104</v>
      </c>
      <c r="BS273" t="s">
        <v>5714</v>
      </c>
      <c r="BT273" t="str">
        <f>HYPERLINK("https%3A%2F%2Fwww.webofscience.com%2Fwos%2Fwoscc%2Ffull-record%2FWOS:000448376600003","View Full Record in Web of Science")</f>
        <v>View Full Record in Web of Science</v>
      </c>
    </row>
    <row r="274" spans="1:72" x14ac:dyDescent="0.15">
      <c r="A274" t="s">
        <v>72</v>
      </c>
      <c r="B274" t="s">
        <v>5715</v>
      </c>
      <c r="C274" t="s">
        <v>74</v>
      </c>
      <c r="D274" t="s">
        <v>74</v>
      </c>
      <c r="E274" t="s">
        <v>74</v>
      </c>
      <c r="F274" t="s">
        <v>5716</v>
      </c>
      <c r="G274" t="s">
        <v>74</v>
      </c>
      <c r="H274" t="s">
        <v>74</v>
      </c>
      <c r="I274" t="s">
        <v>5717</v>
      </c>
      <c r="J274" t="s">
        <v>1371</v>
      </c>
      <c r="K274" t="s">
        <v>74</v>
      </c>
      <c r="L274" t="s">
        <v>74</v>
      </c>
      <c r="M274" t="s">
        <v>78</v>
      </c>
      <c r="N274" t="s">
        <v>79</v>
      </c>
      <c r="O274" t="s">
        <v>74</v>
      </c>
      <c r="P274" t="s">
        <v>74</v>
      </c>
      <c r="Q274" t="s">
        <v>74</v>
      </c>
      <c r="R274" t="s">
        <v>74</v>
      </c>
      <c r="S274" t="s">
        <v>74</v>
      </c>
      <c r="T274" t="s">
        <v>5718</v>
      </c>
      <c r="U274" t="s">
        <v>5719</v>
      </c>
      <c r="V274" t="s">
        <v>5720</v>
      </c>
      <c r="W274" t="s">
        <v>5721</v>
      </c>
      <c r="X274" t="s">
        <v>5722</v>
      </c>
      <c r="Y274" t="s">
        <v>5723</v>
      </c>
      <c r="Z274" t="s">
        <v>5724</v>
      </c>
      <c r="AA274" t="s">
        <v>5725</v>
      </c>
      <c r="AB274" t="s">
        <v>5726</v>
      </c>
      <c r="AC274" t="s">
        <v>5727</v>
      </c>
      <c r="AD274" t="s">
        <v>5728</v>
      </c>
      <c r="AE274" t="s">
        <v>5729</v>
      </c>
      <c r="AF274" t="s">
        <v>74</v>
      </c>
      <c r="AG274">
        <v>60</v>
      </c>
      <c r="AH274">
        <v>16</v>
      </c>
      <c r="AI274">
        <v>16</v>
      </c>
      <c r="AJ274">
        <v>0</v>
      </c>
      <c r="AK274">
        <v>7</v>
      </c>
      <c r="AL274" t="s">
        <v>503</v>
      </c>
      <c r="AM274" t="s">
        <v>504</v>
      </c>
      <c r="AN274" t="s">
        <v>505</v>
      </c>
      <c r="AO274" t="s">
        <v>1383</v>
      </c>
      <c r="AP274" t="s">
        <v>1384</v>
      </c>
      <c r="AQ274" t="s">
        <v>74</v>
      </c>
      <c r="AR274" t="s">
        <v>1385</v>
      </c>
      <c r="AS274" t="s">
        <v>1386</v>
      </c>
      <c r="AT274" t="s">
        <v>4616</v>
      </c>
      <c r="AU274">
        <v>2018</v>
      </c>
      <c r="AV274">
        <v>123</v>
      </c>
      <c r="AW274">
        <v>9</v>
      </c>
      <c r="AX274" t="s">
        <v>74</v>
      </c>
      <c r="AY274" t="s">
        <v>74</v>
      </c>
      <c r="AZ274" t="s">
        <v>74</v>
      </c>
      <c r="BA274" t="s">
        <v>74</v>
      </c>
      <c r="BB274">
        <v>7283</v>
      </c>
      <c r="BC274">
        <v>7306</v>
      </c>
      <c r="BD274" t="s">
        <v>74</v>
      </c>
      <c r="BE274" t="s">
        <v>5730</v>
      </c>
      <c r="BF274" t="str">
        <f>HYPERLINK("http://dx.doi.org/10.1029/2017JA025153","http://dx.doi.org/10.1029/2017JA025153")</f>
        <v>http://dx.doi.org/10.1029/2017JA025153</v>
      </c>
      <c r="BG274" t="s">
        <v>74</v>
      </c>
      <c r="BH274" t="s">
        <v>74</v>
      </c>
      <c r="BI274">
        <v>24</v>
      </c>
      <c r="BJ274" t="s">
        <v>1301</v>
      </c>
      <c r="BK274" t="s">
        <v>101</v>
      </c>
      <c r="BL274" t="s">
        <v>1301</v>
      </c>
      <c r="BM274" t="s">
        <v>5713</v>
      </c>
      <c r="BN274" t="s">
        <v>74</v>
      </c>
      <c r="BO274" t="s">
        <v>5731</v>
      </c>
      <c r="BP274" t="s">
        <v>74</v>
      </c>
      <c r="BQ274" t="s">
        <v>74</v>
      </c>
      <c r="BR274" t="s">
        <v>104</v>
      </c>
      <c r="BS274" t="s">
        <v>5732</v>
      </c>
      <c r="BT274" t="str">
        <f>HYPERLINK("https%3A%2F%2Fwww.webofscience.com%2Fwos%2Fwoscc%2Ffull-record%2FWOS:000448376600011","View Full Record in Web of Science")</f>
        <v>View Full Record in Web of Science</v>
      </c>
    </row>
    <row r="275" spans="1:72" x14ac:dyDescent="0.15">
      <c r="A275" t="s">
        <v>72</v>
      </c>
      <c r="B275" t="s">
        <v>5733</v>
      </c>
      <c r="C275" t="s">
        <v>74</v>
      </c>
      <c r="D275" t="s">
        <v>74</v>
      </c>
      <c r="E275" t="s">
        <v>74</v>
      </c>
      <c r="F275" t="s">
        <v>5734</v>
      </c>
      <c r="G275" t="s">
        <v>74</v>
      </c>
      <c r="H275" t="s">
        <v>74</v>
      </c>
      <c r="I275" t="s">
        <v>5735</v>
      </c>
      <c r="J275" t="s">
        <v>1371</v>
      </c>
      <c r="K275" t="s">
        <v>74</v>
      </c>
      <c r="L275" t="s">
        <v>74</v>
      </c>
      <c r="M275" t="s">
        <v>78</v>
      </c>
      <c r="N275" t="s">
        <v>79</v>
      </c>
      <c r="O275" t="s">
        <v>74</v>
      </c>
      <c r="P275" t="s">
        <v>74</v>
      </c>
      <c r="Q275" t="s">
        <v>74</v>
      </c>
      <c r="R275" t="s">
        <v>74</v>
      </c>
      <c r="S275" t="s">
        <v>74</v>
      </c>
      <c r="T275" t="s">
        <v>5736</v>
      </c>
      <c r="U275" t="s">
        <v>5737</v>
      </c>
      <c r="V275" t="s">
        <v>5738</v>
      </c>
      <c r="W275" t="s">
        <v>5739</v>
      </c>
      <c r="X275" t="s">
        <v>5740</v>
      </c>
      <c r="Y275" t="s">
        <v>5741</v>
      </c>
      <c r="Z275" t="s">
        <v>5742</v>
      </c>
      <c r="AA275" t="s">
        <v>74</v>
      </c>
      <c r="AB275" t="s">
        <v>5743</v>
      </c>
      <c r="AC275" t="s">
        <v>5744</v>
      </c>
      <c r="AD275" t="s">
        <v>5745</v>
      </c>
      <c r="AE275" t="s">
        <v>5746</v>
      </c>
      <c r="AF275" t="s">
        <v>74</v>
      </c>
      <c r="AG275">
        <v>64</v>
      </c>
      <c r="AH275">
        <v>0</v>
      </c>
      <c r="AI275">
        <v>0</v>
      </c>
      <c r="AJ275">
        <v>0</v>
      </c>
      <c r="AK275">
        <v>1</v>
      </c>
      <c r="AL275" t="s">
        <v>503</v>
      </c>
      <c r="AM275" t="s">
        <v>504</v>
      </c>
      <c r="AN275" t="s">
        <v>505</v>
      </c>
      <c r="AO275" t="s">
        <v>1383</v>
      </c>
      <c r="AP275" t="s">
        <v>1384</v>
      </c>
      <c r="AQ275" t="s">
        <v>74</v>
      </c>
      <c r="AR275" t="s">
        <v>1385</v>
      </c>
      <c r="AS275" t="s">
        <v>1386</v>
      </c>
      <c r="AT275" t="s">
        <v>4616</v>
      </c>
      <c r="AU275">
        <v>2018</v>
      </c>
      <c r="AV275">
        <v>123</v>
      </c>
      <c r="AW275">
        <v>9</v>
      </c>
      <c r="AX275" t="s">
        <v>74</v>
      </c>
      <c r="AY275" t="s">
        <v>74</v>
      </c>
      <c r="AZ275" t="s">
        <v>74</v>
      </c>
      <c r="BA275" t="s">
        <v>74</v>
      </c>
      <c r="BB275">
        <v>7806</v>
      </c>
      <c r="BC275">
        <v>7824</v>
      </c>
      <c r="BD275" t="s">
        <v>74</v>
      </c>
      <c r="BE275" t="s">
        <v>5747</v>
      </c>
      <c r="BF275" t="str">
        <f>HYPERLINK("http://dx.doi.org/10.1029/2018JA025727","http://dx.doi.org/10.1029/2018JA025727")</f>
        <v>http://dx.doi.org/10.1029/2018JA025727</v>
      </c>
      <c r="BG275" t="s">
        <v>74</v>
      </c>
      <c r="BH275" t="s">
        <v>74</v>
      </c>
      <c r="BI275">
        <v>19</v>
      </c>
      <c r="BJ275" t="s">
        <v>1301</v>
      </c>
      <c r="BK275" t="s">
        <v>101</v>
      </c>
      <c r="BL275" t="s">
        <v>1301</v>
      </c>
      <c r="BM275" t="s">
        <v>5713</v>
      </c>
      <c r="BN275" t="s">
        <v>74</v>
      </c>
      <c r="BO275" t="s">
        <v>712</v>
      </c>
      <c r="BP275" t="s">
        <v>74</v>
      </c>
      <c r="BQ275" t="s">
        <v>74</v>
      </c>
      <c r="BR275" t="s">
        <v>104</v>
      </c>
      <c r="BS275" t="s">
        <v>5748</v>
      </c>
      <c r="BT275" t="str">
        <f>HYPERLINK("https%3A%2F%2Fwww.webofscience.com%2Fwos%2Fwoscc%2Ffull-record%2FWOS:000448376600047","View Full Record in Web of Science")</f>
        <v>View Full Record in Web of Science</v>
      </c>
    </row>
    <row r="276" spans="1:72" x14ac:dyDescent="0.15">
      <c r="A276" t="s">
        <v>72</v>
      </c>
      <c r="B276" t="s">
        <v>5749</v>
      </c>
      <c r="C276" t="s">
        <v>74</v>
      </c>
      <c r="D276" t="s">
        <v>74</v>
      </c>
      <c r="E276" t="s">
        <v>74</v>
      </c>
      <c r="F276" t="s">
        <v>5750</v>
      </c>
      <c r="G276" t="s">
        <v>74</v>
      </c>
      <c r="H276" t="s">
        <v>74</v>
      </c>
      <c r="I276" t="s">
        <v>5751</v>
      </c>
      <c r="J276" t="s">
        <v>1371</v>
      </c>
      <c r="K276" t="s">
        <v>74</v>
      </c>
      <c r="L276" t="s">
        <v>74</v>
      </c>
      <c r="M276" t="s">
        <v>78</v>
      </c>
      <c r="N276" t="s">
        <v>79</v>
      </c>
      <c r="O276" t="s">
        <v>74</v>
      </c>
      <c r="P276" t="s">
        <v>74</v>
      </c>
      <c r="Q276" t="s">
        <v>74</v>
      </c>
      <c r="R276" t="s">
        <v>74</v>
      </c>
      <c r="S276" t="s">
        <v>74</v>
      </c>
      <c r="T276" t="s">
        <v>5752</v>
      </c>
      <c r="U276" t="s">
        <v>5753</v>
      </c>
      <c r="V276" t="s">
        <v>5754</v>
      </c>
      <c r="W276" t="s">
        <v>5755</v>
      </c>
      <c r="X276" t="s">
        <v>5756</v>
      </c>
      <c r="Y276" t="s">
        <v>5757</v>
      </c>
      <c r="Z276" t="s">
        <v>5758</v>
      </c>
      <c r="AA276" t="s">
        <v>74</v>
      </c>
      <c r="AB276" t="s">
        <v>5759</v>
      </c>
      <c r="AC276" t="s">
        <v>5760</v>
      </c>
      <c r="AD276" t="s">
        <v>1959</v>
      </c>
      <c r="AE276" t="s">
        <v>5761</v>
      </c>
      <c r="AF276" t="s">
        <v>74</v>
      </c>
      <c r="AG276">
        <v>61</v>
      </c>
      <c r="AH276">
        <v>16</v>
      </c>
      <c r="AI276">
        <v>16</v>
      </c>
      <c r="AJ276">
        <v>1</v>
      </c>
      <c r="AK276">
        <v>11</v>
      </c>
      <c r="AL276" t="s">
        <v>503</v>
      </c>
      <c r="AM276" t="s">
        <v>504</v>
      </c>
      <c r="AN276" t="s">
        <v>505</v>
      </c>
      <c r="AO276" t="s">
        <v>1383</v>
      </c>
      <c r="AP276" t="s">
        <v>1384</v>
      </c>
      <c r="AQ276" t="s">
        <v>74</v>
      </c>
      <c r="AR276" t="s">
        <v>1385</v>
      </c>
      <c r="AS276" t="s">
        <v>1386</v>
      </c>
      <c r="AT276" t="s">
        <v>4616</v>
      </c>
      <c r="AU276">
        <v>2018</v>
      </c>
      <c r="AV276">
        <v>123</v>
      </c>
      <c r="AW276">
        <v>9</v>
      </c>
      <c r="AX276" t="s">
        <v>74</v>
      </c>
      <c r="AY276" t="s">
        <v>74</v>
      </c>
      <c r="AZ276" t="s">
        <v>74</v>
      </c>
      <c r="BA276" t="s">
        <v>74</v>
      </c>
      <c r="BB276">
        <v>7999</v>
      </c>
      <c r="BC276">
        <v>8020</v>
      </c>
      <c r="BD276" t="s">
        <v>74</v>
      </c>
      <c r="BE276" t="s">
        <v>5762</v>
      </c>
      <c r="BF276" t="str">
        <f>HYPERLINK("http://dx.doi.org/10.1029/2018JA025890","http://dx.doi.org/10.1029/2018JA025890")</f>
        <v>http://dx.doi.org/10.1029/2018JA025890</v>
      </c>
      <c r="BG276" t="s">
        <v>74</v>
      </c>
      <c r="BH276" t="s">
        <v>74</v>
      </c>
      <c r="BI276">
        <v>22</v>
      </c>
      <c r="BJ276" t="s">
        <v>1301</v>
      </c>
      <c r="BK276" t="s">
        <v>101</v>
      </c>
      <c r="BL276" t="s">
        <v>1301</v>
      </c>
      <c r="BM276" t="s">
        <v>5713</v>
      </c>
      <c r="BN276" t="s">
        <v>74</v>
      </c>
      <c r="BO276" t="s">
        <v>853</v>
      </c>
      <c r="BP276" t="s">
        <v>74</v>
      </c>
      <c r="BQ276" t="s">
        <v>74</v>
      </c>
      <c r="BR276" t="s">
        <v>104</v>
      </c>
      <c r="BS276" t="s">
        <v>5763</v>
      </c>
      <c r="BT276" t="str">
        <f>HYPERLINK("https%3A%2F%2Fwww.webofscience.com%2Fwos%2Fwoscc%2Ffull-record%2FWOS:000448376600060","View Full Record in Web of Science")</f>
        <v>View Full Record in Web of Science</v>
      </c>
    </row>
    <row r="277" spans="1:72" x14ac:dyDescent="0.15">
      <c r="A277" t="s">
        <v>72</v>
      </c>
      <c r="B277" t="s">
        <v>5764</v>
      </c>
      <c r="C277" t="s">
        <v>74</v>
      </c>
      <c r="D277" t="s">
        <v>74</v>
      </c>
      <c r="E277" t="s">
        <v>74</v>
      </c>
      <c r="F277" t="s">
        <v>5765</v>
      </c>
      <c r="G277" t="s">
        <v>74</v>
      </c>
      <c r="H277" t="s">
        <v>74</v>
      </c>
      <c r="I277" t="s">
        <v>5766</v>
      </c>
      <c r="J277" t="s">
        <v>1507</v>
      </c>
      <c r="K277" t="s">
        <v>74</v>
      </c>
      <c r="L277" t="s">
        <v>74</v>
      </c>
      <c r="M277" t="s">
        <v>78</v>
      </c>
      <c r="N277" t="s">
        <v>79</v>
      </c>
      <c r="O277" t="s">
        <v>74</v>
      </c>
      <c r="P277" t="s">
        <v>74</v>
      </c>
      <c r="Q277" t="s">
        <v>74</v>
      </c>
      <c r="R277" t="s">
        <v>74</v>
      </c>
      <c r="S277" t="s">
        <v>74</v>
      </c>
      <c r="T277" t="s">
        <v>5767</v>
      </c>
      <c r="U277" t="s">
        <v>5768</v>
      </c>
      <c r="V277" t="s">
        <v>5769</v>
      </c>
      <c r="W277" t="s">
        <v>5770</v>
      </c>
      <c r="X277" t="s">
        <v>5771</v>
      </c>
      <c r="Y277" t="s">
        <v>5772</v>
      </c>
      <c r="Z277" t="s">
        <v>5773</v>
      </c>
      <c r="AA277" t="s">
        <v>5774</v>
      </c>
      <c r="AB277" t="s">
        <v>5775</v>
      </c>
      <c r="AC277" t="s">
        <v>74</v>
      </c>
      <c r="AD277" t="s">
        <v>74</v>
      </c>
      <c r="AE277" t="s">
        <v>74</v>
      </c>
      <c r="AF277" t="s">
        <v>74</v>
      </c>
      <c r="AG277">
        <v>31</v>
      </c>
      <c r="AH277">
        <v>21</v>
      </c>
      <c r="AI277">
        <v>21</v>
      </c>
      <c r="AJ277">
        <v>1</v>
      </c>
      <c r="AK277">
        <v>11</v>
      </c>
      <c r="AL277" t="s">
        <v>1053</v>
      </c>
      <c r="AM277" t="s">
        <v>1054</v>
      </c>
      <c r="AN277" t="s">
        <v>1055</v>
      </c>
      <c r="AO277" t="s">
        <v>74</v>
      </c>
      <c r="AP277" t="s">
        <v>1520</v>
      </c>
      <c r="AQ277" t="s">
        <v>74</v>
      </c>
      <c r="AR277" t="s">
        <v>1507</v>
      </c>
      <c r="AS277" t="s">
        <v>1521</v>
      </c>
      <c r="AT277" t="s">
        <v>4616</v>
      </c>
      <c r="AU277">
        <v>2018</v>
      </c>
      <c r="AV277">
        <v>8</v>
      </c>
      <c r="AW277">
        <v>9</v>
      </c>
      <c r="AX277" t="s">
        <v>74</v>
      </c>
      <c r="AY277" t="s">
        <v>74</v>
      </c>
      <c r="AZ277" t="s">
        <v>74</v>
      </c>
      <c r="BA277" t="s">
        <v>74</v>
      </c>
      <c r="BB277" t="s">
        <v>74</v>
      </c>
      <c r="BC277" t="s">
        <v>74</v>
      </c>
      <c r="BD277">
        <v>323</v>
      </c>
      <c r="BE277" t="s">
        <v>5776</v>
      </c>
      <c r="BF277" t="str">
        <f>HYPERLINK("http://dx.doi.org/10.3390/geosciences8090323","http://dx.doi.org/10.3390/geosciences8090323")</f>
        <v>http://dx.doi.org/10.3390/geosciences8090323</v>
      </c>
      <c r="BG277" t="s">
        <v>74</v>
      </c>
      <c r="BH277" t="s">
        <v>74</v>
      </c>
      <c r="BI277">
        <v>16</v>
      </c>
      <c r="BJ277" t="s">
        <v>182</v>
      </c>
      <c r="BK277" t="s">
        <v>126</v>
      </c>
      <c r="BL277" t="s">
        <v>183</v>
      </c>
      <c r="BM277" t="s">
        <v>5777</v>
      </c>
      <c r="BN277" t="s">
        <v>74</v>
      </c>
      <c r="BO277" t="s">
        <v>1566</v>
      </c>
      <c r="BP277" t="s">
        <v>74</v>
      </c>
      <c r="BQ277" t="s">
        <v>74</v>
      </c>
      <c r="BR277" t="s">
        <v>104</v>
      </c>
      <c r="BS277" t="s">
        <v>5778</v>
      </c>
      <c r="BT277" t="str">
        <f>HYPERLINK("https%3A%2F%2Fwww.webofscience.com%2Fwos%2Fwoscc%2Ffull-record%2FWOS:000448335800015","View Full Record in Web of Science")</f>
        <v>View Full Record in Web of Science</v>
      </c>
    </row>
    <row r="278" spans="1:72" x14ac:dyDescent="0.15">
      <c r="A278" t="s">
        <v>72</v>
      </c>
      <c r="B278" t="s">
        <v>5779</v>
      </c>
      <c r="C278" t="s">
        <v>74</v>
      </c>
      <c r="D278" t="s">
        <v>74</v>
      </c>
      <c r="E278" t="s">
        <v>74</v>
      </c>
      <c r="F278" t="s">
        <v>5780</v>
      </c>
      <c r="G278" t="s">
        <v>74</v>
      </c>
      <c r="H278" t="s">
        <v>74</v>
      </c>
      <c r="I278" t="s">
        <v>5781</v>
      </c>
      <c r="J278" t="s">
        <v>5782</v>
      </c>
      <c r="K278" t="s">
        <v>74</v>
      </c>
      <c r="L278" t="s">
        <v>74</v>
      </c>
      <c r="M278" t="s">
        <v>78</v>
      </c>
      <c r="N278" t="s">
        <v>79</v>
      </c>
      <c r="O278" t="s">
        <v>74</v>
      </c>
      <c r="P278" t="s">
        <v>74</v>
      </c>
      <c r="Q278" t="s">
        <v>74</v>
      </c>
      <c r="R278" t="s">
        <v>74</v>
      </c>
      <c r="S278" t="s">
        <v>74</v>
      </c>
      <c r="T278" t="s">
        <v>5783</v>
      </c>
      <c r="U278" t="s">
        <v>5784</v>
      </c>
      <c r="V278" t="s">
        <v>5785</v>
      </c>
      <c r="W278" t="s">
        <v>5786</v>
      </c>
      <c r="X278" t="s">
        <v>5787</v>
      </c>
      <c r="Y278" t="s">
        <v>5788</v>
      </c>
      <c r="Z278" t="s">
        <v>5789</v>
      </c>
      <c r="AA278" t="s">
        <v>5790</v>
      </c>
      <c r="AB278" t="s">
        <v>5791</v>
      </c>
      <c r="AC278" t="s">
        <v>5792</v>
      </c>
      <c r="AD278" t="s">
        <v>5793</v>
      </c>
      <c r="AE278" t="s">
        <v>5794</v>
      </c>
      <c r="AF278" t="s">
        <v>74</v>
      </c>
      <c r="AG278">
        <v>35</v>
      </c>
      <c r="AH278">
        <v>17</v>
      </c>
      <c r="AI278">
        <v>17</v>
      </c>
      <c r="AJ278">
        <v>1</v>
      </c>
      <c r="AK278">
        <v>19</v>
      </c>
      <c r="AL278" t="s">
        <v>201</v>
      </c>
      <c r="AM278" t="s">
        <v>93</v>
      </c>
      <c r="AN278" t="s">
        <v>202</v>
      </c>
      <c r="AO278" t="s">
        <v>5795</v>
      </c>
      <c r="AP278" t="s">
        <v>5796</v>
      </c>
      <c r="AQ278" t="s">
        <v>74</v>
      </c>
      <c r="AR278" t="s">
        <v>5797</v>
      </c>
      <c r="AS278" t="s">
        <v>5798</v>
      </c>
      <c r="AT278" t="s">
        <v>4616</v>
      </c>
      <c r="AU278">
        <v>2018</v>
      </c>
      <c r="AV278">
        <v>140</v>
      </c>
      <c r="AW278" t="s">
        <v>74</v>
      </c>
      <c r="AX278" t="s">
        <v>74</v>
      </c>
      <c r="AY278" t="s">
        <v>74</v>
      </c>
      <c r="AZ278" t="s">
        <v>74</v>
      </c>
      <c r="BA278" t="s">
        <v>74</v>
      </c>
      <c r="BB278">
        <v>412</v>
      </c>
      <c r="BC278">
        <v>421</v>
      </c>
      <c r="BD278" t="s">
        <v>74</v>
      </c>
      <c r="BE278" t="s">
        <v>5799</v>
      </c>
      <c r="BF278" t="str">
        <f>HYPERLINK("http://dx.doi.org/10.1016/j.marenvres.2018.07.014","http://dx.doi.org/10.1016/j.marenvres.2018.07.014")</f>
        <v>http://dx.doi.org/10.1016/j.marenvres.2018.07.014</v>
      </c>
      <c r="BG278" t="s">
        <v>74</v>
      </c>
      <c r="BH278" t="s">
        <v>74</v>
      </c>
      <c r="BI278">
        <v>10</v>
      </c>
      <c r="BJ278" t="s">
        <v>5800</v>
      </c>
      <c r="BK278" t="s">
        <v>101</v>
      </c>
      <c r="BL278" t="s">
        <v>5801</v>
      </c>
      <c r="BM278" t="s">
        <v>5802</v>
      </c>
      <c r="BN278">
        <v>30055834</v>
      </c>
      <c r="BO278" t="s">
        <v>74</v>
      </c>
      <c r="BP278" t="s">
        <v>74</v>
      </c>
      <c r="BQ278" t="s">
        <v>74</v>
      </c>
      <c r="BR278" t="s">
        <v>104</v>
      </c>
      <c r="BS278" t="s">
        <v>5803</v>
      </c>
      <c r="BT278" t="str">
        <f>HYPERLINK("https%3A%2F%2Fwww.webofscience.com%2Fwos%2Fwoscc%2Ffull-record%2FWOS:000447579500040","View Full Record in Web of Science")</f>
        <v>View Full Record in Web of Science</v>
      </c>
    </row>
    <row r="279" spans="1:72" x14ac:dyDescent="0.15">
      <c r="A279" t="s">
        <v>72</v>
      </c>
      <c r="B279" t="s">
        <v>5804</v>
      </c>
      <c r="C279" t="s">
        <v>74</v>
      </c>
      <c r="D279" t="s">
        <v>74</v>
      </c>
      <c r="E279" t="s">
        <v>74</v>
      </c>
      <c r="F279" t="s">
        <v>5805</v>
      </c>
      <c r="G279" t="s">
        <v>74</v>
      </c>
      <c r="H279" t="s">
        <v>74</v>
      </c>
      <c r="I279" t="s">
        <v>5806</v>
      </c>
      <c r="J279" t="s">
        <v>5204</v>
      </c>
      <c r="K279" t="s">
        <v>74</v>
      </c>
      <c r="L279" t="s">
        <v>74</v>
      </c>
      <c r="M279" t="s">
        <v>78</v>
      </c>
      <c r="N279" t="s">
        <v>79</v>
      </c>
      <c r="O279" t="s">
        <v>74</v>
      </c>
      <c r="P279" t="s">
        <v>74</v>
      </c>
      <c r="Q279" t="s">
        <v>74</v>
      </c>
      <c r="R279" t="s">
        <v>74</v>
      </c>
      <c r="S279" t="s">
        <v>74</v>
      </c>
      <c r="T279" t="s">
        <v>5807</v>
      </c>
      <c r="U279" t="s">
        <v>5808</v>
      </c>
      <c r="V279" t="s">
        <v>5809</v>
      </c>
      <c r="W279" t="s">
        <v>5810</v>
      </c>
      <c r="X279" t="s">
        <v>5811</v>
      </c>
      <c r="Y279" t="s">
        <v>5812</v>
      </c>
      <c r="Z279" t="s">
        <v>5813</v>
      </c>
      <c r="AA279" t="s">
        <v>5814</v>
      </c>
      <c r="AB279" t="s">
        <v>74</v>
      </c>
      <c r="AC279" t="s">
        <v>5815</v>
      </c>
      <c r="AD279" t="s">
        <v>5816</v>
      </c>
      <c r="AE279" t="s">
        <v>5817</v>
      </c>
      <c r="AF279" t="s">
        <v>74</v>
      </c>
      <c r="AG279">
        <v>82</v>
      </c>
      <c r="AH279">
        <v>6</v>
      </c>
      <c r="AI279">
        <v>6</v>
      </c>
      <c r="AJ279">
        <v>6</v>
      </c>
      <c r="AK279">
        <v>40</v>
      </c>
      <c r="AL279" t="s">
        <v>503</v>
      </c>
      <c r="AM279" t="s">
        <v>504</v>
      </c>
      <c r="AN279" t="s">
        <v>505</v>
      </c>
      <c r="AO279" t="s">
        <v>5217</v>
      </c>
      <c r="AP279" t="s">
        <v>5218</v>
      </c>
      <c r="AQ279" t="s">
        <v>74</v>
      </c>
      <c r="AR279" t="s">
        <v>5219</v>
      </c>
      <c r="AS279" t="s">
        <v>5220</v>
      </c>
      <c r="AT279" t="s">
        <v>4616</v>
      </c>
      <c r="AU279">
        <v>2018</v>
      </c>
      <c r="AV279">
        <v>123</v>
      </c>
      <c r="AW279">
        <v>9</v>
      </c>
      <c r="AX279" t="s">
        <v>74</v>
      </c>
      <c r="AY279" t="s">
        <v>74</v>
      </c>
      <c r="AZ279" t="s">
        <v>74</v>
      </c>
      <c r="BA279" t="s">
        <v>74</v>
      </c>
      <c r="BB279">
        <v>2878</v>
      </c>
      <c r="BC279">
        <v>2889</v>
      </c>
      <c r="BD279" t="s">
        <v>74</v>
      </c>
      <c r="BE279" t="s">
        <v>5818</v>
      </c>
      <c r="BF279" t="str">
        <f>HYPERLINK("http://dx.doi.org/10.1029/2018JG004550","http://dx.doi.org/10.1029/2018JG004550")</f>
        <v>http://dx.doi.org/10.1029/2018JG004550</v>
      </c>
      <c r="BG279" t="s">
        <v>74</v>
      </c>
      <c r="BH279" t="s">
        <v>74</v>
      </c>
      <c r="BI279">
        <v>12</v>
      </c>
      <c r="BJ279" t="s">
        <v>5222</v>
      </c>
      <c r="BK279" t="s">
        <v>101</v>
      </c>
      <c r="BL279" t="s">
        <v>5223</v>
      </c>
      <c r="BM279" t="s">
        <v>5224</v>
      </c>
      <c r="BN279" t="s">
        <v>74</v>
      </c>
      <c r="BO279" t="s">
        <v>712</v>
      </c>
      <c r="BP279" t="s">
        <v>74</v>
      </c>
      <c r="BQ279" t="s">
        <v>74</v>
      </c>
      <c r="BR279" t="s">
        <v>104</v>
      </c>
      <c r="BS279" t="s">
        <v>5819</v>
      </c>
      <c r="BT279" t="str">
        <f>HYPERLINK("https%3A%2F%2Fwww.webofscience.com%2Fwos%2Fwoscc%2Ffull-record%2FWOS:000447644800015","View Full Record in Web of Science")</f>
        <v>View Full Record in Web of Science</v>
      </c>
    </row>
    <row r="280" spans="1:72" x14ac:dyDescent="0.15">
      <c r="A280" t="s">
        <v>72</v>
      </c>
      <c r="B280" t="s">
        <v>5820</v>
      </c>
      <c r="C280" t="s">
        <v>74</v>
      </c>
      <c r="D280" t="s">
        <v>74</v>
      </c>
      <c r="E280" t="s">
        <v>74</v>
      </c>
      <c r="F280" t="s">
        <v>5821</v>
      </c>
      <c r="G280" t="s">
        <v>74</v>
      </c>
      <c r="H280" t="s">
        <v>74</v>
      </c>
      <c r="I280" t="s">
        <v>5822</v>
      </c>
      <c r="J280" t="s">
        <v>5823</v>
      </c>
      <c r="K280" t="s">
        <v>74</v>
      </c>
      <c r="L280" t="s">
        <v>74</v>
      </c>
      <c r="M280" t="s">
        <v>78</v>
      </c>
      <c r="N280" t="s">
        <v>79</v>
      </c>
      <c r="O280" t="s">
        <v>74</v>
      </c>
      <c r="P280" t="s">
        <v>74</v>
      </c>
      <c r="Q280" t="s">
        <v>74</v>
      </c>
      <c r="R280" t="s">
        <v>74</v>
      </c>
      <c r="S280" t="s">
        <v>74</v>
      </c>
      <c r="T280" t="s">
        <v>74</v>
      </c>
      <c r="U280" t="s">
        <v>5824</v>
      </c>
      <c r="V280" t="s">
        <v>5825</v>
      </c>
      <c r="W280" t="s">
        <v>5826</v>
      </c>
      <c r="X280" t="s">
        <v>5827</v>
      </c>
      <c r="Y280" t="s">
        <v>5828</v>
      </c>
      <c r="Z280" t="s">
        <v>5829</v>
      </c>
      <c r="AA280" t="s">
        <v>5830</v>
      </c>
      <c r="AB280" t="s">
        <v>5831</v>
      </c>
      <c r="AC280" t="s">
        <v>5832</v>
      </c>
      <c r="AD280" t="s">
        <v>5833</v>
      </c>
      <c r="AE280" t="s">
        <v>5834</v>
      </c>
      <c r="AF280" t="s">
        <v>74</v>
      </c>
      <c r="AG280">
        <v>35</v>
      </c>
      <c r="AH280">
        <v>3</v>
      </c>
      <c r="AI280">
        <v>7</v>
      </c>
      <c r="AJ280">
        <v>0</v>
      </c>
      <c r="AK280">
        <v>7</v>
      </c>
      <c r="AL280" t="s">
        <v>5383</v>
      </c>
      <c r="AM280" t="s">
        <v>258</v>
      </c>
      <c r="AN280" t="s">
        <v>5384</v>
      </c>
      <c r="AO280" t="s">
        <v>5835</v>
      </c>
      <c r="AP280" t="s">
        <v>5836</v>
      </c>
      <c r="AQ280" t="s">
        <v>74</v>
      </c>
      <c r="AR280" t="s">
        <v>5837</v>
      </c>
      <c r="AS280" t="s">
        <v>5838</v>
      </c>
      <c r="AT280" t="s">
        <v>4616</v>
      </c>
      <c r="AU280">
        <v>2018</v>
      </c>
      <c r="AV280">
        <v>11</v>
      </c>
      <c r="AW280">
        <v>5</v>
      </c>
      <c r="AX280" t="s">
        <v>74</v>
      </c>
      <c r="AY280" t="s">
        <v>74</v>
      </c>
      <c r="AZ280" t="s">
        <v>74</v>
      </c>
      <c r="BA280" t="s">
        <v>74</v>
      </c>
      <c r="BB280">
        <v>449</v>
      </c>
      <c r="BC280">
        <v>457</v>
      </c>
      <c r="BD280" t="s">
        <v>74</v>
      </c>
      <c r="BE280" t="s">
        <v>5839</v>
      </c>
      <c r="BF280" t="str">
        <f>HYPERLINK("http://dx.doi.org/10.1134/S1995425518050074","http://dx.doi.org/10.1134/S1995425518050074")</f>
        <v>http://dx.doi.org/10.1134/S1995425518050074</v>
      </c>
      <c r="BG280" t="s">
        <v>74</v>
      </c>
      <c r="BH280" t="s">
        <v>74</v>
      </c>
      <c r="BI280">
        <v>9</v>
      </c>
      <c r="BJ280" t="s">
        <v>2087</v>
      </c>
      <c r="BK280" t="s">
        <v>101</v>
      </c>
      <c r="BL280" t="s">
        <v>559</v>
      </c>
      <c r="BM280" t="s">
        <v>5840</v>
      </c>
      <c r="BN280" t="s">
        <v>74</v>
      </c>
      <c r="BO280" t="s">
        <v>74</v>
      </c>
      <c r="BP280" t="s">
        <v>74</v>
      </c>
      <c r="BQ280" t="s">
        <v>74</v>
      </c>
      <c r="BR280" t="s">
        <v>104</v>
      </c>
      <c r="BS280" t="s">
        <v>5841</v>
      </c>
      <c r="BT280" t="str">
        <f>HYPERLINK("https%3A%2F%2Fwww.webofscience.com%2Fwos%2Fwoscc%2Ffull-record%2FWOS:000447814900002","View Full Record in Web of Science")</f>
        <v>View Full Record in Web of Science</v>
      </c>
    </row>
    <row r="281" spans="1:72" x14ac:dyDescent="0.15">
      <c r="A281" t="s">
        <v>72</v>
      </c>
      <c r="B281" t="s">
        <v>5842</v>
      </c>
      <c r="C281" t="s">
        <v>74</v>
      </c>
      <c r="D281" t="s">
        <v>74</v>
      </c>
      <c r="E281" t="s">
        <v>74</v>
      </c>
      <c r="F281" t="s">
        <v>5843</v>
      </c>
      <c r="G281" t="s">
        <v>74</v>
      </c>
      <c r="H281" t="s">
        <v>74</v>
      </c>
      <c r="I281" t="s">
        <v>5844</v>
      </c>
      <c r="J281" t="s">
        <v>5823</v>
      </c>
      <c r="K281" t="s">
        <v>74</v>
      </c>
      <c r="L281" t="s">
        <v>74</v>
      </c>
      <c r="M281" t="s">
        <v>78</v>
      </c>
      <c r="N281" t="s">
        <v>79</v>
      </c>
      <c r="O281" t="s">
        <v>74</v>
      </c>
      <c r="P281" t="s">
        <v>74</v>
      </c>
      <c r="Q281" t="s">
        <v>74</v>
      </c>
      <c r="R281" t="s">
        <v>74</v>
      </c>
      <c r="S281" t="s">
        <v>74</v>
      </c>
      <c r="T281" t="s">
        <v>5845</v>
      </c>
      <c r="U281" t="s">
        <v>5846</v>
      </c>
      <c r="V281" t="s">
        <v>5847</v>
      </c>
      <c r="W281" t="s">
        <v>5848</v>
      </c>
      <c r="X281" t="s">
        <v>5849</v>
      </c>
      <c r="Y281" t="s">
        <v>5850</v>
      </c>
      <c r="Z281" t="s">
        <v>5851</v>
      </c>
      <c r="AA281" t="s">
        <v>5852</v>
      </c>
      <c r="AB281" t="s">
        <v>5853</v>
      </c>
      <c r="AC281" t="s">
        <v>5854</v>
      </c>
      <c r="AD281" t="s">
        <v>5381</v>
      </c>
      <c r="AE281" t="s">
        <v>5855</v>
      </c>
      <c r="AF281" t="s">
        <v>74</v>
      </c>
      <c r="AG281">
        <v>43</v>
      </c>
      <c r="AH281">
        <v>5</v>
      </c>
      <c r="AI281">
        <v>5</v>
      </c>
      <c r="AJ281">
        <v>0</v>
      </c>
      <c r="AK281">
        <v>9</v>
      </c>
      <c r="AL281" t="s">
        <v>5383</v>
      </c>
      <c r="AM281" t="s">
        <v>258</v>
      </c>
      <c r="AN281" t="s">
        <v>5384</v>
      </c>
      <c r="AO281" t="s">
        <v>5835</v>
      </c>
      <c r="AP281" t="s">
        <v>5836</v>
      </c>
      <c r="AQ281" t="s">
        <v>74</v>
      </c>
      <c r="AR281" t="s">
        <v>5837</v>
      </c>
      <c r="AS281" t="s">
        <v>5838</v>
      </c>
      <c r="AT281" t="s">
        <v>4616</v>
      </c>
      <c r="AU281">
        <v>2018</v>
      </c>
      <c r="AV281">
        <v>11</v>
      </c>
      <c r="AW281">
        <v>5</v>
      </c>
      <c r="AX281" t="s">
        <v>74</v>
      </c>
      <c r="AY281" t="s">
        <v>74</v>
      </c>
      <c r="AZ281" t="s">
        <v>74</v>
      </c>
      <c r="BA281" t="s">
        <v>74</v>
      </c>
      <c r="BB281">
        <v>458</v>
      </c>
      <c r="BC281">
        <v>471</v>
      </c>
      <c r="BD281" t="s">
        <v>74</v>
      </c>
      <c r="BE281" t="s">
        <v>5856</v>
      </c>
      <c r="BF281" t="str">
        <f>HYPERLINK("http://dx.doi.org/10.1134/S1995425518050086","http://dx.doi.org/10.1134/S1995425518050086")</f>
        <v>http://dx.doi.org/10.1134/S1995425518050086</v>
      </c>
      <c r="BG281" t="s">
        <v>74</v>
      </c>
      <c r="BH281" t="s">
        <v>74</v>
      </c>
      <c r="BI281">
        <v>14</v>
      </c>
      <c r="BJ281" t="s">
        <v>2087</v>
      </c>
      <c r="BK281" t="s">
        <v>101</v>
      </c>
      <c r="BL281" t="s">
        <v>559</v>
      </c>
      <c r="BM281" t="s">
        <v>5840</v>
      </c>
      <c r="BN281" t="s">
        <v>74</v>
      </c>
      <c r="BO281" t="s">
        <v>74</v>
      </c>
      <c r="BP281" t="s">
        <v>74</v>
      </c>
      <c r="BQ281" t="s">
        <v>74</v>
      </c>
      <c r="BR281" t="s">
        <v>104</v>
      </c>
      <c r="BS281" t="s">
        <v>5857</v>
      </c>
      <c r="BT281" t="str">
        <f>HYPERLINK("https%3A%2F%2Fwww.webofscience.com%2Fwos%2Fwoscc%2Ffull-record%2FWOS:000447814900003","View Full Record in Web of Science")</f>
        <v>View Full Record in Web of Science</v>
      </c>
    </row>
    <row r="282" spans="1:72" x14ac:dyDescent="0.15">
      <c r="A282" t="s">
        <v>72</v>
      </c>
      <c r="B282" t="s">
        <v>5858</v>
      </c>
      <c r="C282" t="s">
        <v>74</v>
      </c>
      <c r="D282" t="s">
        <v>74</v>
      </c>
      <c r="E282" t="s">
        <v>74</v>
      </c>
      <c r="F282" t="s">
        <v>5859</v>
      </c>
      <c r="G282" t="s">
        <v>74</v>
      </c>
      <c r="H282" t="s">
        <v>74</v>
      </c>
      <c r="I282" t="s">
        <v>5860</v>
      </c>
      <c r="J282" t="s">
        <v>1482</v>
      </c>
      <c r="K282" t="s">
        <v>74</v>
      </c>
      <c r="L282" t="s">
        <v>74</v>
      </c>
      <c r="M282" t="s">
        <v>78</v>
      </c>
      <c r="N282" t="s">
        <v>79</v>
      </c>
      <c r="O282" t="s">
        <v>74</v>
      </c>
      <c r="P282" t="s">
        <v>74</v>
      </c>
      <c r="Q282" t="s">
        <v>74</v>
      </c>
      <c r="R282" t="s">
        <v>74</v>
      </c>
      <c r="S282" t="s">
        <v>74</v>
      </c>
      <c r="T282" t="s">
        <v>5861</v>
      </c>
      <c r="U282" t="s">
        <v>5862</v>
      </c>
      <c r="V282" t="s">
        <v>5863</v>
      </c>
      <c r="W282" t="s">
        <v>5864</v>
      </c>
      <c r="X282" t="s">
        <v>5865</v>
      </c>
      <c r="Y282" t="s">
        <v>5866</v>
      </c>
      <c r="Z282" t="s">
        <v>5867</v>
      </c>
      <c r="AA282" t="s">
        <v>5868</v>
      </c>
      <c r="AB282" t="s">
        <v>5869</v>
      </c>
      <c r="AC282" t="s">
        <v>5870</v>
      </c>
      <c r="AD282" t="s">
        <v>5871</v>
      </c>
      <c r="AE282" t="s">
        <v>5872</v>
      </c>
      <c r="AF282" t="s">
        <v>74</v>
      </c>
      <c r="AG282">
        <v>53</v>
      </c>
      <c r="AH282">
        <v>11</v>
      </c>
      <c r="AI282">
        <v>11</v>
      </c>
      <c r="AJ282">
        <v>0</v>
      </c>
      <c r="AK282">
        <v>6</v>
      </c>
      <c r="AL282" t="s">
        <v>758</v>
      </c>
      <c r="AM282" t="s">
        <v>759</v>
      </c>
      <c r="AN282" t="s">
        <v>760</v>
      </c>
      <c r="AO282" t="s">
        <v>1495</v>
      </c>
      <c r="AP282" t="s">
        <v>74</v>
      </c>
      <c r="AQ282" t="s">
        <v>74</v>
      </c>
      <c r="AR282" t="s">
        <v>1496</v>
      </c>
      <c r="AS282" t="s">
        <v>1497</v>
      </c>
      <c r="AT282" t="s">
        <v>4616</v>
      </c>
      <c r="AU282">
        <v>2018</v>
      </c>
      <c r="AV282">
        <v>8</v>
      </c>
      <c r="AW282">
        <v>18</v>
      </c>
      <c r="AX282" t="s">
        <v>74</v>
      </c>
      <c r="AY282" t="s">
        <v>74</v>
      </c>
      <c r="AZ282" t="s">
        <v>74</v>
      </c>
      <c r="BA282" t="s">
        <v>74</v>
      </c>
      <c r="BB282">
        <v>9372</v>
      </c>
      <c r="BC282">
        <v>9383</v>
      </c>
      <c r="BD282" t="s">
        <v>74</v>
      </c>
      <c r="BE282" t="s">
        <v>5873</v>
      </c>
      <c r="BF282" t="str">
        <f>HYPERLINK("http://dx.doi.org/10.1002/ece3.4301","http://dx.doi.org/10.1002/ece3.4301")</f>
        <v>http://dx.doi.org/10.1002/ece3.4301</v>
      </c>
      <c r="BG282" t="s">
        <v>74</v>
      </c>
      <c r="BH282" t="s">
        <v>74</v>
      </c>
      <c r="BI282">
        <v>12</v>
      </c>
      <c r="BJ282" t="s">
        <v>1499</v>
      </c>
      <c r="BK282" t="s">
        <v>1140</v>
      </c>
      <c r="BL282" t="s">
        <v>1500</v>
      </c>
      <c r="BM282" t="s">
        <v>5874</v>
      </c>
      <c r="BN282">
        <v>30377508</v>
      </c>
      <c r="BO282" t="s">
        <v>4275</v>
      </c>
      <c r="BP282" t="s">
        <v>74</v>
      </c>
      <c r="BQ282" t="s">
        <v>74</v>
      </c>
      <c r="BR282" t="s">
        <v>104</v>
      </c>
      <c r="BS282" t="s">
        <v>5875</v>
      </c>
      <c r="BT282" t="str">
        <f>HYPERLINK("https%3A%2F%2Fwww.webofscience.com%2Fwos%2Fwoscc%2Ffull-record%2FWOS:000447756100021","View Full Record in Web of Science")</f>
        <v>View Full Record in Web of Science</v>
      </c>
    </row>
    <row r="283" spans="1:72" x14ac:dyDescent="0.15">
      <c r="A283" t="s">
        <v>72</v>
      </c>
      <c r="B283" t="s">
        <v>5876</v>
      </c>
      <c r="C283" t="s">
        <v>74</v>
      </c>
      <c r="D283" t="s">
        <v>74</v>
      </c>
      <c r="E283" t="s">
        <v>74</v>
      </c>
      <c r="F283" t="s">
        <v>5877</v>
      </c>
      <c r="G283" t="s">
        <v>74</v>
      </c>
      <c r="H283" t="s">
        <v>74</v>
      </c>
      <c r="I283" t="s">
        <v>5878</v>
      </c>
      <c r="J283" t="s">
        <v>1192</v>
      </c>
      <c r="K283" t="s">
        <v>74</v>
      </c>
      <c r="L283" t="s">
        <v>74</v>
      </c>
      <c r="M283" t="s">
        <v>78</v>
      </c>
      <c r="N283" t="s">
        <v>79</v>
      </c>
      <c r="O283" t="s">
        <v>74</v>
      </c>
      <c r="P283" t="s">
        <v>74</v>
      </c>
      <c r="Q283" t="s">
        <v>74</v>
      </c>
      <c r="R283" t="s">
        <v>74</v>
      </c>
      <c r="S283" t="s">
        <v>74</v>
      </c>
      <c r="T283" t="s">
        <v>5879</v>
      </c>
      <c r="U283" t="s">
        <v>5880</v>
      </c>
      <c r="V283" t="s">
        <v>5881</v>
      </c>
      <c r="W283" t="s">
        <v>5882</v>
      </c>
      <c r="X283" t="s">
        <v>5883</v>
      </c>
      <c r="Y283" t="s">
        <v>5884</v>
      </c>
      <c r="Z283" t="s">
        <v>5885</v>
      </c>
      <c r="AA283" t="s">
        <v>5886</v>
      </c>
      <c r="AB283" t="s">
        <v>5887</v>
      </c>
      <c r="AC283" t="s">
        <v>5888</v>
      </c>
      <c r="AD283" t="s">
        <v>5889</v>
      </c>
      <c r="AE283" t="s">
        <v>5890</v>
      </c>
      <c r="AF283" t="s">
        <v>74</v>
      </c>
      <c r="AG283">
        <v>81</v>
      </c>
      <c r="AH283">
        <v>8</v>
      </c>
      <c r="AI283">
        <v>8</v>
      </c>
      <c r="AJ283">
        <v>1</v>
      </c>
      <c r="AK283">
        <v>4</v>
      </c>
      <c r="AL283" t="s">
        <v>337</v>
      </c>
      <c r="AM283" t="s">
        <v>258</v>
      </c>
      <c r="AN283" t="s">
        <v>387</v>
      </c>
      <c r="AO283" t="s">
        <v>1204</v>
      </c>
      <c r="AP283" t="s">
        <v>1205</v>
      </c>
      <c r="AQ283" t="s">
        <v>74</v>
      </c>
      <c r="AR283" t="s">
        <v>1206</v>
      </c>
      <c r="AS283" t="s">
        <v>1207</v>
      </c>
      <c r="AT283" t="s">
        <v>4616</v>
      </c>
      <c r="AU283">
        <v>2018</v>
      </c>
      <c r="AV283">
        <v>41</v>
      </c>
      <c r="AW283">
        <v>9</v>
      </c>
      <c r="AX283" t="s">
        <v>74</v>
      </c>
      <c r="AY283" t="s">
        <v>74</v>
      </c>
      <c r="AZ283" t="s">
        <v>74</v>
      </c>
      <c r="BA283" t="s">
        <v>74</v>
      </c>
      <c r="BB283">
        <v>1693</v>
      </c>
      <c r="BC283">
        <v>1706</v>
      </c>
      <c r="BD283" t="s">
        <v>74</v>
      </c>
      <c r="BE283" t="s">
        <v>5891</v>
      </c>
      <c r="BF283" t="str">
        <f>HYPERLINK("http://dx.doi.org/10.1007/s00300-018-2309-2","http://dx.doi.org/10.1007/s00300-018-2309-2")</f>
        <v>http://dx.doi.org/10.1007/s00300-018-2309-2</v>
      </c>
      <c r="BG283" t="s">
        <v>74</v>
      </c>
      <c r="BH283" t="s">
        <v>74</v>
      </c>
      <c r="BI283">
        <v>14</v>
      </c>
      <c r="BJ283" t="s">
        <v>1209</v>
      </c>
      <c r="BK283" t="s">
        <v>101</v>
      </c>
      <c r="BL283" t="s">
        <v>1210</v>
      </c>
      <c r="BM283" t="s">
        <v>5456</v>
      </c>
      <c r="BN283" t="s">
        <v>74</v>
      </c>
      <c r="BO283" t="s">
        <v>5892</v>
      </c>
      <c r="BP283" t="s">
        <v>74</v>
      </c>
      <c r="BQ283" t="s">
        <v>74</v>
      </c>
      <c r="BR283" t="s">
        <v>104</v>
      </c>
      <c r="BS283" t="s">
        <v>5893</v>
      </c>
      <c r="BT283" t="str">
        <f>HYPERLINK("https%3A%2F%2Fwww.webofscience.com%2Fwos%2Fwoscc%2Ffull-record%2FWOS:000447600600004","View Full Record in Web of Science")</f>
        <v>View Full Record in Web of Science</v>
      </c>
    </row>
    <row r="284" spans="1:72" x14ac:dyDescent="0.15">
      <c r="A284" t="s">
        <v>72</v>
      </c>
      <c r="B284" t="s">
        <v>5894</v>
      </c>
      <c r="C284" t="s">
        <v>74</v>
      </c>
      <c r="D284" t="s">
        <v>74</v>
      </c>
      <c r="E284" t="s">
        <v>74</v>
      </c>
      <c r="F284" t="s">
        <v>5895</v>
      </c>
      <c r="G284" t="s">
        <v>74</v>
      </c>
      <c r="H284" t="s">
        <v>74</v>
      </c>
      <c r="I284" t="s">
        <v>5896</v>
      </c>
      <c r="J284" t="s">
        <v>1192</v>
      </c>
      <c r="K284" t="s">
        <v>74</v>
      </c>
      <c r="L284" t="s">
        <v>74</v>
      </c>
      <c r="M284" t="s">
        <v>78</v>
      </c>
      <c r="N284" t="s">
        <v>79</v>
      </c>
      <c r="O284" t="s">
        <v>74</v>
      </c>
      <c r="P284" t="s">
        <v>74</v>
      </c>
      <c r="Q284" t="s">
        <v>74</v>
      </c>
      <c r="R284" t="s">
        <v>74</v>
      </c>
      <c r="S284" t="s">
        <v>74</v>
      </c>
      <c r="T284" t="s">
        <v>5897</v>
      </c>
      <c r="U284" t="s">
        <v>5898</v>
      </c>
      <c r="V284" t="s">
        <v>5899</v>
      </c>
      <c r="W284" t="s">
        <v>5900</v>
      </c>
      <c r="X284" t="s">
        <v>5901</v>
      </c>
      <c r="Y284" t="s">
        <v>5902</v>
      </c>
      <c r="Z284" t="s">
        <v>5903</v>
      </c>
      <c r="AA284" t="s">
        <v>5904</v>
      </c>
      <c r="AB284" t="s">
        <v>5905</v>
      </c>
      <c r="AC284" t="s">
        <v>5906</v>
      </c>
      <c r="AD284" t="s">
        <v>5907</v>
      </c>
      <c r="AE284" t="s">
        <v>5908</v>
      </c>
      <c r="AF284" t="s">
        <v>74</v>
      </c>
      <c r="AG284">
        <v>55</v>
      </c>
      <c r="AH284">
        <v>12</v>
      </c>
      <c r="AI284">
        <v>12</v>
      </c>
      <c r="AJ284">
        <v>1</v>
      </c>
      <c r="AK284">
        <v>22</v>
      </c>
      <c r="AL284" t="s">
        <v>337</v>
      </c>
      <c r="AM284" t="s">
        <v>258</v>
      </c>
      <c r="AN284" t="s">
        <v>338</v>
      </c>
      <c r="AO284" t="s">
        <v>1204</v>
      </c>
      <c r="AP284" t="s">
        <v>1205</v>
      </c>
      <c r="AQ284" t="s">
        <v>74</v>
      </c>
      <c r="AR284" t="s">
        <v>1206</v>
      </c>
      <c r="AS284" t="s">
        <v>1207</v>
      </c>
      <c r="AT284" t="s">
        <v>4616</v>
      </c>
      <c r="AU284">
        <v>2018</v>
      </c>
      <c r="AV284">
        <v>41</v>
      </c>
      <c r="AW284">
        <v>9</v>
      </c>
      <c r="AX284" t="s">
        <v>74</v>
      </c>
      <c r="AY284" t="s">
        <v>74</v>
      </c>
      <c r="AZ284" t="s">
        <v>74</v>
      </c>
      <c r="BA284" t="s">
        <v>74</v>
      </c>
      <c r="BB284">
        <v>1707</v>
      </c>
      <c r="BC284">
        <v>1715</v>
      </c>
      <c r="BD284" t="s">
        <v>74</v>
      </c>
      <c r="BE284" t="s">
        <v>5909</v>
      </c>
      <c r="BF284" t="str">
        <f>HYPERLINK("http://dx.doi.org/10.1007/s00300-018-2310-9","http://dx.doi.org/10.1007/s00300-018-2310-9")</f>
        <v>http://dx.doi.org/10.1007/s00300-018-2310-9</v>
      </c>
      <c r="BG284" t="s">
        <v>74</v>
      </c>
      <c r="BH284" t="s">
        <v>74</v>
      </c>
      <c r="BI284">
        <v>9</v>
      </c>
      <c r="BJ284" t="s">
        <v>1209</v>
      </c>
      <c r="BK284" t="s">
        <v>101</v>
      </c>
      <c r="BL284" t="s">
        <v>1210</v>
      </c>
      <c r="BM284" t="s">
        <v>5456</v>
      </c>
      <c r="BN284" t="s">
        <v>74</v>
      </c>
      <c r="BO284" t="s">
        <v>74</v>
      </c>
      <c r="BP284" t="s">
        <v>74</v>
      </c>
      <c r="BQ284" t="s">
        <v>74</v>
      </c>
      <c r="BR284" t="s">
        <v>104</v>
      </c>
      <c r="BS284" t="s">
        <v>5910</v>
      </c>
      <c r="BT284" t="str">
        <f>HYPERLINK("https%3A%2F%2Fwww.webofscience.com%2Fwos%2Fwoscc%2Ffull-record%2FWOS:000447600600005","View Full Record in Web of Science")</f>
        <v>View Full Record in Web of Science</v>
      </c>
    </row>
    <row r="285" spans="1:72" x14ac:dyDescent="0.15">
      <c r="A285" t="s">
        <v>72</v>
      </c>
      <c r="B285" t="s">
        <v>5911</v>
      </c>
      <c r="C285" t="s">
        <v>74</v>
      </c>
      <c r="D285" t="s">
        <v>74</v>
      </c>
      <c r="E285" t="s">
        <v>74</v>
      </c>
      <c r="F285" t="s">
        <v>5912</v>
      </c>
      <c r="G285" t="s">
        <v>74</v>
      </c>
      <c r="H285" t="s">
        <v>74</v>
      </c>
      <c r="I285" t="s">
        <v>5913</v>
      </c>
      <c r="J285" t="s">
        <v>1192</v>
      </c>
      <c r="K285" t="s">
        <v>74</v>
      </c>
      <c r="L285" t="s">
        <v>74</v>
      </c>
      <c r="M285" t="s">
        <v>78</v>
      </c>
      <c r="N285" t="s">
        <v>79</v>
      </c>
      <c r="O285" t="s">
        <v>74</v>
      </c>
      <c r="P285" t="s">
        <v>74</v>
      </c>
      <c r="Q285" t="s">
        <v>74</v>
      </c>
      <c r="R285" t="s">
        <v>74</v>
      </c>
      <c r="S285" t="s">
        <v>74</v>
      </c>
      <c r="T285" t="s">
        <v>5914</v>
      </c>
      <c r="U285" t="s">
        <v>5915</v>
      </c>
      <c r="V285" t="s">
        <v>5916</v>
      </c>
      <c r="W285" t="s">
        <v>5917</v>
      </c>
      <c r="X285" t="s">
        <v>5918</v>
      </c>
      <c r="Y285" t="s">
        <v>5919</v>
      </c>
      <c r="Z285" t="s">
        <v>5920</v>
      </c>
      <c r="AA285" t="s">
        <v>5921</v>
      </c>
      <c r="AB285" t="s">
        <v>5922</v>
      </c>
      <c r="AC285" t="s">
        <v>5923</v>
      </c>
      <c r="AD285" t="s">
        <v>5924</v>
      </c>
      <c r="AE285" t="s">
        <v>5925</v>
      </c>
      <c r="AF285" t="s">
        <v>74</v>
      </c>
      <c r="AG285">
        <v>38</v>
      </c>
      <c r="AH285">
        <v>5</v>
      </c>
      <c r="AI285">
        <v>5</v>
      </c>
      <c r="AJ285">
        <v>0</v>
      </c>
      <c r="AK285">
        <v>15</v>
      </c>
      <c r="AL285" t="s">
        <v>337</v>
      </c>
      <c r="AM285" t="s">
        <v>258</v>
      </c>
      <c r="AN285" t="s">
        <v>338</v>
      </c>
      <c r="AO285" t="s">
        <v>1204</v>
      </c>
      <c r="AP285" t="s">
        <v>1205</v>
      </c>
      <c r="AQ285" t="s">
        <v>74</v>
      </c>
      <c r="AR285" t="s">
        <v>1206</v>
      </c>
      <c r="AS285" t="s">
        <v>1207</v>
      </c>
      <c r="AT285" t="s">
        <v>4616</v>
      </c>
      <c r="AU285">
        <v>2018</v>
      </c>
      <c r="AV285">
        <v>41</v>
      </c>
      <c r="AW285">
        <v>9</v>
      </c>
      <c r="AX285" t="s">
        <v>74</v>
      </c>
      <c r="AY285" t="s">
        <v>74</v>
      </c>
      <c r="AZ285" t="s">
        <v>74</v>
      </c>
      <c r="BA285" t="s">
        <v>74</v>
      </c>
      <c r="BB285">
        <v>1717</v>
      </c>
      <c r="BC285">
        <v>1724</v>
      </c>
      <c r="BD285" t="s">
        <v>74</v>
      </c>
      <c r="BE285" t="s">
        <v>5926</v>
      </c>
      <c r="BF285" t="str">
        <f>HYPERLINK("http://dx.doi.org/10.1007/s00300-018-2311-8","http://dx.doi.org/10.1007/s00300-018-2311-8")</f>
        <v>http://dx.doi.org/10.1007/s00300-018-2311-8</v>
      </c>
      <c r="BG285" t="s">
        <v>74</v>
      </c>
      <c r="BH285" t="s">
        <v>74</v>
      </c>
      <c r="BI285">
        <v>8</v>
      </c>
      <c r="BJ285" t="s">
        <v>1209</v>
      </c>
      <c r="BK285" t="s">
        <v>101</v>
      </c>
      <c r="BL285" t="s">
        <v>1210</v>
      </c>
      <c r="BM285" t="s">
        <v>5456</v>
      </c>
      <c r="BN285" t="s">
        <v>74</v>
      </c>
      <c r="BO285" t="s">
        <v>74</v>
      </c>
      <c r="BP285" t="s">
        <v>74</v>
      </c>
      <c r="BQ285" t="s">
        <v>74</v>
      </c>
      <c r="BR285" t="s">
        <v>104</v>
      </c>
      <c r="BS285" t="s">
        <v>5927</v>
      </c>
      <c r="BT285" t="str">
        <f>HYPERLINK("https%3A%2F%2Fwww.webofscience.com%2Fwos%2Fwoscc%2Ffull-record%2FWOS:000447600600006","View Full Record in Web of Science")</f>
        <v>View Full Record in Web of Science</v>
      </c>
    </row>
    <row r="286" spans="1:72" x14ac:dyDescent="0.15">
      <c r="A286" t="s">
        <v>72</v>
      </c>
      <c r="B286" t="s">
        <v>5928</v>
      </c>
      <c r="C286" t="s">
        <v>74</v>
      </c>
      <c r="D286" t="s">
        <v>74</v>
      </c>
      <c r="E286" t="s">
        <v>74</v>
      </c>
      <c r="F286" t="s">
        <v>5929</v>
      </c>
      <c r="G286" t="s">
        <v>74</v>
      </c>
      <c r="H286" t="s">
        <v>74</v>
      </c>
      <c r="I286" t="s">
        <v>5930</v>
      </c>
      <c r="J286" t="s">
        <v>1192</v>
      </c>
      <c r="K286" t="s">
        <v>74</v>
      </c>
      <c r="L286" t="s">
        <v>74</v>
      </c>
      <c r="M286" t="s">
        <v>78</v>
      </c>
      <c r="N286" t="s">
        <v>79</v>
      </c>
      <c r="O286" t="s">
        <v>74</v>
      </c>
      <c r="P286" t="s">
        <v>74</v>
      </c>
      <c r="Q286" t="s">
        <v>74</v>
      </c>
      <c r="R286" t="s">
        <v>74</v>
      </c>
      <c r="S286" t="s">
        <v>74</v>
      </c>
      <c r="T286" t="s">
        <v>5931</v>
      </c>
      <c r="U286" t="s">
        <v>5932</v>
      </c>
      <c r="V286" t="s">
        <v>5933</v>
      </c>
      <c r="W286" t="s">
        <v>5934</v>
      </c>
      <c r="X286" t="s">
        <v>5935</v>
      </c>
      <c r="Y286" t="s">
        <v>5936</v>
      </c>
      <c r="Z286" t="s">
        <v>5937</v>
      </c>
      <c r="AA286" t="s">
        <v>74</v>
      </c>
      <c r="AB286" t="s">
        <v>74</v>
      </c>
      <c r="AC286" t="s">
        <v>5938</v>
      </c>
      <c r="AD286" t="s">
        <v>5939</v>
      </c>
      <c r="AE286" t="s">
        <v>5940</v>
      </c>
      <c r="AF286" t="s">
        <v>74</v>
      </c>
      <c r="AG286">
        <v>49</v>
      </c>
      <c r="AH286">
        <v>2</v>
      </c>
      <c r="AI286">
        <v>2</v>
      </c>
      <c r="AJ286">
        <v>1</v>
      </c>
      <c r="AK286">
        <v>7</v>
      </c>
      <c r="AL286" t="s">
        <v>337</v>
      </c>
      <c r="AM286" t="s">
        <v>258</v>
      </c>
      <c r="AN286" t="s">
        <v>338</v>
      </c>
      <c r="AO286" t="s">
        <v>1204</v>
      </c>
      <c r="AP286" t="s">
        <v>1205</v>
      </c>
      <c r="AQ286" t="s">
        <v>74</v>
      </c>
      <c r="AR286" t="s">
        <v>1206</v>
      </c>
      <c r="AS286" t="s">
        <v>1207</v>
      </c>
      <c r="AT286" t="s">
        <v>4616</v>
      </c>
      <c r="AU286">
        <v>2018</v>
      </c>
      <c r="AV286">
        <v>41</v>
      </c>
      <c r="AW286">
        <v>9</v>
      </c>
      <c r="AX286" t="s">
        <v>74</v>
      </c>
      <c r="AY286" t="s">
        <v>74</v>
      </c>
      <c r="AZ286" t="s">
        <v>74</v>
      </c>
      <c r="BA286" t="s">
        <v>74</v>
      </c>
      <c r="BB286">
        <v>1751</v>
      </c>
      <c r="BC286">
        <v>1762</v>
      </c>
      <c r="BD286" t="s">
        <v>74</v>
      </c>
      <c r="BE286" t="s">
        <v>5941</v>
      </c>
      <c r="BF286" t="str">
        <f>HYPERLINK("http://dx.doi.org/10.1007/s00300-018-2314-5","http://dx.doi.org/10.1007/s00300-018-2314-5")</f>
        <v>http://dx.doi.org/10.1007/s00300-018-2314-5</v>
      </c>
      <c r="BG286" t="s">
        <v>74</v>
      </c>
      <c r="BH286" t="s">
        <v>74</v>
      </c>
      <c r="BI286">
        <v>12</v>
      </c>
      <c r="BJ286" t="s">
        <v>1209</v>
      </c>
      <c r="BK286" t="s">
        <v>101</v>
      </c>
      <c r="BL286" t="s">
        <v>1210</v>
      </c>
      <c r="BM286" t="s">
        <v>5456</v>
      </c>
      <c r="BN286" t="s">
        <v>74</v>
      </c>
      <c r="BO286" t="s">
        <v>74</v>
      </c>
      <c r="BP286" t="s">
        <v>74</v>
      </c>
      <c r="BQ286" t="s">
        <v>74</v>
      </c>
      <c r="BR286" t="s">
        <v>104</v>
      </c>
      <c r="BS286" t="s">
        <v>5942</v>
      </c>
      <c r="BT286" t="str">
        <f>HYPERLINK("https%3A%2F%2Fwww.webofscience.com%2Fwos%2Fwoscc%2Ffull-record%2FWOS:000447600600009","View Full Record in Web of Science")</f>
        <v>View Full Record in Web of Science</v>
      </c>
    </row>
    <row r="287" spans="1:72" x14ac:dyDescent="0.15">
      <c r="A287" t="s">
        <v>72</v>
      </c>
      <c r="B287" t="s">
        <v>5943</v>
      </c>
      <c r="C287" t="s">
        <v>74</v>
      </c>
      <c r="D287" t="s">
        <v>74</v>
      </c>
      <c r="E287" t="s">
        <v>74</v>
      </c>
      <c r="F287" t="s">
        <v>5944</v>
      </c>
      <c r="G287" t="s">
        <v>74</v>
      </c>
      <c r="H287" t="s">
        <v>74</v>
      </c>
      <c r="I287" t="s">
        <v>5945</v>
      </c>
      <c r="J287" t="s">
        <v>1192</v>
      </c>
      <c r="K287" t="s">
        <v>74</v>
      </c>
      <c r="L287" t="s">
        <v>74</v>
      </c>
      <c r="M287" t="s">
        <v>78</v>
      </c>
      <c r="N287" t="s">
        <v>79</v>
      </c>
      <c r="O287" t="s">
        <v>74</v>
      </c>
      <c r="P287" t="s">
        <v>74</v>
      </c>
      <c r="Q287" t="s">
        <v>74</v>
      </c>
      <c r="R287" t="s">
        <v>74</v>
      </c>
      <c r="S287" t="s">
        <v>74</v>
      </c>
      <c r="T287" t="s">
        <v>5946</v>
      </c>
      <c r="U287" t="s">
        <v>5947</v>
      </c>
      <c r="V287" t="s">
        <v>5948</v>
      </c>
      <c r="W287" t="s">
        <v>5949</v>
      </c>
      <c r="X287" t="s">
        <v>5950</v>
      </c>
      <c r="Y287" t="s">
        <v>5951</v>
      </c>
      <c r="Z287" t="s">
        <v>5952</v>
      </c>
      <c r="AA287" t="s">
        <v>5953</v>
      </c>
      <c r="AB287" t="s">
        <v>5954</v>
      </c>
      <c r="AC287" t="s">
        <v>5955</v>
      </c>
      <c r="AD287" t="s">
        <v>5956</v>
      </c>
      <c r="AE287" t="s">
        <v>5957</v>
      </c>
      <c r="AF287" t="s">
        <v>74</v>
      </c>
      <c r="AG287">
        <v>60</v>
      </c>
      <c r="AH287">
        <v>11</v>
      </c>
      <c r="AI287">
        <v>13</v>
      </c>
      <c r="AJ287">
        <v>1</v>
      </c>
      <c r="AK287">
        <v>24</v>
      </c>
      <c r="AL287" t="s">
        <v>337</v>
      </c>
      <c r="AM287" t="s">
        <v>258</v>
      </c>
      <c r="AN287" t="s">
        <v>338</v>
      </c>
      <c r="AO287" t="s">
        <v>1204</v>
      </c>
      <c r="AP287" t="s">
        <v>1205</v>
      </c>
      <c r="AQ287" t="s">
        <v>74</v>
      </c>
      <c r="AR287" t="s">
        <v>1206</v>
      </c>
      <c r="AS287" t="s">
        <v>1207</v>
      </c>
      <c r="AT287" t="s">
        <v>4616</v>
      </c>
      <c r="AU287">
        <v>2018</v>
      </c>
      <c r="AV287">
        <v>41</v>
      </c>
      <c r="AW287">
        <v>9</v>
      </c>
      <c r="AX287" t="s">
        <v>74</v>
      </c>
      <c r="AY287" t="s">
        <v>74</v>
      </c>
      <c r="AZ287" t="s">
        <v>74</v>
      </c>
      <c r="BA287" t="s">
        <v>74</v>
      </c>
      <c r="BB287">
        <v>1763</v>
      </c>
      <c r="BC287">
        <v>1775</v>
      </c>
      <c r="BD287" t="s">
        <v>74</v>
      </c>
      <c r="BE287" t="s">
        <v>5958</v>
      </c>
      <c r="BF287" t="str">
        <f>HYPERLINK("http://dx.doi.org/10.1007/s00300-018-2316-3","http://dx.doi.org/10.1007/s00300-018-2316-3")</f>
        <v>http://dx.doi.org/10.1007/s00300-018-2316-3</v>
      </c>
      <c r="BG287" t="s">
        <v>74</v>
      </c>
      <c r="BH287" t="s">
        <v>74</v>
      </c>
      <c r="BI287">
        <v>13</v>
      </c>
      <c r="BJ287" t="s">
        <v>1209</v>
      </c>
      <c r="BK287" t="s">
        <v>101</v>
      </c>
      <c r="BL287" t="s">
        <v>1210</v>
      </c>
      <c r="BM287" t="s">
        <v>5456</v>
      </c>
      <c r="BN287" t="s">
        <v>74</v>
      </c>
      <c r="BO287" t="s">
        <v>74</v>
      </c>
      <c r="BP287" t="s">
        <v>74</v>
      </c>
      <c r="BQ287" t="s">
        <v>74</v>
      </c>
      <c r="BR287" t="s">
        <v>104</v>
      </c>
      <c r="BS287" t="s">
        <v>5959</v>
      </c>
      <c r="BT287" t="str">
        <f>HYPERLINK("https%3A%2F%2Fwww.webofscience.com%2Fwos%2Fwoscc%2Ffull-record%2FWOS:000447600600010","View Full Record in Web of Science")</f>
        <v>View Full Record in Web of Science</v>
      </c>
    </row>
    <row r="288" spans="1:72" x14ac:dyDescent="0.15">
      <c r="A288" t="s">
        <v>72</v>
      </c>
      <c r="B288" t="s">
        <v>5960</v>
      </c>
      <c r="C288" t="s">
        <v>74</v>
      </c>
      <c r="D288" t="s">
        <v>74</v>
      </c>
      <c r="E288" t="s">
        <v>74</v>
      </c>
      <c r="F288" t="s">
        <v>5961</v>
      </c>
      <c r="G288" t="s">
        <v>74</v>
      </c>
      <c r="H288" t="s">
        <v>74</v>
      </c>
      <c r="I288" t="s">
        <v>5962</v>
      </c>
      <c r="J288" t="s">
        <v>1192</v>
      </c>
      <c r="K288" t="s">
        <v>74</v>
      </c>
      <c r="L288" t="s">
        <v>74</v>
      </c>
      <c r="M288" t="s">
        <v>78</v>
      </c>
      <c r="N288" t="s">
        <v>79</v>
      </c>
      <c r="O288" t="s">
        <v>74</v>
      </c>
      <c r="P288" t="s">
        <v>74</v>
      </c>
      <c r="Q288" t="s">
        <v>74</v>
      </c>
      <c r="R288" t="s">
        <v>74</v>
      </c>
      <c r="S288" t="s">
        <v>74</v>
      </c>
      <c r="T288" t="s">
        <v>5963</v>
      </c>
      <c r="U288" t="s">
        <v>5964</v>
      </c>
      <c r="V288" t="s">
        <v>5965</v>
      </c>
      <c r="W288" t="s">
        <v>5966</v>
      </c>
      <c r="X288" t="s">
        <v>1936</v>
      </c>
      <c r="Y288" t="s">
        <v>5967</v>
      </c>
      <c r="Z288" t="s">
        <v>1938</v>
      </c>
      <c r="AA288" t="s">
        <v>1939</v>
      </c>
      <c r="AB288" t="s">
        <v>1940</v>
      </c>
      <c r="AC288" t="s">
        <v>5968</v>
      </c>
      <c r="AD288" t="s">
        <v>5969</v>
      </c>
      <c r="AE288" t="s">
        <v>5970</v>
      </c>
      <c r="AF288" t="s">
        <v>74</v>
      </c>
      <c r="AG288">
        <v>44</v>
      </c>
      <c r="AH288">
        <v>2</v>
      </c>
      <c r="AI288">
        <v>2</v>
      </c>
      <c r="AJ288">
        <v>2</v>
      </c>
      <c r="AK288">
        <v>17</v>
      </c>
      <c r="AL288" t="s">
        <v>337</v>
      </c>
      <c r="AM288" t="s">
        <v>258</v>
      </c>
      <c r="AN288" t="s">
        <v>338</v>
      </c>
      <c r="AO288" t="s">
        <v>1204</v>
      </c>
      <c r="AP288" t="s">
        <v>1205</v>
      </c>
      <c r="AQ288" t="s">
        <v>74</v>
      </c>
      <c r="AR288" t="s">
        <v>1206</v>
      </c>
      <c r="AS288" t="s">
        <v>1207</v>
      </c>
      <c r="AT288" t="s">
        <v>4616</v>
      </c>
      <c r="AU288">
        <v>2018</v>
      </c>
      <c r="AV288">
        <v>41</v>
      </c>
      <c r="AW288">
        <v>9</v>
      </c>
      <c r="AX288" t="s">
        <v>74</v>
      </c>
      <c r="AY288" t="s">
        <v>74</v>
      </c>
      <c r="AZ288" t="s">
        <v>74</v>
      </c>
      <c r="BA288" t="s">
        <v>74</v>
      </c>
      <c r="BB288">
        <v>1777</v>
      </c>
      <c r="BC288">
        <v>1788</v>
      </c>
      <c r="BD288" t="s">
        <v>74</v>
      </c>
      <c r="BE288" t="s">
        <v>5971</v>
      </c>
      <c r="BF288" t="str">
        <f>HYPERLINK("http://dx.doi.org/10.1007/s00300-018-2318-1","http://dx.doi.org/10.1007/s00300-018-2318-1")</f>
        <v>http://dx.doi.org/10.1007/s00300-018-2318-1</v>
      </c>
      <c r="BG288" t="s">
        <v>74</v>
      </c>
      <c r="BH288" t="s">
        <v>74</v>
      </c>
      <c r="BI288">
        <v>12</v>
      </c>
      <c r="BJ288" t="s">
        <v>1209</v>
      </c>
      <c r="BK288" t="s">
        <v>101</v>
      </c>
      <c r="BL288" t="s">
        <v>1210</v>
      </c>
      <c r="BM288" t="s">
        <v>5456</v>
      </c>
      <c r="BN288" t="s">
        <v>74</v>
      </c>
      <c r="BO288" t="s">
        <v>74</v>
      </c>
      <c r="BP288" t="s">
        <v>74</v>
      </c>
      <c r="BQ288" t="s">
        <v>74</v>
      </c>
      <c r="BR288" t="s">
        <v>104</v>
      </c>
      <c r="BS288" t="s">
        <v>5972</v>
      </c>
      <c r="BT288" t="str">
        <f>HYPERLINK("https%3A%2F%2Fwww.webofscience.com%2Fwos%2Fwoscc%2Ffull-record%2FWOS:000447600600011","View Full Record in Web of Science")</f>
        <v>View Full Record in Web of Science</v>
      </c>
    </row>
    <row r="289" spans="1:72" x14ac:dyDescent="0.15">
      <c r="A289" t="s">
        <v>72</v>
      </c>
      <c r="B289" t="s">
        <v>5973</v>
      </c>
      <c r="C289" t="s">
        <v>74</v>
      </c>
      <c r="D289" t="s">
        <v>74</v>
      </c>
      <c r="E289" t="s">
        <v>74</v>
      </c>
      <c r="F289" t="s">
        <v>5974</v>
      </c>
      <c r="G289" t="s">
        <v>74</v>
      </c>
      <c r="H289" t="s">
        <v>74</v>
      </c>
      <c r="I289" t="s">
        <v>5975</v>
      </c>
      <c r="J289" t="s">
        <v>5976</v>
      </c>
      <c r="K289" t="s">
        <v>74</v>
      </c>
      <c r="L289" t="s">
        <v>74</v>
      </c>
      <c r="M289" t="s">
        <v>78</v>
      </c>
      <c r="N289" t="s">
        <v>79</v>
      </c>
      <c r="O289" t="s">
        <v>74</v>
      </c>
      <c r="P289" t="s">
        <v>74</v>
      </c>
      <c r="Q289" t="s">
        <v>74</v>
      </c>
      <c r="R289" t="s">
        <v>74</v>
      </c>
      <c r="S289" t="s">
        <v>74</v>
      </c>
      <c r="T289" t="s">
        <v>74</v>
      </c>
      <c r="U289" t="s">
        <v>5977</v>
      </c>
      <c r="V289" t="s">
        <v>5978</v>
      </c>
      <c r="W289" t="s">
        <v>5979</v>
      </c>
      <c r="X289" t="s">
        <v>5980</v>
      </c>
      <c r="Y289" t="s">
        <v>5981</v>
      </c>
      <c r="Z289" t="s">
        <v>5982</v>
      </c>
      <c r="AA289" t="s">
        <v>5983</v>
      </c>
      <c r="AB289" t="s">
        <v>5984</v>
      </c>
      <c r="AC289" t="s">
        <v>74</v>
      </c>
      <c r="AD289" t="s">
        <v>74</v>
      </c>
      <c r="AE289" t="s">
        <v>74</v>
      </c>
      <c r="AF289" t="s">
        <v>74</v>
      </c>
      <c r="AG289">
        <v>24</v>
      </c>
      <c r="AH289">
        <v>2</v>
      </c>
      <c r="AI289">
        <v>2</v>
      </c>
      <c r="AJ289">
        <v>0</v>
      </c>
      <c r="AK289">
        <v>9</v>
      </c>
      <c r="AL289" t="s">
        <v>5985</v>
      </c>
      <c r="AM289" t="s">
        <v>5986</v>
      </c>
      <c r="AN289" t="s">
        <v>5987</v>
      </c>
      <c r="AO289" t="s">
        <v>5988</v>
      </c>
      <c r="AP289" t="s">
        <v>5989</v>
      </c>
      <c r="AQ289" t="s">
        <v>74</v>
      </c>
      <c r="AR289" t="s">
        <v>5990</v>
      </c>
      <c r="AS289" t="s">
        <v>5991</v>
      </c>
      <c r="AT289" t="s">
        <v>4616</v>
      </c>
      <c r="AU289">
        <v>2018</v>
      </c>
      <c r="AV289">
        <v>39</v>
      </c>
      <c r="AW289">
        <v>3</v>
      </c>
      <c r="AX289" t="s">
        <v>74</v>
      </c>
      <c r="AY289" t="s">
        <v>74</v>
      </c>
      <c r="AZ289" t="s">
        <v>155</v>
      </c>
      <c r="BA289" t="s">
        <v>74</v>
      </c>
      <c r="BB289">
        <v>137</v>
      </c>
      <c r="BC289">
        <v>140</v>
      </c>
      <c r="BD289" t="s">
        <v>74</v>
      </c>
      <c r="BE289" t="s">
        <v>5992</v>
      </c>
      <c r="BF289" t="str">
        <f>HYPERLINK("http://dx.doi.org/10.1071/MA18042","http://dx.doi.org/10.1071/MA18042")</f>
        <v>http://dx.doi.org/10.1071/MA18042</v>
      </c>
      <c r="BG289" t="s">
        <v>74</v>
      </c>
      <c r="BH289" t="s">
        <v>74</v>
      </c>
      <c r="BI289">
        <v>4</v>
      </c>
      <c r="BJ289" t="s">
        <v>344</v>
      </c>
      <c r="BK289" t="s">
        <v>126</v>
      </c>
      <c r="BL289" t="s">
        <v>344</v>
      </c>
      <c r="BM289" t="s">
        <v>5993</v>
      </c>
      <c r="BN289" t="s">
        <v>74</v>
      </c>
      <c r="BO289" t="s">
        <v>712</v>
      </c>
      <c r="BP289" t="s">
        <v>74</v>
      </c>
      <c r="BQ289" t="s">
        <v>74</v>
      </c>
      <c r="BR289" t="s">
        <v>104</v>
      </c>
      <c r="BS289" t="s">
        <v>5994</v>
      </c>
      <c r="BT289" t="str">
        <f>HYPERLINK("https%3A%2F%2Fwww.webofscience.com%2Fwos%2Fwoscc%2Ffull-record%2FWOS:000447496000009","View Full Record in Web of Science")</f>
        <v>View Full Record in Web of Science</v>
      </c>
    </row>
    <row r="290" spans="1:72" x14ac:dyDescent="0.15">
      <c r="A290" t="s">
        <v>72</v>
      </c>
      <c r="B290" t="s">
        <v>5995</v>
      </c>
      <c r="C290" t="s">
        <v>74</v>
      </c>
      <c r="D290" t="s">
        <v>74</v>
      </c>
      <c r="E290" t="s">
        <v>74</v>
      </c>
      <c r="F290" t="s">
        <v>5996</v>
      </c>
      <c r="G290" t="s">
        <v>74</v>
      </c>
      <c r="H290" t="s">
        <v>74</v>
      </c>
      <c r="I290" t="s">
        <v>5997</v>
      </c>
      <c r="J290" t="s">
        <v>5998</v>
      </c>
      <c r="K290" t="s">
        <v>74</v>
      </c>
      <c r="L290" t="s">
        <v>74</v>
      </c>
      <c r="M290" t="s">
        <v>78</v>
      </c>
      <c r="N290" t="s">
        <v>79</v>
      </c>
      <c r="O290" t="s">
        <v>74</v>
      </c>
      <c r="P290" t="s">
        <v>74</v>
      </c>
      <c r="Q290" t="s">
        <v>74</v>
      </c>
      <c r="R290" t="s">
        <v>74</v>
      </c>
      <c r="S290" t="s">
        <v>74</v>
      </c>
      <c r="T290" t="s">
        <v>74</v>
      </c>
      <c r="U290" t="s">
        <v>5999</v>
      </c>
      <c r="V290" t="s">
        <v>6000</v>
      </c>
      <c r="W290" t="s">
        <v>6001</v>
      </c>
      <c r="X290" t="s">
        <v>6002</v>
      </c>
      <c r="Y290" t="s">
        <v>6003</v>
      </c>
      <c r="Z290" t="s">
        <v>6004</v>
      </c>
      <c r="AA290" t="s">
        <v>6005</v>
      </c>
      <c r="AB290" t="s">
        <v>6006</v>
      </c>
      <c r="AC290" t="s">
        <v>6007</v>
      </c>
      <c r="AD290" t="s">
        <v>6008</v>
      </c>
      <c r="AE290" t="s">
        <v>6009</v>
      </c>
      <c r="AF290" t="s">
        <v>74</v>
      </c>
      <c r="AG290">
        <v>71</v>
      </c>
      <c r="AH290">
        <v>13</v>
      </c>
      <c r="AI290">
        <v>15</v>
      </c>
      <c r="AJ290">
        <v>1</v>
      </c>
      <c r="AK290">
        <v>14</v>
      </c>
      <c r="AL290" t="s">
        <v>503</v>
      </c>
      <c r="AM290" t="s">
        <v>504</v>
      </c>
      <c r="AN290" t="s">
        <v>505</v>
      </c>
      <c r="AO290" t="s">
        <v>6010</v>
      </c>
      <c r="AP290" t="s">
        <v>6011</v>
      </c>
      <c r="AQ290" t="s">
        <v>74</v>
      </c>
      <c r="AR290" t="s">
        <v>6012</v>
      </c>
      <c r="AS290" t="s">
        <v>6013</v>
      </c>
      <c r="AT290" t="s">
        <v>4616</v>
      </c>
      <c r="AU290">
        <v>2018</v>
      </c>
      <c r="AV290">
        <v>33</v>
      </c>
      <c r="AW290">
        <v>9</v>
      </c>
      <c r="AX290" t="s">
        <v>74</v>
      </c>
      <c r="AY290" t="s">
        <v>74</v>
      </c>
      <c r="AZ290" t="s">
        <v>74</v>
      </c>
      <c r="BA290" t="s">
        <v>74</v>
      </c>
      <c r="BB290">
        <v>934</v>
      </c>
      <c r="BC290">
        <v>944</v>
      </c>
      <c r="BD290" t="s">
        <v>74</v>
      </c>
      <c r="BE290" t="s">
        <v>6014</v>
      </c>
      <c r="BF290" t="str">
        <f>HYPERLINK("http://dx.doi.org/10.1029/2017PA003283","http://dx.doi.org/10.1029/2017PA003283")</f>
        <v>http://dx.doi.org/10.1029/2017PA003283</v>
      </c>
      <c r="BG290" t="s">
        <v>74</v>
      </c>
      <c r="BH290" t="s">
        <v>74</v>
      </c>
      <c r="BI290">
        <v>11</v>
      </c>
      <c r="BJ290" t="s">
        <v>6015</v>
      </c>
      <c r="BK290" t="s">
        <v>101</v>
      </c>
      <c r="BL290" t="s">
        <v>6016</v>
      </c>
      <c r="BM290" t="s">
        <v>6017</v>
      </c>
      <c r="BN290" t="s">
        <v>74</v>
      </c>
      <c r="BO290" t="s">
        <v>712</v>
      </c>
      <c r="BP290" t="s">
        <v>74</v>
      </c>
      <c r="BQ290" t="s">
        <v>74</v>
      </c>
      <c r="BR290" t="s">
        <v>104</v>
      </c>
      <c r="BS290" t="s">
        <v>6018</v>
      </c>
      <c r="BT290" t="str">
        <f>HYPERLINK("https%3A%2F%2Fwww.webofscience.com%2Fwos%2Fwoscc%2Ffull-record%2FWOS:000447556200002","View Full Record in Web of Science")</f>
        <v>View Full Record in Web of Science</v>
      </c>
    </row>
    <row r="291" spans="1:72" x14ac:dyDescent="0.15">
      <c r="A291" t="s">
        <v>72</v>
      </c>
      <c r="B291" t="s">
        <v>6019</v>
      </c>
      <c r="C291" t="s">
        <v>74</v>
      </c>
      <c r="D291" t="s">
        <v>74</v>
      </c>
      <c r="E291" t="s">
        <v>74</v>
      </c>
      <c r="F291" t="s">
        <v>6020</v>
      </c>
      <c r="G291" t="s">
        <v>74</v>
      </c>
      <c r="H291" t="s">
        <v>74</v>
      </c>
      <c r="I291" t="s">
        <v>6021</v>
      </c>
      <c r="J291" t="s">
        <v>5998</v>
      </c>
      <c r="K291" t="s">
        <v>74</v>
      </c>
      <c r="L291" t="s">
        <v>74</v>
      </c>
      <c r="M291" t="s">
        <v>78</v>
      </c>
      <c r="N291" t="s">
        <v>79</v>
      </c>
      <c r="O291" t="s">
        <v>74</v>
      </c>
      <c r="P291" t="s">
        <v>74</v>
      </c>
      <c r="Q291" t="s">
        <v>74</v>
      </c>
      <c r="R291" t="s">
        <v>74</v>
      </c>
      <c r="S291" t="s">
        <v>74</v>
      </c>
      <c r="T291" t="s">
        <v>74</v>
      </c>
      <c r="U291" t="s">
        <v>6022</v>
      </c>
      <c r="V291" t="s">
        <v>6023</v>
      </c>
      <c r="W291" t="s">
        <v>6024</v>
      </c>
      <c r="X291" t="s">
        <v>6025</v>
      </c>
      <c r="Y291" t="s">
        <v>6026</v>
      </c>
      <c r="Z291" t="s">
        <v>6027</v>
      </c>
      <c r="AA291" t="s">
        <v>6028</v>
      </c>
      <c r="AB291" t="s">
        <v>6029</v>
      </c>
      <c r="AC291" t="s">
        <v>6030</v>
      </c>
      <c r="AD291" t="s">
        <v>6031</v>
      </c>
      <c r="AE291" t="s">
        <v>6032</v>
      </c>
      <c r="AF291" t="s">
        <v>74</v>
      </c>
      <c r="AG291">
        <v>139</v>
      </c>
      <c r="AH291">
        <v>44</v>
      </c>
      <c r="AI291">
        <v>46</v>
      </c>
      <c r="AJ291">
        <v>1</v>
      </c>
      <c r="AK291">
        <v>17</v>
      </c>
      <c r="AL291" t="s">
        <v>503</v>
      </c>
      <c r="AM291" t="s">
        <v>504</v>
      </c>
      <c r="AN291" t="s">
        <v>505</v>
      </c>
      <c r="AO291" t="s">
        <v>6010</v>
      </c>
      <c r="AP291" t="s">
        <v>6011</v>
      </c>
      <c r="AQ291" t="s">
        <v>74</v>
      </c>
      <c r="AR291" t="s">
        <v>6012</v>
      </c>
      <c r="AS291" t="s">
        <v>6013</v>
      </c>
      <c r="AT291" t="s">
        <v>4616</v>
      </c>
      <c r="AU291">
        <v>2018</v>
      </c>
      <c r="AV291">
        <v>33</v>
      </c>
      <c r="AW291">
        <v>9</v>
      </c>
      <c r="AX291" t="s">
        <v>74</v>
      </c>
      <c r="AY291" t="s">
        <v>74</v>
      </c>
      <c r="AZ291" t="s">
        <v>74</v>
      </c>
      <c r="BA291" t="s">
        <v>74</v>
      </c>
      <c r="BB291">
        <v>1013</v>
      </c>
      <c r="BC291">
        <v>1034</v>
      </c>
      <c r="BD291" t="s">
        <v>74</v>
      </c>
      <c r="BE291" t="s">
        <v>6033</v>
      </c>
      <c r="BF291" t="str">
        <f>HYPERLINK("http://dx.doi.org/10.1029/2018PA003408","http://dx.doi.org/10.1029/2018PA003408")</f>
        <v>http://dx.doi.org/10.1029/2018PA003408</v>
      </c>
      <c r="BG291" t="s">
        <v>74</v>
      </c>
      <c r="BH291" t="s">
        <v>74</v>
      </c>
      <c r="BI291">
        <v>22</v>
      </c>
      <c r="BJ291" t="s">
        <v>6015</v>
      </c>
      <c r="BK291" t="s">
        <v>101</v>
      </c>
      <c r="BL291" t="s">
        <v>6016</v>
      </c>
      <c r="BM291" t="s">
        <v>6017</v>
      </c>
      <c r="BN291" t="s">
        <v>74</v>
      </c>
      <c r="BO291" t="s">
        <v>346</v>
      </c>
      <c r="BP291" t="s">
        <v>74</v>
      </c>
      <c r="BQ291" t="s">
        <v>74</v>
      </c>
      <c r="BR291" t="s">
        <v>104</v>
      </c>
      <c r="BS291" t="s">
        <v>6034</v>
      </c>
      <c r="BT291" t="str">
        <f>HYPERLINK("https%3A%2F%2Fwww.webofscience.com%2Fwos%2Fwoscc%2Ffull-record%2FWOS:000447556200007","View Full Record in Web of Science")</f>
        <v>View Full Record in Web of Science</v>
      </c>
    </row>
    <row r="292" spans="1:72" x14ac:dyDescent="0.15">
      <c r="A292" t="s">
        <v>72</v>
      </c>
      <c r="B292" t="s">
        <v>6035</v>
      </c>
      <c r="C292" t="s">
        <v>74</v>
      </c>
      <c r="D292" t="s">
        <v>74</v>
      </c>
      <c r="E292" t="s">
        <v>74</v>
      </c>
      <c r="F292" t="s">
        <v>6036</v>
      </c>
      <c r="G292" t="s">
        <v>74</v>
      </c>
      <c r="H292" t="s">
        <v>74</v>
      </c>
      <c r="I292" t="s">
        <v>6037</v>
      </c>
      <c r="J292" t="s">
        <v>6038</v>
      </c>
      <c r="K292" t="s">
        <v>74</v>
      </c>
      <c r="L292" t="s">
        <v>74</v>
      </c>
      <c r="M292" t="s">
        <v>78</v>
      </c>
      <c r="N292" t="s">
        <v>79</v>
      </c>
      <c r="O292" t="s">
        <v>74</v>
      </c>
      <c r="P292" t="s">
        <v>74</v>
      </c>
      <c r="Q292" t="s">
        <v>74</v>
      </c>
      <c r="R292" t="s">
        <v>74</v>
      </c>
      <c r="S292" t="s">
        <v>74</v>
      </c>
      <c r="T292" t="s">
        <v>6039</v>
      </c>
      <c r="U292" t="s">
        <v>6040</v>
      </c>
      <c r="V292" t="s">
        <v>6041</v>
      </c>
      <c r="W292" t="s">
        <v>6042</v>
      </c>
      <c r="X292" t="s">
        <v>6043</v>
      </c>
      <c r="Y292" t="s">
        <v>6044</v>
      </c>
      <c r="Z292" t="s">
        <v>6045</v>
      </c>
      <c r="AA292" t="s">
        <v>6046</v>
      </c>
      <c r="AB292" t="s">
        <v>74</v>
      </c>
      <c r="AC292" t="s">
        <v>6047</v>
      </c>
      <c r="AD292" t="s">
        <v>6048</v>
      </c>
      <c r="AE292" t="s">
        <v>6049</v>
      </c>
      <c r="AF292" t="s">
        <v>74</v>
      </c>
      <c r="AG292">
        <v>33</v>
      </c>
      <c r="AH292">
        <v>8</v>
      </c>
      <c r="AI292">
        <v>8</v>
      </c>
      <c r="AJ292">
        <v>0</v>
      </c>
      <c r="AK292">
        <v>3</v>
      </c>
      <c r="AL292" t="s">
        <v>6050</v>
      </c>
      <c r="AM292" t="s">
        <v>5514</v>
      </c>
      <c r="AN292" t="s">
        <v>6051</v>
      </c>
      <c r="AO292" t="s">
        <v>6052</v>
      </c>
      <c r="AP292" t="s">
        <v>6053</v>
      </c>
      <c r="AQ292" t="s">
        <v>74</v>
      </c>
      <c r="AR292" t="s">
        <v>6054</v>
      </c>
      <c r="AS292" t="s">
        <v>6055</v>
      </c>
      <c r="AT292" t="s">
        <v>4616</v>
      </c>
      <c r="AU292">
        <v>2018</v>
      </c>
      <c r="AV292">
        <v>31</v>
      </c>
      <c r="AW292">
        <v>5</v>
      </c>
      <c r="AX292" t="s">
        <v>74</v>
      </c>
      <c r="AY292" t="s">
        <v>74</v>
      </c>
      <c r="AZ292" t="s">
        <v>74</v>
      </c>
      <c r="BA292" t="s">
        <v>74</v>
      </c>
      <c r="BB292">
        <v>492</v>
      </c>
      <c r="BC292">
        <v>501</v>
      </c>
      <c r="BD292" t="s">
        <v>74</v>
      </c>
      <c r="BE292" t="s">
        <v>6056</v>
      </c>
      <c r="BF292" t="str">
        <f>HYPERLINK("http://dx.doi.org/10.1134/S1024856018050160","http://dx.doi.org/10.1134/S1024856018050160")</f>
        <v>http://dx.doi.org/10.1134/S1024856018050160</v>
      </c>
      <c r="BG292" t="s">
        <v>74</v>
      </c>
      <c r="BH292" t="s">
        <v>74</v>
      </c>
      <c r="BI292">
        <v>10</v>
      </c>
      <c r="BJ292" t="s">
        <v>6057</v>
      </c>
      <c r="BK292" t="s">
        <v>126</v>
      </c>
      <c r="BL292" t="s">
        <v>6057</v>
      </c>
      <c r="BM292" t="s">
        <v>6058</v>
      </c>
      <c r="BN292" t="s">
        <v>74</v>
      </c>
      <c r="BO292" t="s">
        <v>74</v>
      </c>
      <c r="BP292" t="s">
        <v>74</v>
      </c>
      <c r="BQ292" t="s">
        <v>74</v>
      </c>
      <c r="BR292" t="s">
        <v>104</v>
      </c>
      <c r="BS292" t="s">
        <v>6059</v>
      </c>
      <c r="BT292" t="str">
        <f>HYPERLINK("https%3A%2F%2Fwww.webofscience.com%2Fwos%2Fwoscc%2Ffull-record%2FWOS:000446971600009","View Full Record in Web of Science")</f>
        <v>View Full Record in Web of Science</v>
      </c>
    </row>
    <row r="293" spans="1:72" x14ac:dyDescent="0.15">
      <c r="A293" t="s">
        <v>72</v>
      </c>
      <c r="B293" t="s">
        <v>6060</v>
      </c>
      <c r="C293" t="s">
        <v>74</v>
      </c>
      <c r="D293" t="s">
        <v>74</v>
      </c>
      <c r="E293" t="s">
        <v>74</v>
      </c>
      <c r="F293" t="s">
        <v>6061</v>
      </c>
      <c r="G293" t="s">
        <v>74</v>
      </c>
      <c r="H293" t="s">
        <v>74</v>
      </c>
      <c r="I293" t="s">
        <v>6062</v>
      </c>
      <c r="J293" t="s">
        <v>6063</v>
      </c>
      <c r="K293" t="s">
        <v>74</v>
      </c>
      <c r="L293" t="s">
        <v>74</v>
      </c>
      <c r="M293" t="s">
        <v>78</v>
      </c>
      <c r="N293" t="s">
        <v>1637</v>
      </c>
      <c r="O293" t="s">
        <v>74</v>
      </c>
      <c r="P293" t="s">
        <v>74</v>
      </c>
      <c r="Q293" t="s">
        <v>74</v>
      </c>
      <c r="R293" t="s">
        <v>74</v>
      </c>
      <c r="S293" t="s">
        <v>74</v>
      </c>
      <c r="T293" t="s">
        <v>74</v>
      </c>
      <c r="U293" t="s">
        <v>74</v>
      </c>
      <c r="V293" t="s">
        <v>74</v>
      </c>
      <c r="W293" t="s">
        <v>6064</v>
      </c>
      <c r="X293" t="s">
        <v>6065</v>
      </c>
      <c r="Y293" t="s">
        <v>6066</v>
      </c>
      <c r="Z293" t="s">
        <v>74</v>
      </c>
      <c r="AA293" t="s">
        <v>74</v>
      </c>
      <c r="AB293" t="s">
        <v>74</v>
      </c>
      <c r="AC293" t="s">
        <v>74</v>
      </c>
      <c r="AD293" t="s">
        <v>74</v>
      </c>
      <c r="AE293" t="s">
        <v>74</v>
      </c>
      <c r="AF293" t="s">
        <v>74</v>
      </c>
      <c r="AG293">
        <v>1</v>
      </c>
      <c r="AH293">
        <v>0</v>
      </c>
      <c r="AI293">
        <v>0</v>
      </c>
      <c r="AJ293">
        <v>0</v>
      </c>
      <c r="AK293">
        <v>2</v>
      </c>
      <c r="AL293" t="s">
        <v>6067</v>
      </c>
      <c r="AM293" t="s">
        <v>6068</v>
      </c>
      <c r="AN293" t="s">
        <v>6069</v>
      </c>
      <c r="AO293" t="s">
        <v>6070</v>
      </c>
      <c r="AP293" t="s">
        <v>6071</v>
      </c>
      <c r="AQ293" t="s">
        <v>74</v>
      </c>
      <c r="AR293" t="s">
        <v>6072</v>
      </c>
      <c r="AS293" t="s">
        <v>6073</v>
      </c>
      <c r="AT293" t="s">
        <v>6074</v>
      </c>
      <c r="AU293">
        <v>2018</v>
      </c>
      <c r="AV293">
        <v>99</v>
      </c>
      <c r="AW293">
        <v>3</v>
      </c>
      <c r="AX293" t="s">
        <v>74</v>
      </c>
      <c r="AY293" t="s">
        <v>74</v>
      </c>
      <c r="AZ293" t="s">
        <v>74</v>
      </c>
      <c r="BA293" t="s">
        <v>74</v>
      </c>
      <c r="BB293">
        <v>522</v>
      </c>
      <c r="BC293">
        <v>524</v>
      </c>
      <c r="BD293" t="s">
        <v>74</v>
      </c>
      <c r="BE293" t="s">
        <v>6075</v>
      </c>
      <c r="BF293" t="str">
        <f>HYPERLINK("http://dx.doi.org/10.3138/chr.99.3.br16","http://dx.doi.org/10.3138/chr.99.3.br16")</f>
        <v>http://dx.doi.org/10.3138/chr.99.3.br16</v>
      </c>
      <c r="BG293" t="s">
        <v>74</v>
      </c>
      <c r="BH293" t="s">
        <v>74</v>
      </c>
      <c r="BI293">
        <v>3</v>
      </c>
      <c r="BJ293" t="s">
        <v>1646</v>
      </c>
      <c r="BK293" t="s">
        <v>1647</v>
      </c>
      <c r="BL293" t="s">
        <v>1646</v>
      </c>
      <c r="BM293" t="s">
        <v>6076</v>
      </c>
      <c r="BN293" t="s">
        <v>74</v>
      </c>
      <c r="BO293" t="s">
        <v>74</v>
      </c>
      <c r="BP293" t="s">
        <v>74</v>
      </c>
      <c r="BQ293" t="s">
        <v>74</v>
      </c>
      <c r="BR293" t="s">
        <v>104</v>
      </c>
      <c r="BS293" t="s">
        <v>6077</v>
      </c>
      <c r="BT293" t="str">
        <f>HYPERLINK("https%3A%2F%2Fwww.webofscience.com%2Fwos%2Fwoscc%2Ffull-record%2FWOS:000446899200020","View Full Record in Web of Science")</f>
        <v>View Full Record in Web of Science</v>
      </c>
    </row>
    <row r="294" spans="1:72" x14ac:dyDescent="0.15">
      <c r="A294" t="s">
        <v>72</v>
      </c>
      <c r="B294" t="s">
        <v>6078</v>
      </c>
      <c r="C294" t="s">
        <v>74</v>
      </c>
      <c r="D294" t="s">
        <v>74</v>
      </c>
      <c r="E294" t="s">
        <v>74</v>
      </c>
      <c r="F294" t="s">
        <v>6079</v>
      </c>
      <c r="G294" t="s">
        <v>74</v>
      </c>
      <c r="H294" t="s">
        <v>74</v>
      </c>
      <c r="I294" t="s">
        <v>6080</v>
      </c>
      <c r="J294" t="s">
        <v>6081</v>
      </c>
      <c r="K294" t="s">
        <v>74</v>
      </c>
      <c r="L294" t="s">
        <v>74</v>
      </c>
      <c r="M294" t="s">
        <v>78</v>
      </c>
      <c r="N294" t="s">
        <v>79</v>
      </c>
      <c r="O294" t="s">
        <v>74</v>
      </c>
      <c r="P294" t="s">
        <v>74</v>
      </c>
      <c r="Q294" t="s">
        <v>74</v>
      </c>
      <c r="R294" t="s">
        <v>74</v>
      </c>
      <c r="S294" t="s">
        <v>74</v>
      </c>
      <c r="T294" t="s">
        <v>74</v>
      </c>
      <c r="U294" t="s">
        <v>6082</v>
      </c>
      <c r="V294" t="s">
        <v>6083</v>
      </c>
      <c r="W294" t="s">
        <v>6084</v>
      </c>
      <c r="X294" t="s">
        <v>6085</v>
      </c>
      <c r="Y294" t="s">
        <v>6086</v>
      </c>
      <c r="Z294" t="s">
        <v>6087</v>
      </c>
      <c r="AA294" t="s">
        <v>6088</v>
      </c>
      <c r="AB294" t="s">
        <v>6089</v>
      </c>
      <c r="AC294" t="s">
        <v>6090</v>
      </c>
      <c r="AD294" t="s">
        <v>6091</v>
      </c>
      <c r="AE294" t="s">
        <v>6092</v>
      </c>
      <c r="AF294" t="s">
        <v>74</v>
      </c>
      <c r="AG294">
        <v>15</v>
      </c>
      <c r="AH294">
        <v>0</v>
      </c>
      <c r="AI294">
        <v>0</v>
      </c>
      <c r="AJ294">
        <v>0</v>
      </c>
      <c r="AK294">
        <v>0</v>
      </c>
      <c r="AL294" t="s">
        <v>5383</v>
      </c>
      <c r="AM294" t="s">
        <v>258</v>
      </c>
      <c r="AN294" t="s">
        <v>5384</v>
      </c>
      <c r="AO294" t="s">
        <v>6093</v>
      </c>
      <c r="AP294" t="s">
        <v>6094</v>
      </c>
      <c r="AQ294" t="s">
        <v>74</v>
      </c>
      <c r="AR294" t="s">
        <v>6095</v>
      </c>
      <c r="AS294" t="s">
        <v>6096</v>
      </c>
      <c r="AT294" t="s">
        <v>4616</v>
      </c>
      <c r="AU294">
        <v>2018</v>
      </c>
      <c r="AV294">
        <v>58</v>
      </c>
      <c r="AW294">
        <v>5</v>
      </c>
      <c r="AX294" t="s">
        <v>74</v>
      </c>
      <c r="AY294" t="s">
        <v>74</v>
      </c>
      <c r="AZ294" t="s">
        <v>74</v>
      </c>
      <c r="BA294" t="s">
        <v>74</v>
      </c>
      <c r="BB294">
        <v>663</v>
      </c>
      <c r="BC294">
        <v>672</v>
      </c>
      <c r="BD294" t="s">
        <v>74</v>
      </c>
      <c r="BE294" t="s">
        <v>6097</v>
      </c>
      <c r="BF294" t="str">
        <f>HYPERLINK("http://dx.doi.org/10.1134/S0016793218050134","http://dx.doi.org/10.1134/S0016793218050134")</f>
        <v>http://dx.doi.org/10.1134/S0016793218050134</v>
      </c>
      <c r="BG294" t="s">
        <v>74</v>
      </c>
      <c r="BH294" t="s">
        <v>74</v>
      </c>
      <c r="BI294">
        <v>10</v>
      </c>
      <c r="BJ294" t="s">
        <v>484</v>
      </c>
      <c r="BK294" t="s">
        <v>101</v>
      </c>
      <c r="BL294" t="s">
        <v>484</v>
      </c>
      <c r="BM294" t="s">
        <v>6098</v>
      </c>
      <c r="BN294" t="s">
        <v>74</v>
      </c>
      <c r="BO294" t="s">
        <v>74</v>
      </c>
      <c r="BP294" t="s">
        <v>74</v>
      </c>
      <c r="BQ294" t="s">
        <v>74</v>
      </c>
      <c r="BR294" t="s">
        <v>104</v>
      </c>
      <c r="BS294" t="s">
        <v>6099</v>
      </c>
      <c r="BT294" t="str">
        <f>HYPERLINK("https%3A%2F%2Fwww.webofscience.com%2Fwos%2Fwoscc%2Ffull-record%2FWOS:000447303000012","View Full Record in Web of Science")</f>
        <v>View Full Record in Web of Science</v>
      </c>
    </row>
    <row r="295" spans="1:72" x14ac:dyDescent="0.15">
      <c r="A295" t="s">
        <v>72</v>
      </c>
      <c r="B295" t="s">
        <v>6100</v>
      </c>
      <c r="C295" t="s">
        <v>74</v>
      </c>
      <c r="D295" t="s">
        <v>74</v>
      </c>
      <c r="E295" t="s">
        <v>74</v>
      </c>
      <c r="F295" t="s">
        <v>6101</v>
      </c>
      <c r="G295" t="s">
        <v>74</v>
      </c>
      <c r="H295" t="s">
        <v>74</v>
      </c>
      <c r="I295" t="s">
        <v>6102</v>
      </c>
      <c r="J295" t="s">
        <v>6103</v>
      </c>
      <c r="K295" t="s">
        <v>74</v>
      </c>
      <c r="L295" t="s">
        <v>74</v>
      </c>
      <c r="M295" t="s">
        <v>78</v>
      </c>
      <c r="N295" t="s">
        <v>79</v>
      </c>
      <c r="O295" t="s">
        <v>74</v>
      </c>
      <c r="P295" t="s">
        <v>74</v>
      </c>
      <c r="Q295" t="s">
        <v>74</v>
      </c>
      <c r="R295" t="s">
        <v>74</v>
      </c>
      <c r="S295" t="s">
        <v>74</v>
      </c>
      <c r="T295" t="s">
        <v>6104</v>
      </c>
      <c r="U295" t="s">
        <v>6105</v>
      </c>
      <c r="V295" t="s">
        <v>6106</v>
      </c>
      <c r="W295" t="s">
        <v>6107</v>
      </c>
      <c r="X295" t="s">
        <v>6108</v>
      </c>
      <c r="Y295" t="s">
        <v>6109</v>
      </c>
      <c r="Z295" t="s">
        <v>6110</v>
      </c>
      <c r="AA295" t="s">
        <v>74</v>
      </c>
      <c r="AB295" t="s">
        <v>74</v>
      </c>
      <c r="AC295" t="s">
        <v>6111</v>
      </c>
      <c r="AD295" t="s">
        <v>6112</v>
      </c>
      <c r="AE295" t="s">
        <v>6113</v>
      </c>
      <c r="AF295" t="s">
        <v>74</v>
      </c>
      <c r="AG295">
        <v>41</v>
      </c>
      <c r="AH295">
        <v>9</v>
      </c>
      <c r="AI295">
        <v>9</v>
      </c>
      <c r="AJ295">
        <v>1</v>
      </c>
      <c r="AK295">
        <v>9</v>
      </c>
      <c r="AL295" t="s">
        <v>6050</v>
      </c>
      <c r="AM295" t="s">
        <v>5514</v>
      </c>
      <c r="AN295" t="s">
        <v>6051</v>
      </c>
      <c r="AO295" t="s">
        <v>6114</v>
      </c>
      <c r="AP295" t="s">
        <v>6115</v>
      </c>
      <c r="AQ295" t="s">
        <v>74</v>
      </c>
      <c r="AR295" t="s">
        <v>6116</v>
      </c>
      <c r="AS295" t="s">
        <v>6117</v>
      </c>
      <c r="AT295" t="s">
        <v>4616</v>
      </c>
      <c r="AU295">
        <v>2018</v>
      </c>
      <c r="AV295">
        <v>52</v>
      </c>
      <c r="AW295">
        <v>5</v>
      </c>
      <c r="AX295" t="s">
        <v>74</v>
      </c>
      <c r="AY295" t="s">
        <v>74</v>
      </c>
      <c r="AZ295" t="s">
        <v>74</v>
      </c>
      <c r="BA295" t="s">
        <v>74</v>
      </c>
      <c r="BB295">
        <v>499</v>
      </c>
      <c r="BC295">
        <v>515</v>
      </c>
      <c r="BD295" t="s">
        <v>74</v>
      </c>
      <c r="BE295" t="s">
        <v>6118</v>
      </c>
      <c r="BF295" t="str">
        <f>HYPERLINK("http://dx.doi.org/10.1134/S0016852118050035","http://dx.doi.org/10.1134/S0016852118050035")</f>
        <v>http://dx.doi.org/10.1134/S0016852118050035</v>
      </c>
      <c r="BG295" t="s">
        <v>74</v>
      </c>
      <c r="BH295" t="s">
        <v>74</v>
      </c>
      <c r="BI295">
        <v>17</v>
      </c>
      <c r="BJ295" t="s">
        <v>484</v>
      </c>
      <c r="BK295" t="s">
        <v>101</v>
      </c>
      <c r="BL295" t="s">
        <v>484</v>
      </c>
      <c r="BM295" t="s">
        <v>6119</v>
      </c>
      <c r="BN295" t="s">
        <v>74</v>
      </c>
      <c r="BO295" t="s">
        <v>74</v>
      </c>
      <c r="BP295" t="s">
        <v>74</v>
      </c>
      <c r="BQ295" t="s">
        <v>74</v>
      </c>
      <c r="BR295" t="s">
        <v>104</v>
      </c>
      <c r="BS295" t="s">
        <v>6120</v>
      </c>
      <c r="BT295" t="str">
        <f>HYPERLINK("https%3A%2F%2Fwww.webofscience.com%2Fwos%2Fwoscc%2Ffull-record%2FWOS:000447230400001","View Full Record in Web of Science")</f>
        <v>View Full Record in Web of Science</v>
      </c>
    </row>
    <row r="296" spans="1:72" x14ac:dyDescent="0.15">
      <c r="A296" t="s">
        <v>72</v>
      </c>
      <c r="B296" t="s">
        <v>6121</v>
      </c>
      <c r="C296" t="s">
        <v>74</v>
      </c>
      <c r="D296" t="s">
        <v>74</v>
      </c>
      <c r="E296" t="s">
        <v>74</v>
      </c>
      <c r="F296" t="s">
        <v>6122</v>
      </c>
      <c r="G296" t="s">
        <v>74</v>
      </c>
      <c r="H296" t="s">
        <v>74</v>
      </c>
      <c r="I296" t="s">
        <v>6123</v>
      </c>
      <c r="J296" t="s">
        <v>1348</v>
      </c>
      <c r="K296" t="s">
        <v>74</v>
      </c>
      <c r="L296" t="s">
        <v>74</v>
      </c>
      <c r="M296" t="s">
        <v>78</v>
      </c>
      <c r="N296" t="s">
        <v>79</v>
      </c>
      <c r="O296" t="s">
        <v>74</v>
      </c>
      <c r="P296" t="s">
        <v>74</v>
      </c>
      <c r="Q296" t="s">
        <v>74</v>
      </c>
      <c r="R296" t="s">
        <v>74</v>
      </c>
      <c r="S296" t="s">
        <v>74</v>
      </c>
      <c r="T296" t="s">
        <v>6124</v>
      </c>
      <c r="U296" t="s">
        <v>6125</v>
      </c>
      <c r="V296" t="s">
        <v>6126</v>
      </c>
      <c r="W296" t="s">
        <v>6127</v>
      </c>
      <c r="X296" t="s">
        <v>6128</v>
      </c>
      <c r="Y296" t="s">
        <v>6129</v>
      </c>
      <c r="Z296" t="s">
        <v>6130</v>
      </c>
      <c r="AA296" t="s">
        <v>6131</v>
      </c>
      <c r="AB296" t="s">
        <v>6132</v>
      </c>
      <c r="AC296" t="s">
        <v>6133</v>
      </c>
      <c r="AD296" t="s">
        <v>6134</v>
      </c>
      <c r="AE296" t="s">
        <v>6135</v>
      </c>
      <c r="AF296" t="s">
        <v>74</v>
      </c>
      <c r="AG296">
        <v>57</v>
      </c>
      <c r="AH296">
        <v>5</v>
      </c>
      <c r="AI296">
        <v>5</v>
      </c>
      <c r="AJ296">
        <v>1</v>
      </c>
      <c r="AK296">
        <v>6</v>
      </c>
      <c r="AL296" t="s">
        <v>503</v>
      </c>
      <c r="AM296" t="s">
        <v>504</v>
      </c>
      <c r="AN296" t="s">
        <v>505</v>
      </c>
      <c r="AO296" t="s">
        <v>1361</v>
      </c>
      <c r="AP296" t="s">
        <v>1362</v>
      </c>
      <c r="AQ296" t="s">
        <v>74</v>
      </c>
      <c r="AR296" t="s">
        <v>1363</v>
      </c>
      <c r="AS296" t="s">
        <v>1364</v>
      </c>
      <c r="AT296" t="s">
        <v>4616</v>
      </c>
      <c r="AU296">
        <v>2018</v>
      </c>
      <c r="AV296">
        <v>123</v>
      </c>
      <c r="AW296">
        <v>9</v>
      </c>
      <c r="AX296" t="s">
        <v>74</v>
      </c>
      <c r="AY296" t="s">
        <v>74</v>
      </c>
      <c r="AZ296" t="s">
        <v>74</v>
      </c>
      <c r="BA296" t="s">
        <v>74</v>
      </c>
      <c r="BB296">
        <v>2279</v>
      </c>
      <c r="BC296">
        <v>2291</v>
      </c>
      <c r="BD296" t="s">
        <v>74</v>
      </c>
      <c r="BE296" t="s">
        <v>6136</v>
      </c>
      <c r="BF296" t="str">
        <f>HYPERLINK("http://dx.doi.org/10.1029/2018JF004745","http://dx.doi.org/10.1029/2018JF004745")</f>
        <v>http://dx.doi.org/10.1029/2018JF004745</v>
      </c>
      <c r="BG296" t="s">
        <v>74</v>
      </c>
      <c r="BH296" t="s">
        <v>74</v>
      </c>
      <c r="BI296">
        <v>13</v>
      </c>
      <c r="BJ296" t="s">
        <v>182</v>
      </c>
      <c r="BK296" t="s">
        <v>101</v>
      </c>
      <c r="BL296" t="s">
        <v>183</v>
      </c>
      <c r="BM296" t="s">
        <v>6137</v>
      </c>
      <c r="BN296" t="s">
        <v>74</v>
      </c>
      <c r="BO296" t="s">
        <v>835</v>
      </c>
      <c r="BP296" t="s">
        <v>74</v>
      </c>
      <c r="BQ296" t="s">
        <v>74</v>
      </c>
      <c r="BR296" t="s">
        <v>104</v>
      </c>
      <c r="BS296" t="s">
        <v>6138</v>
      </c>
      <c r="BT296" t="str">
        <f>HYPERLINK("https%3A%2F%2Fwww.webofscience.com%2Fwos%2Fwoscc%2Ffull-record%2FWOS:000446990400012","View Full Record in Web of Science")</f>
        <v>View Full Record in Web of Science</v>
      </c>
    </row>
    <row r="297" spans="1:72" x14ac:dyDescent="0.15">
      <c r="A297" t="s">
        <v>72</v>
      </c>
      <c r="B297" t="s">
        <v>6139</v>
      </c>
      <c r="C297" t="s">
        <v>74</v>
      </c>
      <c r="D297" t="s">
        <v>74</v>
      </c>
      <c r="E297" t="s">
        <v>74</v>
      </c>
      <c r="F297" t="s">
        <v>6140</v>
      </c>
      <c r="G297" t="s">
        <v>74</v>
      </c>
      <c r="H297" t="s">
        <v>74</v>
      </c>
      <c r="I297" t="s">
        <v>6141</v>
      </c>
      <c r="J297" t="s">
        <v>6142</v>
      </c>
      <c r="K297" t="s">
        <v>74</v>
      </c>
      <c r="L297" t="s">
        <v>74</v>
      </c>
      <c r="M297" t="s">
        <v>78</v>
      </c>
      <c r="N297" t="s">
        <v>79</v>
      </c>
      <c r="O297" t="s">
        <v>74</v>
      </c>
      <c r="P297" t="s">
        <v>74</v>
      </c>
      <c r="Q297" t="s">
        <v>74</v>
      </c>
      <c r="R297" t="s">
        <v>74</v>
      </c>
      <c r="S297" t="s">
        <v>74</v>
      </c>
      <c r="T297" t="s">
        <v>6143</v>
      </c>
      <c r="U297" t="s">
        <v>6144</v>
      </c>
      <c r="V297" t="s">
        <v>6145</v>
      </c>
      <c r="W297" t="s">
        <v>6146</v>
      </c>
      <c r="X297" t="s">
        <v>6147</v>
      </c>
      <c r="Y297" t="s">
        <v>6148</v>
      </c>
      <c r="Z297" t="s">
        <v>6149</v>
      </c>
      <c r="AA297" t="s">
        <v>6150</v>
      </c>
      <c r="AB297" t="s">
        <v>6151</v>
      </c>
      <c r="AC297" t="s">
        <v>6152</v>
      </c>
      <c r="AD297" t="s">
        <v>6153</v>
      </c>
      <c r="AE297" t="s">
        <v>6154</v>
      </c>
      <c r="AF297" t="s">
        <v>74</v>
      </c>
      <c r="AG297">
        <v>90</v>
      </c>
      <c r="AH297">
        <v>10</v>
      </c>
      <c r="AI297">
        <v>13</v>
      </c>
      <c r="AJ297">
        <v>4</v>
      </c>
      <c r="AK297">
        <v>54</v>
      </c>
      <c r="AL297" t="s">
        <v>257</v>
      </c>
      <c r="AM297" t="s">
        <v>258</v>
      </c>
      <c r="AN297" t="s">
        <v>259</v>
      </c>
      <c r="AO297" t="s">
        <v>6155</v>
      </c>
      <c r="AP297" t="s">
        <v>6156</v>
      </c>
      <c r="AQ297" t="s">
        <v>74</v>
      </c>
      <c r="AR297" t="s">
        <v>6157</v>
      </c>
      <c r="AS297" t="s">
        <v>6158</v>
      </c>
      <c r="AT297" t="s">
        <v>4616</v>
      </c>
      <c r="AU297">
        <v>2018</v>
      </c>
      <c r="AV297">
        <v>90</v>
      </c>
      <c r="AW297">
        <v>2</v>
      </c>
      <c r="AX297" t="s">
        <v>74</v>
      </c>
      <c r="AY297" t="s">
        <v>74</v>
      </c>
      <c r="AZ297" t="s">
        <v>74</v>
      </c>
      <c r="BA297" t="s">
        <v>74</v>
      </c>
      <c r="BB297">
        <v>394</v>
      </c>
      <c r="BC297">
        <v>405</v>
      </c>
      <c r="BD297" t="s">
        <v>74</v>
      </c>
      <c r="BE297" t="s">
        <v>6159</v>
      </c>
      <c r="BF297" t="str">
        <f>HYPERLINK("http://dx.doi.org/10.1017/qua.2018.75","http://dx.doi.org/10.1017/qua.2018.75")</f>
        <v>http://dx.doi.org/10.1017/qua.2018.75</v>
      </c>
      <c r="BG297" t="s">
        <v>74</v>
      </c>
      <c r="BH297" t="s">
        <v>74</v>
      </c>
      <c r="BI297">
        <v>12</v>
      </c>
      <c r="BJ297" t="s">
        <v>208</v>
      </c>
      <c r="BK297" t="s">
        <v>101</v>
      </c>
      <c r="BL297" t="s">
        <v>209</v>
      </c>
      <c r="BM297" t="s">
        <v>6160</v>
      </c>
      <c r="BN297" t="s">
        <v>74</v>
      </c>
      <c r="BO297" t="s">
        <v>74</v>
      </c>
      <c r="BP297" t="s">
        <v>74</v>
      </c>
      <c r="BQ297" t="s">
        <v>74</v>
      </c>
      <c r="BR297" t="s">
        <v>104</v>
      </c>
      <c r="BS297" t="s">
        <v>6161</v>
      </c>
      <c r="BT297" t="str">
        <f>HYPERLINK("https%3A%2F%2Fwww.webofscience.com%2Fwos%2Fwoscc%2Ffull-record%2FWOS:000447003200010","View Full Record in Web of Science")</f>
        <v>View Full Record in Web of Science</v>
      </c>
    </row>
    <row r="298" spans="1:72" x14ac:dyDescent="0.15">
      <c r="A298" t="s">
        <v>72</v>
      </c>
      <c r="B298" t="s">
        <v>6162</v>
      </c>
      <c r="C298" t="s">
        <v>74</v>
      </c>
      <c r="D298" t="s">
        <v>74</v>
      </c>
      <c r="E298" t="s">
        <v>74</v>
      </c>
      <c r="F298" t="s">
        <v>6163</v>
      </c>
      <c r="G298" t="s">
        <v>74</v>
      </c>
      <c r="H298" t="s">
        <v>74</v>
      </c>
      <c r="I298" t="s">
        <v>6164</v>
      </c>
      <c r="J298" t="s">
        <v>5370</v>
      </c>
      <c r="K298" t="s">
        <v>74</v>
      </c>
      <c r="L298" t="s">
        <v>74</v>
      </c>
      <c r="M298" t="s">
        <v>78</v>
      </c>
      <c r="N298" t="s">
        <v>79</v>
      </c>
      <c r="O298" t="s">
        <v>74</v>
      </c>
      <c r="P298" t="s">
        <v>74</v>
      </c>
      <c r="Q298" t="s">
        <v>74</v>
      </c>
      <c r="R298" t="s">
        <v>74</v>
      </c>
      <c r="S298" t="s">
        <v>74</v>
      </c>
      <c r="T298" t="s">
        <v>6165</v>
      </c>
      <c r="U298" t="s">
        <v>74</v>
      </c>
      <c r="V298" t="s">
        <v>6166</v>
      </c>
      <c r="W298" t="s">
        <v>6167</v>
      </c>
      <c r="X298" t="s">
        <v>6168</v>
      </c>
      <c r="Y298" t="s">
        <v>6169</v>
      </c>
      <c r="Z298" t="s">
        <v>6170</v>
      </c>
      <c r="AA298" t="s">
        <v>6171</v>
      </c>
      <c r="AB298" t="s">
        <v>6172</v>
      </c>
      <c r="AC298" t="s">
        <v>6173</v>
      </c>
      <c r="AD298" t="s">
        <v>5381</v>
      </c>
      <c r="AE298" t="s">
        <v>6174</v>
      </c>
      <c r="AF298" t="s">
        <v>74</v>
      </c>
      <c r="AG298">
        <v>22</v>
      </c>
      <c r="AH298">
        <v>7</v>
      </c>
      <c r="AI298">
        <v>7</v>
      </c>
      <c r="AJ298">
        <v>0</v>
      </c>
      <c r="AK298">
        <v>17</v>
      </c>
      <c r="AL298" t="s">
        <v>5383</v>
      </c>
      <c r="AM298" t="s">
        <v>258</v>
      </c>
      <c r="AN298" t="s">
        <v>5384</v>
      </c>
      <c r="AO298" t="s">
        <v>5385</v>
      </c>
      <c r="AP298" t="s">
        <v>5386</v>
      </c>
      <c r="AQ298" t="s">
        <v>74</v>
      </c>
      <c r="AR298" t="s">
        <v>5387</v>
      </c>
      <c r="AS298" t="s">
        <v>344</v>
      </c>
      <c r="AT298" t="s">
        <v>4616</v>
      </c>
      <c r="AU298">
        <v>2018</v>
      </c>
      <c r="AV298">
        <v>87</v>
      </c>
      <c r="AW298">
        <v>5</v>
      </c>
      <c r="AX298" t="s">
        <v>74</v>
      </c>
      <c r="AY298" t="s">
        <v>74</v>
      </c>
      <c r="AZ298" t="s">
        <v>74</v>
      </c>
      <c r="BA298" t="s">
        <v>74</v>
      </c>
      <c r="BB298">
        <v>642</v>
      </c>
      <c r="BC298">
        <v>651</v>
      </c>
      <c r="BD298" t="s">
        <v>74</v>
      </c>
      <c r="BE298" t="s">
        <v>6175</v>
      </c>
      <c r="BF298" t="str">
        <f>HYPERLINK("http://dx.doi.org/10.1134/S002626171805003X","http://dx.doi.org/10.1134/S002626171805003X")</f>
        <v>http://dx.doi.org/10.1134/S002626171805003X</v>
      </c>
      <c r="BG298" t="s">
        <v>74</v>
      </c>
      <c r="BH298" t="s">
        <v>74</v>
      </c>
      <c r="BI298">
        <v>10</v>
      </c>
      <c r="BJ298" t="s">
        <v>344</v>
      </c>
      <c r="BK298" t="s">
        <v>101</v>
      </c>
      <c r="BL298" t="s">
        <v>344</v>
      </c>
      <c r="BM298" t="s">
        <v>5389</v>
      </c>
      <c r="BN298" t="s">
        <v>74</v>
      </c>
      <c r="BO298" t="s">
        <v>74</v>
      </c>
      <c r="BP298" t="s">
        <v>74</v>
      </c>
      <c r="BQ298" t="s">
        <v>74</v>
      </c>
      <c r="BR298" t="s">
        <v>104</v>
      </c>
      <c r="BS298" t="s">
        <v>6176</v>
      </c>
      <c r="BT298" t="str">
        <f>HYPERLINK("https%3A%2F%2Fwww.webofscience.com%2Fwos%2Fwoscc%2Ffull-record%2FWOS:000446336300005","View Full Record in Web of Science")</f>
        <v>View Full Record in Web of Science</v>
      </c>
    </row>
    <row r="299" spans="1:72" x14ac:dyDescent="0.15">
      <c r="A299" t="s">
        <v>72</v>
      </c>
      <c r="B299" t="s">
        <v>6177</v>
      </c>
      <c r="C299" t="s">
        <v>74</v>
      </c>
      <c r="D299" t="s">
        <v>74</v>
      </c>
      <c r="E299" t="s">
        <v>74</v>
      </c>
      <c r="F299" t="s">
        <v>6178</v>
      </c>
      <c r="G299" t="s">
        <v>74</v>
      </c>
      <c r="H299" t="s">
        <v>74</v>
      </c>
      <c r="I299" t="s">
        <v>6179</v>
      </c>
      <c r="J299" t="s">
        <v>5370</v>
      </c>
      <c r="K299" t="s">
        <v>74</v>
      </c>
      <c r="L299" t="s">
        <v>74</v>
      </c>
      <c r="M299" t="s">
        <v>78</v>
      </c>
      <c r="N299" t="s">
        <v>79</v>
      </c>
      <c r="O299" t="s">
        <v>74</v>
      </c>
      <c r="P299" t="s">
        <v>74</v>
      </c>
      <c r="Q299" t="s">
        <v>74</v>
      </c>
      <c r="R299" t="s">
        <v>74</v>
      </c>
      <c r="S299" t="s">
        <v>74</v>
      </c>
      <c r="T299" t="s">
        <v>6180</v>
      </c>
      <c r="U299" t="s">
        <v>6181</v>
      </c>
      <c r="V299" t="s">
        <v>6182</v>
      </c>
      <c r="W299" t="s">
        <v>6183</v>
      </c>
      <c r="X299" t="s">
        <v>6184</v>
      </c>
      <c r="Y299" t="s">
        <v>6185</v>
      </c>
      <c r="Z299" t="s">
        <v>6186</v>
      </c>
      <c r="AA299" t="s">
        <v>6187</v>
      </c>
      <c r="AB299" t="s">
        <v>6188</v>
      </c>
      <c r="AC299" t="s">
        <v>6189</v>
      </c>
      <c r="AD299" t="s">
        <v>6190</v>
      </c>
      <c r="AE299" t="s">
        <v>6191</v>
      </c>
      <c r="AF299" t="s">
        <v>74</v>
      </c>
      <c r="AG299">
        <v>32</v>
      </c>
      <c r="AH299">
        <v>4</v>
      </c>
      <c r="AI299">
        <v>4</v>
      </c>
      <c r="AJ299">
        <v>2</v>
      </c>
      <c r="AK299">
        <v>14</v>
      </c>
      <c r="AL299" t="s">
        <v>5383</v>
      </c>
      <c r="AM299" t="s">
        <v>258</v>
      </c>
      <c r="AN299" t="s">
        <v>5384</v>
      </c>
      <c r="AO299" t="s">
        <v>5385</v>
      </c>
      <c r="AP299" t="s">
        <v>5386</v>
      </c>
      <c r="AQ299" t="s">
        <v>74</v>
      </c>
      <c r="AR299" t="s">
        <v>5387</v>
      </c>
      <c r="AS299" t="s">
        <v>344</v>
      </c>
      <c r="AT299" t="s">
        <v>4616</v>
      </c>
      <c r="AU299">
        <v>2018</v>
      </c>
      <c r="AV299">
        <v>87</v>
      </c>
      <c r="AW299">
        <v>5</v>
      </c>
      <c r="AX299" t="s">
        <v>74</v>
      </c>
      <c r="AY299" t="s">
        <v>74</v>
      </c>
      <c r="AZ299" t="s">
        <v>74</v>
      </c>
      <c r="BA299" t="s">
        <v>74</v>
      </c>
      <c r="BB299">
        <v>699</v>
      </c>
      <c r="BC299">
        <v>711</v>
      </c>
      <c r="BD299" t="s">
        <v>74</v>
      </c>
      <c r="BE299" t="s">
        <v>6192</v>
      </c>
      <c r="BF299" t="str">
        <f>HYPERLINK("http://dx.doi.org/10.1134/S0026261718050065","http://dx.doi.org/10.1134/S0026261718050065")</f>
        <v>http://dx.doi.org/10.1134/S0026261718050065</v>
      </c>
      <c r="BG299" t="s">
        <v>74</v>
      </c>
      <c r="BH299" t="s">
        <v>74</v>
      </c>
      <c r="BI299">
        <v>13</v>
      </c>
      <c r="BJ299" t="s">
        <v>344</v>
      </c>
      <c r="BK299" t="s">
        <v>101</v>
      </c>
      <c r="BL299" t="s">
        <v>344</v>
      </c>
      <c r="BM299" t="s">
        <v>5389</v>
      </c>
      <c r="BN299" t="s">
        <v>74</v>
      </c>
      <c r="BO299" t="s">
        <v>74</v>
      </c>
      <c r="BP299" t="s">
        <v>74</v>
      </c>
      <c r="BQ299" t="s">
        <v>74</v>
      </c>
      <c r="BR299" t="s">
        <v>104</v>
      </c>
      <c r="BS299" t="s">
        <v>6193</v>
      </c>
      <c r="BT299" t="str">
        <f>HYPERLINK("https%3A%2F%2Fwww.webofscience.com%2Fwos%2Fwoscc%2Ffull-record%2FWOS:000446336300011","View Full Record in Web of Science")</f>
        <v>View Full Record in Web of Science</v>
      </c>
    </row>
    <row r="300" spans="1:72" x14ac:dyDescent="0.15">
      <c r="A300" t="s">
        <v>72</v>
      </c>
      <c r="B300" t="s">
        <v>6194</v>
      </c>
      <c r="C300" t="s">
        <v>74</v>
      </c>
      <c r="D300" t="s">
        <v>74</v>
      </c>
      <c r="E300" t="s">
        <v>74</v>
      </c>
      <c r="F300" t="s">
        <v>6195</v>
      </c>
      <c r="G300" t="s">
        <v>74</v>
      </c>
      <c r="H300" t="s">
        <v>74</v>
      </c>
      <c r="I300" t="s">
        <v>6196</v>
      </c>
      <c r="J300" t="s">
        <v>6197</v>
      </c>
      <c r="K300" t="s">
        <v>74</v>
      </c>
      <c r="L300" t="s">
        <v>74</v>
      </c>
      <c r="M300" t="s">
        <v>78</v>
      </c>
      <c r="N300" t="s">
        <v>79</v>
      </c>
      <c r="O300" t="s">
        <v>74</v>
      </c>
      <c r="P300" t="s">
        <v>74</v>
      </c>
      <c r="Q300" t="s">
        <v>74</v>
      </c>
      <c r="R300" t="s">
        <v>74</v>
      </c>
      <c r="S300" t="s">
        <v>74</v>
      </c>
      <c r="T300" t="s">
        <v>74</v>
      </c>
      <c r="U300" t="s">
        <v>6198</v>
      </c>
      <c r="V300" t="s">
        <v>6199</v>
      </c>
      <c r="W300" t="s">
        <v>6200</v>
      </c>
      <c r="X300" t="s">
        <v>6201</v>
      </c>
      <c r="Y300" t="s">
        <v>6202</v>
      </c>
      <c r="Z300" t="s">
        <v>6203</v>
      </c>
      <c r="AA300" t="s">
        <v>6204</v>
      </c>
      <c r="AB300" t="s">
        <v>6205</v>
      </c>
      <c r="AC300" t="s">
        <v>6206</v>
      </c>
      <c r="AD300" t="s">
        <v>6207</v>
      </c>
      <c r="AE300" t="s">
        <v>6208</v>
      </c>
      <c r="AF300" t="s">
        <v>74</v>
      </c>
      <c r="AG300">
        <v>24</v>
      </c>
      <c r="AH300">
        <v>39</v>
      </c>
      <c r="AI300">
        <v>40</v>
      </c>
      <c r="AJ300">
        <v>1</v>
      </c>
      <c r="AK300">
        <v>11</v>
      </c>
      <c r="AL300" t="s">
        <v>6209</v>
      </c>
      <c r="AM300" t="s">
        <v>4691</v>
      </c>
      <c r="AN300" t="s">
        <v>6210</v>
      </c>
      <c r="AO300" t="s">
        <v>6211</v>
      </c>
      <c r="AP300" t="s">
        <v>6212</v>
      </c>
      <c r="AQ300" t="s">
        <v>74</v>
      </c>
      <c r="AR300" t="s">
        <v>6213</v>
      </c>
      <c r="AS300" t="s">
        <v>6214</v>
      </c>
      <c r="AT300" t="s">
        <v>4616</v>
      </c>
      <c r="AU300">
        <v>2018</v>
      </c>
      <c r="AV300">
        <v>30</v>
      </c>
      <c r="AW300">
        <v>9</v>
      </c>
      <c r="AX300" t="s">
        <v>74</v>
      </c>
      <c r="AY300" t="s">
        <v>74</v>
      </c>
      <c r="AZ300" t="s">
        <v>74</v>
      </c>
      <c r="BA300" t="s">
        <v>74</v>
      </c>
      <c r="BB300" t="s">
        <v>74</v>
      </c>
      <c r="BC300" t="s">
        <v>74</v>
      </c>
      <c r="BD300">
        <v>91702</v>
      </c>
      <c r="BE300" t="s">
        <v>6215</v>
      </c>
      <c r="BF300" t="str">
        <f>HYPERLINK("http://dx.doi.org/10.1063/1.5050262","http://dx.doi.org/10.1063/1.5050262")</f>
        <v>http://dx.doi.org/10.1063/1.5050262</v>
      </c>
      <c r="BG300" t="s">
        <v>74</v>
      </c>
      <c r="BH300" t="s">
        <v>74</v>
      </c>
      <c r="BI300">
        <v>5</v>
      </c>
      <c r="BJ300" t="s">
        <v>6216</v>
      </c>
      <c r="BK300" t="s">
        <v>101</v>
      </c>
      <c r="BL300" t="s">
        <v>6217</v>
      </c>
      <c r="BM300" t="s">
        <v>6218</v>
      </c>
      <c r="BN300" t="s">
        <v>74</v>
      </c>
      <c r="BO300" t="s">
        <v>1142</v>
      </c>
      <c r="BP300" t="s">
        <v>74</v>
      </c>
      <c r="BQ300" t="s">
        <v>74</v>
      </c>
      <c r="BR300" t="s">
        <v>104</v>
      </c>
      <c r="BS300" t="s">
        <v>6219</v>
      </c>
      <c r="BT300" t="str">
        <f>HYPERLINK("https%3A%2F%2Fwww.webofscience.com%2Fwos%2Fwoscc%2Ffull-record%2FWOS:000446155900002","View Full Record in Web of Science")</f>
        <v>View Full Record in Web of Science</v>
      </c>
    </row>
    <row r="301" spans="1:72" x14ac:dyDescent="0.15">
      <c r="A301" t="s">
        <v>72</v>
      </c>
      <c r="B301" t="s">
        <v>6220</v>
      </c>
      <c r="C301" t="s">
        <v>74</v>
      </c>
      <c r="D301" t="s">
        <v>74</v>
      </c>
      <c r="E301" t="s">
        <v>74</v>
      </c>
      <c r="F301" t="s">
        <v>6221</v>
      </c>
      <c r="G301" t="s">
        <v>74</v>
      </c>
      <c r="H301" t="s">
        <v>74</v>
      </c>
      <c r="I301" t="s">
        <v>6222</v>
      </c>
      <c r="J301" t="s">
        <v>6223</v>
      </c>
      <c r="K301" t="s">
        <v>74</v>
      </c>
      <c r="L301" t="s">
        <v>74</v>
      </c>
      <c r="M301" t="s">
        <v>78</v>
      </c>
      <c r="N301" t="s">
        <v>273</v>
      </c>
      <c r="O301" t="s">
        <v>74</v>
      </c>
      <c r="P301" t="s">
        <v>74</v>
      </c>
      <c r="Q301" t="s">
        <v>74</v>
      </c>
      <c r="R301" t="s">
        <v>74</v>
      </c>
      <c r="S301" t="s">
        <v>74</v>
      </c>
      <c r="T301" t="s">
        <v>74</v>
      </c>
      <c r="U301" t="s">
        <v>6224</v>
      </c>
      <c r="V301" t="s">
        <v>6225</v>
      </c>
      <c r="W301" t="s">
        <v>6226</v>
      </c>
      <c r="X301" t="s">
        <v>6227</v>
      </c>
      <c r="Y301" t="s">
        <v>6228</v>
      </c>
      <c r="Z301" t="s">
        <v>6229</v>
      </c>
      <c r="AA301" t="s">
        <v>6230</v>
      </c>
      <c r="AB301" t="s">
        <v>6231</v>
      </c>
      <c r="AC301" t="s">
        <v>6232</v>
      </c>
      <c r="AD301" t="s">
        <v>6233</v>
      </c>
      <c r="AE301" t="s">
        <v>6234</v>
      </c>
      <c r="AF301" t="s">
        <v>74</v>
      </c>
      <c r="AG301">
        <v>131</v>
      </c>
      <c r="AH301">
        <v>20</v>
      </c>
      <c r="AI301">
        <v>22</v>
      </c>
      <c r="AJ301">
        <v>4</v>
      </c>
      <c r="AK301">
        <v>118</v>
      </c>
      <c r="AL301" t="s">
        <v>285</v>
      </c>
      <c r="AM301" t="s">
        <v>286</v>
      </c>
      <c r="AN301" t="s">
        <v>287</v>
      </c>
      <c r="AO301" t="s">
        <v>6235</v>
      </c>
      <c r="AP301" t="s">
        <v>74</v>
      </c>
      <c r="AQ301" t="s">
        <v>74</v>
      </c>
      <c r="AR301" t="s">
        <v>6236</v>
      </c>
      <c r="AS301" t="s">
        <v>6237</v>
      </c>
      <c r="AT301" t="s">
        <v>4616</v>
      </c>
      <c r="AU301">
        <v>2018</v>
      </c>
      <c r="AV301">
        <v>18</v>
      </c>
      <c r="AW301" t="s">
        <v>74</v>
      </c>
      <c r="AX301" t="s">
        <v>74</v>
      </c>
      <c r="AY301" t="s">
        <v>74</v>
      </c>
      <c r="AZ301" t="s">
        <v>74</v>
      </c>
      <c r="BA301" t="s">
        <v>74</v>
      </c>
      <c r="BB301">
        <v>35</v>
      </c>
      <c r="BC301">
        <v>43</v>
      </c>
      <c r="BD301" t="s">
        <v>74</v>
      </c>
      <c r="BE301" t="s">
        <v>6238</v>
      </c>
      <c r="BF301" t="str">
        <f>HYPERLINK("http://dx.doi.org/10.1016/j.gfs.2018.07.003","http://dx.doi.org/10.1016/j.gfs.2018.07.003")</f>
        <v>http://dx.doi.org/10.1016/j.gfs.2018.07.003</v>
      </c>
      <c r="BG301" t="s">
        <v>74</v>
      </c>
      <c r="BH301" t="s">
        <v>74</v>
      </c>
      <c r="BI301">
        <v>9</v>
      </c>
      <c r="BJ301" t="s">
        <v>6239</v>
      </c>
      <c r="BK301" t="s">
        <v>1140</v>
      </c>
      <c r="BL301" t="s">
        <v>6239</v>
      </c>
      <c r="BM301" t="s">
        <v>6240</v>
      </c>
      <c r="BN301" t="s">
        <v>74</v>
      </c>
      <c r="BO301" t="s">
        <v>535</v>
      </c>
      <c r="BP301" t="s">
        <v>74</v>
      </c>
      <c r="BQ301" t="s">
        <v>74</v>
      </c>
      <c r="BR301" t="s">
        <v>104</v>
      </c>
      <c r="BS301" t="s">
        <v>6241</v>
      </c>
      <c r="BT301" t="str">
        <f>HYPERLINK("https%3A%2F%2Fwww.webofscience.com%2Fwos%2Fwoscc%2Ffull-record%2FWOS:000445936400005","View Full Record in Web of Science")</f>
        <v>View Full Record in Web of Science</v>
      </c>
    </row>
    <row r="302" spans="1:72" x14ac:dyDescent="0.15">
      <c r="A302" t="s">
        <v>72</v>
      </c>
      <c r="B302" t="s">
        <v>6242</v>
      </c>
      <c r="C302" t="s">
        <v>74</v>
      </c>
      <c r="D302" t="s">
        <v>74</v>
      </c>
      <c r="E302" t="s">
        <v>74</v>
      </c>
      <c r="F302" t="s">
        <v>6243</v>
      </c>
      <c r="G302" t="s">
        <v>74</v>
      </c>
      <c r="H302" t="s">
        <v>74</v>
      </c>
      <c r="I302" t="s">
        <v>6244</v>
      </c>
      <c r="J302" t="s">
        <v>1041</v>
      </c>
      <c r="K302" t="s">
        <v>74</v>
      </c>
      <c r="L302" t="s">
        <v>74</v>
      </c>
      <c r="M302" t="s">
        <v>78</v>
      </c>
      <c r="N302" t="s">
        <v>273</v>
      </c>
      <c r="O302" t="s">
        <v>74</v>
      </c>
      <c r="P302" t="s">
        <v>74</v>
      </c>
      <c r="Q302" t="s">
        <v>74</v>
      </c>
      <c r="R302" t="s">
        <v>74</v>
      </c>
      <c r="S302" t="s">
        <v>74</v>
      </c>
      <c r="T302" t="s">
        <v>6245</v>
      </c>
      <c r="U302" t="s">
        <v>6246</v>
      </c>
      <c r="V302" t="s">
        <v>6247</v>
      </c>
      <c r="W302" t="s">
        <v>6248</v>
      </c>
      <c r="X302" t="s">
        <v>6249</v>
      </c>
      <c r="Y302" t="s">
        <v>6250</v>
      </c>
      <c r="Z302" t="s">
        <v>6251</v>
      </c>
      <c r="AA302" t="s">
        <v>6252</v>
      </c>
      <c r="AB302" t="s">
        <v>6253</v>
      </c>
      <c r="AC302" t="s">
        <v>6254</v>
      </c>
      <c r="AD302" t="s">
        <v>6255</v>
      </c>
      <c r="AE302" t="s">
        <v>6256</v>
      </c>
      <c r="AF302" t="s">
        <v>74</v>
      </c>
      <c r="AG302">
        <v>401</v>
      </c>
      <c r="AH302">
        <v>41</v>
      </c>
      <c r="AI302">
        <v>41</v>
      </c>
      <c r="AJ302">
        <v>2</v>
      </c>
      <c r="AK302">
        <v>35</v>
      </c>
      <c r="AL302" t="s">
        <v>1053</v>
      </c>
      <c r="AM302" t="s">
        <v>1054</v>
      </c>
      <c r="AN302" t="s">
        <v>1055</v>
      </c>
      <c r="AO302" t="s">
        <v>74</v>
      </c>
      <c r="AP302" t="s">
        <v>1056</v>
      </c>
      <c r="AQ302" t="s">
        <v>74</v>
      </c>
      <c r="AR302" t="s">
        <v>1057</v>
      </c>
      <c r="AS302" t="s">
        <v>1058</v>
      </c>
      <c r="AT302" t="s">
        <v>4616</v>
      </c>
      <c r="AU302">
        <v>2018</v>
      </c>
      <c r="AV302">
        <v>16</v>
      </c>
      <c r="AW302">
        <v>9</v>
      </c>
      <c r="AX302" t="s">
        <v>74</v>
      </c>
      <c r="AY302" t="s">
        <v>74</v>
      </c>
      <c r="AZ302" t="s">
        <v>74</v>
      </c>
      <c r="BA302" t="s">
        <v>74</v>
      </c>
      <c r="BB302" t="s">
        <v>74</v>
      </c>
      <c r="BC302" t="s">
        <v>74</v>
      </c>
      <c r="BD302">
        <v>336</v>
      </c>
      <c r="BE302" t="s">
        <v>6257</v>
      </c>
      <c r="BF302" t="str">
        <f>HYPERLINK("http://dx.doi.org/10.3390/md16090336","http://dx.doi.org/10.3390/md16090336")</f>
        <v>http://dx.doi.org/10.3390/md16090336</v>
      </c>
      <c r="BG302" t="s">
        <v>74</v>
      </c>
      <c r="BH302" t="s">
        <v>74</v>
      </c>
      <c r="BI302">
        <v>55</v>
      </c>
      <c r="BJ302" t="s">
        <v>1060</v>
      </c>
      <c r="BK302" t="s">
        <v>101</v>
      </c>
      <c r="BL302" t="s">
        <v>1061</v>
      </c>
      <c r="BM302" t="s">
        <v>6258</v>
      </c>
      <c r="BN302">
        <v>30223486</v>
      </c>
      <c r="BO302" t="s">
        <v>239</v>
      </c>
      <c r="BP302" t="s">
        <v>74</v>
      </c>
      <c r="BQ302" t="s">
        <v>74</v>
      </c>
      <c r="BR302" t="s">
        <v>104</v>
      </c>
      <c r="BS302" t="s">
        <v>6259</v>
      </c>
      <c r="BT302" t="str">
        <f>HYPERLINK("https%3A%2F%2Fwww.webofscience.com%2Fwos%2Fwoscc%2Ffull-record%2FWOS:000445636600047","View Full Record in Web of Science")</f>
        <v>View Full Record in Web of Science</v>
      </c>
    </row>
    <row r="303" spans="1:72" x14ac:dyDescent="0.15">
      <c r="A303" t="s">
        <v>72</v>
      </c>
      <c r="B303" t="s">
        <v>6260</v>
      </c>
      <c r="C303" t="s">
        <v>74</v>
      </c>
      <c r="D303" t="s">
        <v>74</v>
      </c>
      <c r="E303" t="s">
        <v>74</v>
      </c>
      <c r="F303" t="s">
        <v>6261</v>
      </c>
      <c r="G303" t="s">
        <v>74</v>
      </c>
      <c r="H303" t="s">
        <v>74</v>
      </c>
      <c r="I303" t="s">
        <v>6262</v>
      </c>
      <c r="J303" t="s">
        <v>6263</v>
      </c>
      <c r="K303" t="s">
        <v>74</v>
      </c>
      <c r="L303" t="s">
        <v>74</v>
      </c>
      <c r="M303" t="s">
        <v>78</v>
      </c>
      <c r="N303" t="s">
        <v>79</v>
      </c>
      <c r="O303" t="s">
        <v>74</v>
      </c>
      <c r="P303" t="s">
        <v>74</v>
      </c>
      <c r="Q303" t="s">
        <v>74</v>
      </c>
      <c r="R303" t="s">
        <v>74</v>
      </c>
      <c r="S303" t="s">
        <v>74</v>
      </c>
      <c r="T303" t="s">
        <v>6264</v>
      </c>
      <c r="U303" t="s">
        <v>6265</v>
      </c>
      <c r="V303" t="s">
        <v>6266</v>
      </c>
      <c r="W303" t="s">
        <v>6267</v>
      </c>
      <c r="X303" t="s">
        <v>6268</v>
      </c>
      <c r="Y303" t="s">
        <v>6269</v>
      </c>
      <c r="Z303" t="s">
        <v>6270</v>
      </c>
      <c r="AA303" t="s">
        <v>6271</v>
      </c>
      <c r="AB303" t="s">
        <v>6272</v>
      </c>
      <c r="AC303" t="s">
        <v>6273</v>
      </c>
      <c r="AD303" t="s">
        <v>6274</v>
      </c>
      <c r="AE303" t="s">
        <v>6275</v>
      </c>
      <c r="AF303" t="s">
        <v>74</v>
      </c>
      <c r="AG303">
        <v>70</v>
      </c>
      <c r="AH303">
        <v>18</v>
      </c>
      <c r="AI303">
        <v>18</v>
      </c>
      <c r="AJ303">
        <v>1</v>
      </c>
      <c r="AK303">
        <v>15</v>
      </c>
      <c r="AL303" t="s">
        <v>703</v>
      </c>
      <c r="AM303" t="s">
        <v>704</v>
      </c>
      <c r="AN303" t="s">
        <v>6276</v>
      </c>
      <c r="AO303" t="s">
        <v>6277</v>
      </c>
      <c r="AP303" t="s">
        <v>74</v>
      </c>
      <c r="AQ303" t="s">
        <v>74</v>
      </c>
      <c r="AR303" t="s">
        <v>6278</v>
      </c>
      <c r="AS303" t="s">
        <v>6279</v>
      </c>
      <c r="AT303" t="s">
        <v>4616</v>
      </c>
      <c r="AU303">
        <v>2018</v>
      </c>
      <c r="AV303">
        <v>4</v>
      </c>
      <c r="AW303">
        <v>9</v>
      </c>
      <c r="AX303" t="s">
        <v>74</v>
      </c>
      <c r="AY303" t="s">
        <v>74</v>
      </c>
      <c r="AZ303" t="s">
        <v>74</v>
      </c>
      <c r="BA303" t="s">
        <v>74</v>
      </c>
      <c r="BB303" t="s">
        <v>74</v>
      </c>
      <c r="BC303" t="s">
        <v>74</v>
      </c>
      <c r="BD303">
        <v>212</v>
      </c>
      <c r="BE303" t="s">
        <v>6280</v>
      </c>
      <c r="BF303" t="str">
        <f>HYPERLINK("http://dx.doi.org/10.1099/mgen.0.000212","http://dx.doi.org/10.1099/mgen.0.000212")</f>
        <v>http://dx.doi.org/10.1099/mgen.0.000212</v>
      </c>
      <c r="BG303" t="s">
        <v>74</v>
      </c>
      <c r="BH303" t="s">
        <v>74</v>
      </c>
      <c r="BI303">
        <v>15</v>
      </c>
      <c r="BJ303" t="s">
        <v>6281</v>
      </c>
      <c r="BK303" t="s">
        <v>101</v>
      </c>
      <c r="BL303" t="s">
        <v>6281</v>
      </c>
      <c r="BM303" t="s">
        <v>6282</v>
      </c>
      <c r="BN303">
        <v>30136922</v>
      </c>
      <c r="BO303" t="s">
        <v>1063</v>
      </c>
      <c r="BP303" t="s">
        <v>74</v>
      </c>
      <c r="BQ303" t="s">
        <v>74</v>
      </c>
      <c r="BR303" t="s">
        <v>104</v>
      </c>
      <c r="BS303" t="s">
        <v>6283</v>
      </c>
      <c r="BT303" t="str">
        <f>HYPERLINK("https%3A%2F%2Fwww.webofscience.com%2Fwos%2Fwoscc%2Ffull-record%2FWOS:000445970000009","View Full Record in Web of Science")</f>
        <v>View Full Record in Web of Science</v>
      </c>
    </row>
    <row r="304" spans="1:72" x14ac:dyDescent="0.15">
      <c r="A304" t="s">
        <v>72</v>
      </c>
      <c r="B304" t="s">
        <v>6284</v>
      </c>
      <c r="C304" t="s">
        <v>74</v>
      </c>
      <c r="D304" t="s">
        <v>74</v>
      </c>
      <c r="E304" t="s">
        <v>74</v>
      </c>
      <c r="F304" t="s">
        <v>6285</v>
      </c>
      <c r="G304" t="s">
        <v>74</v>
      </c>
      <c r="H304" t="s">
        <v>74</v>
      </c>
      <c r="I304" t="s">
        <v>6286</v>
      </c>
      <c r="J304" t="s">
        <v>6287</v>
      </c>
      <c r="K304" t="s">
        <v>74</v>
      </c>
      <c r="L304" t="s">
        <v>74</v>
      </c>
      <c r="M304" t="s">
        <v>78</v>
      </c>
      <c r="N304" t="s">
        <v>79</v>
      </c>
      <c r="O304" t="s">
        <v>74</v>
      </c>
      <c r="P304" t="s">
        <v>74</v>
      </c>
      <c r="Q304" t="s">
        <v>74</v>
      </c>
      <c r="R304" t="s">
        <v>74</v>
      </c>
      <c r="S304" t="s">
        <v>74</v>
      </c>
      <c r="T304" t="s">
        <v>6288</v>
      </c>
      <c r="U304" t="s">
        <v>6289</v>
      </c>
      <c r="V304" t="s">
        <v>6290</v>
      </c>
      <c r="W304" t="s">
        <v>6291</v>
      </c>
      <c r="X304" t="s">
        <v>6292</v>
      </c>
      <c r="Y304" t="s">
        <v>6293</v>
      </c>
      <c r="Z304" t="s">
        <v>6294</v>
      </c>
      <c r="AA304" t="s">
        <v>6295</v>
      </c>
      <c r="AB304" t="s">
        <v>6296</v>
      </c>
      <c r="AC304" t="s">
        <v>6297</v>
      </c>
      <c r="AD304" t="s">
        <v>6298</v>
      </c>
      <c r="AE304" t="s">
        <v>6299</v>
      </c>
      <c r="AF304" t="s">
        <v>74</v>
      </c>
      <c r="AG304">
        <v>32</v>
      </c>
      <c r="AH304">
        <v>2</v>
      </c>
      <c r="AI304">
        <v>2</v>
      </c>
      <c r="AJ304">
        <v>1</v>
      </c>
      <c r="AK304">
        <v>9</v>
      </c>
      <c r="AL304" t="s">
        <v>6050</v>
      </c>
      <c r="AM304" t="s">
        <v>5514</v>
      </c>
      <c r="AN304" t="s">
        <v>6051</v>
      </c>
      <c r="AO304" t="s">
        <v>6300</v>
      </c>
      <c r="AP304" t="s">
        <v>6301</v>
      </c>
      <c r="AQ304" t="s">
        <v>74</v>
      </c>
      <c r="AR304" t="s">
        <v>6302</v>
      </c>
      <c r="AS304" t="s">
        <v>6303</v>
      </c>
      <c r="AT304" t="s">
        <v>4616</v>
      </c>
      <c r="AU304">
        <v>2018</v>
      </c>
      <c r="AV304">
        <v>26</v>
      </c>
      <c r="AW304">
        <v>5</v>
      </c>
      <c r="AX304" t="s">
        <v>74</v>
      </c>
      <c r="AY304" t="s">
        <v>74</v>
      </c>
      <c r="AZ304" t="s">
        <v>74</v>
      </c>
      <c r="BA304" t="s">
        <v>74</v>
      </c>
      <c r="BB304">
        <v>571</v>
      </c>
      <c r="BC304">
        <v>583</v>
      </c>
      <c r="BD304" t="s">
        <v>74</v>
      </c>
      <c r="BE304" t="s">
        <v>6304</v>
      </c>
      <c r="BF304" t="str">
        <f>HYPERLINK("http://dx.doi.org/10.1134/S0869593818050039","http://dx.doi.org/10.1134/S0869593818050039")</f>
        <v>http://dx.doi.org/10.1134/S0869593818050039</v>
      </c>
      <c r="BG304" t="s">
        <v>74</v>
      </c>
      <c r="BH304" t="s">
        <v>74</v>
      </c>
      <c r="BI304">
        <v>13</v>
      </c>
      <c r="BJ304" t="s">
        <v>6305</v>
      </c>
      <c r="BK304" t="s">
        <v>101</v>
      </c>
      <c r="BL304" t="s">
        <v>6305</v>
      </c>
      <c r="BM304" t="s">
        <v>6306</v>
      </c>
      <c r="BN304" t="s">
        <v>74</v>
      </c>
      <c r="BO304" t="s">
        <v>74</v>
      </c>
      <c r="BP304" t="s">
        <v>74</v>
      </c>
      <c r="BQ304" t="s">
        <v>74</v>
      </c>
      <c r="BR304" t="s">
        <v>104</v>
      </c>
      <c r="BS304" t="s">
        <v>6307</v>
      </c>
      <c r="BT304" t="str">
        <f>HYPERLINK("https%3A%2F%2Fwww.webofscience.com%2Fwos%2Fwoscc%2Ffull-record%2FWOS:000445401000005","View Full Record in Web of Science")</f>
        <v>View Full Record in Web of Science</v>
      </c>
    </row>
    <row r="305" spans="1:72" x14ac:dyDescent="0.15">
      <c r="A305" t="s">
        <v>72</v>
      </c>
      <c r="B305" t="s">
        <v>6308</v>
      </c>
      <c r="C305" t="s">
        <v>74</v>
      </c>
      <c r="D305" t="s">
        <v>74</v>
      </c>
      <c r="E305" t="s">
        <v>74</v>
      </c>
      <c r="F305" t="s">
        <v>6309</v>
      </c>
      <c r="G305" t="s">
        <v>74</v>
      </c>
      <c r="H305" t="s">
        <v>74</v>
      </c>
      <c r="I305" t="s">
        <v>6310</v>
      </c>
      <c r="J305" t="s">
        <v>6311</v>
      </c>
      <c r="K305" t="s">
        <v>74</v>
      </c>
      <c r="L305" t="s">
        <v>74</v>
      </c>
      <c r="M305" t="s">
        <v>78</v>
      </c>
      <c r="N305" t="s">
        <v>79</v>
      </c>
      <c r="O305" t="s">
        <v>74</v>
      </c>
      <c r="P305" t="s">
        <v>74</v>
      </c>
      <c r="Q305" t="s">
        <v>74</v>
      </c>
      <c r="R305" t="s">
        <v>74</v>
      </c>
      <c r="S305" t="s">
        <v>74</v>
      </c>
      <c r="T305" t="s">
        <v>6312</v>
      </c>
      <c r="U305" t="s">
        <v>6313</v>
      </c>
      <c r="V305" t="s">
        <v>6314</v>
      </c>
      <c r="W305" t="s">
        <v>6315</v>
      </c>
      <c r="X305" t="s">
        <v>6316</v>
      </c>
      <c r="Y305" t="s">
        <v>6317</v>
      </c>
      <c r="Z305" t="s">
        <v>6318</v>
      </c>
      <c r="AA305" t="s">
        <v>6319</v>
      </c>
      <c r="AB305" t="s">
        <v>74</v>
      </c>
      <c r="AC305" t="s">
        <v>6320</v>
      </c>
      <c r="AD305" t="s">
        <v>6321</v>
      </c>
      <c r="AE305" t="s">
        <v>6322</v>
      </c>
      <c r="AF305" t="s">
        <v>74</v>
      </c>
      <c r="AG305">
        <v>21</v>
      </c>
      <c r="AH305">
        <v>2</v>
      </c>
      <c r="AI305">
        <v>2</v>
      </c>
      <c r="AJ305">
        <v>0</v>
      </c>
      <c r="AK305">
        <v>8</v>
      </c>
      <c r="AL305" t="s">
        <v>6323</v>
      </c>
      <c r="AM305" t="s">
        <v>6324</v>
      </c>
      <c r="AN305" t="s">
        <v>6325</v>
      </c>
      <c r="AO305" t="s">
        <v>6326</v>
      </c>
      <c r="AP305" t="s">
        <v>6327</v>
      </c>
      <c r="AQ305" t="s">
        <v>74</v>
      </c>
      <c r="AR305" t="s">
        <v>6328</v>
      </c>
      <c r="AS305" t="s">
        <v>6329</v>
      </c>
      <c r="AT305" t="s">
        <v>4616</v>
      </c>
      <c r="AU305">
        <v>2018</v>
      </c>
      <c r="AV305">
        <v>97</v>
      </c>
      <c r="AW305">
        <v>4</v>
      </c>
      <c r="AX305" t="s">
        <v>74</v>
      </c>
      <c r="AY305" t="s">
        <v>74</v>
      </c>
      <c r="AZ305" t="s">
        <v>74</v>
      </c>
      <c r="BA305" t="s">
        <v>74</v>
      </c>
      <c r="BB305">
        <v>995</v>
      </c>
      <c r="BC305">
        <v>999</v>
      </c>
      <c r="BD305" t="s">
        <v>74</v>
      </c>
      <c r="BE305" t="s">
        <v>6330</v>
      </c>
      <c r="BF305" t="str">
        <f>HYPERLINK("http://dx.doi.org/10.1007/s12041-018-0967-z","http://dx.doi.org/10.1007/s12041-018-0967-z")</f>
        <v>http://dx.doi.org/10.1007/s12041-018-0967-z</v>
      </c>
      <c r="BG305" t="s">
        <v>74</v>
      </c>
      <c r="BH305" t="s">
        <v>74</v>
      </c>
      <c r="BI305">
        <v>5</v>
      </c>
      <c r="BJ305" t="s">
        <v>6331</v>
      </c>
      <c r="BK305" t="s">
        <v>101</v>
      </c>
      <c r="BL305" t="s">
        <v>6331</v>
      </c>
      <c r="BM305" t="s">
        <v>6332</v>
      </c>
      <c r="BN305">
        <v>30262712</v>
      </c>
      <c r="BO305" t="s">
        <v>74</v>
      </c>
      <c r="BP305" t="s">
        <v>74</v>
      </c>
      <c r="BQ305" t="s">
        <v>74</v>
      </c>
      <c r="BR305" t="s">
        <v>104</v>
      </c>
      <c r="BS305" t="s">
        <v>6333</v>
      </c>
      <c r="BT305" t="str">
        <f>HYPERLINK("https%3A%2F%2Fwww.webofscience.com%2Fwos%2Fwoscc%2Ffull-record%2FWOS:000445531200022","View Full Record in Web of Science")</f>
        <v>View Full Record in Web of Science</v>
      </c>
    </row>
    <row r="306" spans="1:72" x14ac:dyDescent="0.15">
      <c r="A306" t="s">
        <v>72</v>
      </c>
      <c r="B306" t="s">
        <v>6334</v>
      </c>
      <c r="C306" t="s">
        <v>74</v>
      </c>
      <c r="D306" t="s">
        <v>74</v>
      </c>
      <c r="E306" t="s">
        <v>74</v>
      </c>
      <c r="F306" t="s">
        <v>6335</v>
      </c>
      <c r="G306" t="s">
        <v>74</v>
      </c>
      <c r="H306" t="s">
        <v>74</v>
      </c>
      <c r="I306" t="s">
        <v>6336</v>
      </c>
      <c r="J306" t="s">
        <v>6337</v>
      </c>
      <c r="K306" t="s">
        <v>74</v>
      </c>
      <c r="L306" t="s">
        <v>74</v>
      </c>
      <c r="M306" t="s">
        <v>78</v>
      </c>
      <c r="N306" t="s">
        <v>79</v>
      </c>
      <c r="O306" t="s">
        <v>74</v>
      </c>
      <c r="P306" t="s">
        <v>74</v>
      </c>
      <c r="Q306" t="s">
        <v>74</v>
      </c>
      <c r="R306" t="s">
        <v>74</v>
      </c>
      <c r="S306" t="s">
        <v>74</v>
      </c>
      <c r="T306" t="s">
        <v>6338</v>
      </c>
      <c r="U306" t="s">
        <v>6339</v>
      </c>
      <c r="V306" t="s">
        <v>6340</v>
      </c>
      <c r="W306" t="s">
        <v>6341</v>
      </c>
      <c r="X306" t="s">
        <v>6342</v>
      </c>
      <c r="Y306" t="s">
        <v>6343</v>
      </c>
      <c r="Z306" t="s">
        <v>6344</v>
      </c>
      <c r="AA306" t="s">
        <v>6345</v>
      </c>
      <c r="AB306" t="s">
        <v>6346</v>
      </c>
      <c r="AC306" t="s">
        <v>6347</v>
      </c>
      <c r="AD306" t="s">
        <v>6348</v>
      </c>
      <c r="AE306" t="s">
        <v>6349</v>
      </c>
      <c r="AF306" t="s">
        <v>74</v>
      </c>
      <c r="AG306">
        <v>16</v>
      </c>
      <c r="AH306">
        <v>10</v>
      </c>
      <c r="AI306">
        <v>11</v>
      </c>
      <c r="AJ306">
        <v>1</v>
      </c>
      <c r="AK306">
        <v>18</v>
      </c>
      <c r="AL306" t="s">
        <v>676</v>
      </c>
      <c r="AM306" t="s">
        <v>677</v>
      </c>
      <c r="AN306" t="s">
        <v>678</v>
      </c>
      <c r="AO306" t="s">
        <v>6350</v>
      </c>
      <c r="AP306" t="s">
        <v>6351</v>
      </c>
      <c r="AQ306" t="s">
        <v>74</v>
      </c>
      <c r="AR306" t="s">
        <v>6352</v>
      </c>
      <c r="AS306" t="s">
        <v>6353</v>
      </c>
      <c r="AT306" t="s">
        <v>4616</v>
      </c>
      <c r="AU306">
        <v>2018</v>
      </c>
      <c r="AV306">
        <v>48</v>
      </c>
      <c r="AW306">
        <v>3</v>
      </c>
      <c r="AX306" t="s">
        <v>74</v>
      </c>
      <c r="AY306" t="s">
        <v>74</v>
      </c>
      <c r="AZ306" t="s">
        <v>74</v>
      </c>
      <c r="BA306" t="s">
        <v>74</v>
      </c>
      <c r="BB306">
        <v>1579</v>
      </c>
      <c r="BC306">
        <v>1582</v>
      </c>
      <c r="BD306" t="s">
        <v>74</v>
      </c>
      <c r="BE306" t="s">
        <v>6354</v>
      </c>
      <c r="BF306" t="str">
        <f>HYPERLINK("http://dx.doi.org/10.1007/s12526-016-0580-4","http://dx.doi.org/10.1007/s12526-016-0580-4")</f>
        <v>http://dx.doi.org/10.1007/s12526-016-0580-4</v>
      </c>
      <c r="BG306" t="s">
        <v>74</v>
      </c>
      <c r="BH306" t="s">
        <v>74</v>
      </c>
      <c r="BI306">
        <v>4</v>
      </c>
      <c r="BJ306" t="s">
        <v>6355</v>
      </c>
      <c r="BK306" t="s">
        <v>101</v>
      </c>
      <c r="BL306" t="s">
        <v>6356</v>
      </c>
      <c r="BM306" t="s">
        <v>6357</v>
      </c>
      <c r="BN306" t="s">
        <v>74</v>
      </c>
      <c r="BO306" t="s">
        <v>74</v>
      </c>
      <c r="BP306" t="s">
        <v>74</v>
      </c>
      <c r="BQ306" t="s">
        <v>74</v>
      </c>
      <c r="BR306" t="s">
        <v>104</v>
      </c>
      <c r="BS306" t="s">
        <v>6358</v>
      </c>
      <c r="BT306" t="str">
        <f>HYPERLINK("https%3A%2F%2Fwww.webofscience.com%2Fwos%2Fwoscc%2Ffull-record%2FWOS:000444295600031","View Full Record in Web of Science")</f>
        <v>View Full Record in Web of Science</v>
      </c>
    </row>
    <row r="307" spans="1:72" x14ac:dyDescent="0.15">
      <c r="A307" t="s">
        <v>72</v>
      </c>
      <c r="B307" t="s">
        <v>6359</v>
      </c>
      <c r="C307" t="s">
        <v>74</v>
      </c>
      <c r="D307" t="s">
        <v>74</v>
      </c>
      <c r="E307" t="s">
        <v>74</v>
      </c>
      <c r="F307" t="s">
        <v>6360</v>
      </c>
      <c r="G307" t="s">
        <v>74</v>
      </c>
      <c r="H307" t="s">
        <v>74</v>
      </c>
      <c r="I307" t="s">
        <v>6361</v>
      </c>
      <c r="J307" t="s">
        <v>6362</v>
      </c>
      <c r="K307" t="s">
        <v>74</v>
      </c>
      <c r="L307" t="s">
        <v>74</v>
      </c>
      <c r="M307" t="s">
        <v>78</v>
      </c>
      <c r="N307" t="s">
        <v>79</v>
      </c>
      <c r="O307" t="s">
        <v>74</v>
      </c>
      <c r="P307" t="s">
        <v>74</v>
      </c>
      <c r="Q307" t="s">
        <v>74</v>
      </c>
      <c r="R307" t="s">
        <v>74</v>
      </c>
      <c r="S307" t="s">
        <v>74</v>
      </c>
      <c r="T307" t="s">
        <v>6363</v>
      </c>
      <c r="U307" t="s">
        <v>6364</v>
      </c>
      <c r="V307" t="s">
        <v>6365</v>
      </c>
      <c r="W307" t="s">
        <v>6366</v>
      </c>
      <c r="X307" t="s">
        <v>6367</v>
      </c>
      <c r="Y307" t="s">
        <v>6368</v>
      </c>
      <c r="Z307" t="s">
        <v>6369</v>
      </c>
      <c r="AA307" t="s">
        <v>6370</v>
      </c>
      <c r="AB307" t="s">
        <v>6371</v>
      </c>
      <c r="AC307" t="s">
        <v>6372</v>
      </c>
      <c r="AD307" t="s">
        <v>6373</v>
      </c>
      <c r="AE307" t="s">
        <v>6374</v>
      </c>
      <c r="AF307" t="s">
        <v>74</v>
      </c>
      <c r="AG307">
        <v>54</v>
      </c>
      <c r="AH307">
        <v>16</v>
      </c>
      <c r="AI307">
        <v>18</v>
      </c>
      <c r="AJ307">
        <v>1</v>
      </c>
      <c r="AK307">
        <v>17</v>
      </c>
      <c r="AL307" t="s">
        <v>6375</v>
      </c>
      <c r="AM307" t="s">
        <v>6376</v>
      </c>
      <c r="AN307" t="s">
        <v>6377</v>
      </c>
      <c r="AO307" t="s">
        <v>6378</v>
      </c>
      <c r="AP307" t="s">
        <v>74</v>
      </c>
      <c r="AQ307" t="s">
        <v>74</v>
      </c>
      <c r="AR307" t="s">
        <v>6379</v>
      </c>
      <c r="AS307" t="s">
        <v>6380</v>
      </c>
      <c r="AT307" t="s">
        <v>4616</v>
      </c>
      <c r="AU307">
        <v>2018</v>
      </c>
      <c r="AV307">
        <v>9</v>
      </c>
      <c r="AW307">
        <v>3</v>
      </c>
      <c r="AX307" t="s">
        <v>74</v>
      </c>
      <c r="AY307" t="s">
        <v>74</v>
      </c>
      <c r="AZ307" t="s">
        <v>74</v>
      </c>
      <c r="BA307" t="s">
        <v>74</v>
      </c>
      <c r="BB307">
        <v>195</v>
      </c>
      <c r="BC307">
        <v>208</v>
      </c>
      <c r="BD307" t="s">
        <v>74</v>
      </c>
      <c r="BE307" t="s">
        <v>6381</v>
      </c>
      <c r="BF307" t="str">
        <f>HYPERLINK("http://dx.doi.org/10.3391/mbi.2018.9.3.03","http://dx.doi.org/10.3391/mbi.2018.9.3.03")</f>
        <v>http://dx.doi.org/10.3391/mbi.2018.9.3.03</v>
      </c>
      <c r="BG307" t="s">
        <v>74</v>
      </c>
      <c r="BH307" t="s">
        <v>74</v>
      </c>
      <c r="BI307">
        <v>14</v>
      </c>
      <c r="BJ307" t="s">
        <v>6382</v>
      </c>
      <c r="BK307" t="s">
        <v>101</v>
      </c>
      <c r="BL307" t="s">
        <v>6383</v>
      </c>
      <c r="BM307" t="s">
        <v>6384</v>
      </c>
      <c r="BN307" t="s">
        <v>74</v>
      </c>
      <c r="BO307" t="s">
        <v>3406</v>
      </c>
      <c r="BP307" t="s">
        <v>74</v>
      </c>
      <c r="BQ307" t="s">
        <v>74</v>
      </c>
      <c r="BR307" t="s">
        <v>104</v>
      </c>
      <c r="BS307" t="s">
        <v>6385</v>
      </c>
      <c r="BT307" t="str">
        <f>HYPERLINK("https%3A%2F%2Fwww.webofscience.com%2Fwos%2Fwoscc%2Ffull-record%2FWOS:000444796900003","View Full Record in Web of Science")</f>
        <v>View Full Record in Web of Science</v>
      </c>
    </row>
    <row r="308" spans="1:72" x14ac:dyDescent="0.15">
      <c r="A308" t="s">
        <v>72</v>
      </c>
      <c r="B308" t="s">
        <v>6386</v>
      </c>
      <c r="C308" t="s">
        <v>74</v>
      </c>
      <c r="D308" t="s">
        <v>74</v>
      </c>
      <c r="E308" t="s">
        <v>74</v>
      </c>
      <c r="F308" t="s">
        <v>6387</v>
      </c>
      <c r="G308" t="s">
        <v>74</v>
      </c>
      <c r="H308" t="s">
        <v>74</v>
      </c>
      <c r="I308" t="s">
        <v>6388</v>
      </c>
      <c r="J308" t="s">
        <v>6389</v>
      </c>
      <c r="K308" t="s">
        <v>74</v>
      </c>
      <c r="L308" t="s">
        <v>74</v>
      </c>
      <c r="M308" t="s">
        <v>78</v>
      </c>
      <c r="N308" t="s">
        <v>79</v>
      </c>
      <c r="O308" t="s">
        <v>74</v>
      </c>
      <c r="P308" t="s">
        <v>74</v>
      </c>
      <c r="Q308" t="s">
        <v>74</v>
      </c>
      <c r="R308" t="s">
        <v>74</v>
      </c>
      <c r="S308" t="s">
        <v>74</v>
      </c>
      <c r="T308" t="s">
        <v>6390</v>
      </c>
      <c r="U308" t="s">
        <v>6391</v>
      </c>
      <c r="V308" t="s">
        <v>6392</v>
      </c>
      <c r="W308" t="s">
        <v>6393</v>
      </c>
      <c r="X308" t="s">
        <v>6394</v>
      </c>
      <c r="Y308" t="s">
        <v>6395</v>
      </c>
      <c r="Z308" t="s">
        <v>6396</v>
      </c>
      <c r="AA308" t="s">
        <v>6397</v>
      </c>
      <c r="AB308" t="s">
        <v>6398</v>
      </c>
      <c r="AC308" t="s">
        <v>6399</v>
      </c>
      <c r="AD308" t="s">
        <v>6400</v>
      </c>
      <c r="AE308" t="s">
        <v>6401</v>
      </c>
      <c r="AF308" t="s">
        <v>74</v>
      </c>
      <c r="AG308">
        <v>49</v>
      </c>
      <c r="AH308">
        <v>5</v>
      </c>
      <c r="AI308">
        <v>5</v>
      </c>
      <c r="AJ308">
        <v>6</v>
      </c>
      <c r="AK308">
        <v>66</v>
      </c>
      <c r="AL308" t="s">
        <v>676</v>
      </c>
      <c r="AM308" t="s">
        <v>677</v>
      </c>
      <c r="AN308" t="s">
        <v>678</v>
      </c>
      <c r="AO308" t="s">
        <v>6402</v>
      </c>
      <c r="AP308" t="s">
        <v>6403</v>
      </c>
      <c r="AQ308" t="s">
        <v>74</v>
      </c>
      <c r="AR308" t="s">
        <v>6404</v>
      </c>
      <c r="AS308" t="s">
        <v>6405</v>
      </c>
      <c r="AT308" t="s">
        <v>4616</v>
      </c>
      <c r="AU308">
        <v>2018</v>
      </c>
      <c r="AV308">
        <v>25</v>
      </c>
      <c r="AW308">
        <v>27</v>
      </c>
      <c r="AX308" t="s">
        <v>74</v>
      </c>
      <c r="AY308" t="s">
        <v>74</v>
      </c>
      <c r="AZ308" t="s">
        <v>155</v>
      </c>
      <c r="BA308" t="s">
        <v>74</v>
      </c>
      <c r="BB308">
        <v>27402</v>
      </c>
      <c r="BC308">
        <v>27412</v>
      </c>
      <c r="BD308" t="s">
        <v>74</v>
      </c>
      <c r="BE308" t="s">
        <v>6406</v>
      </c>
      <c r="BF308" t="str">
        <f>HYPERLINK("http://dx.doi.org/10.1007/s11356-018-2790-8","http://dx.doi.org/10.1007/s11356-018-2790-8")</f>
        <v>http://dx.doi.org/10.1007/s11356-018-2790-8</v>
      </c>
      <c r="BG308" t="s">
        <v>74</v>
      </c>
      <c r="BH308" t="s">
        <v>74</v>
      </c>
      <c r="BI308">
        <v>11</v>
      </c>
      <c r="BJ308" t="s">
        <v>558</v>
      </c>
      <c r="BK308" t="s">
        <v>101</v>
      </c>
      <c r="BL308" t="s">
        <v>559</v>
      </c>
      <c r="BM308" t="s">
        <v>6407</v>
      </c>
      <c r="BN308">
        <v>30039485</v>
      </c>
      <c r="BO308" t="s">
        <v>74</v>
      </c>
      <c r="BP308" t="s">
        <v>74</v>
      </c>
      <c r="BQ308" t="s">
        <v>74</v>
      </c>
      <c r="BR308" t="s">
        <v>104</v>
      </c>
      <c r="BS308" t="s">
        <v>6408</v>
      </c>
      <c r="BT308" t="str">
        <f>HYPERLINK("https%3A%2F%2Fwww.webofscience.com%2Fwos%2Fwoscc%2Ffull-record%2FWOS:000444202800063","View Full Record in Web of Science")</f>
        <v>View Full Record in Web of Science</v>
      </c>
    </row>
    <row r="309" spans="1:72" x14ac:dyDescent="0.15">
      <c r="A309" t="s">
        <v>72</v>
      </c>
      <c r="B309" t="s">
        <v>6409</v>
      </c>
      <c r="C309" t="s">
        <v>74</v>
      </c>
      <c r="D309" t="s">
        <v>74</v>
      </c>
      <c r="E309" t="s">
        <v>74</v>
      </c>
      <c r="F309" t="s">
        <v>6410</v>
      </c>
      <c r="G309" t="s">
        <v>74</v>
      </c>
      <c r="H309" t="s">
        <v>74</v>
      </c>
      <c r="I309" t="s">
        <v>6411</v>
      </c>
      <c r="J309" t="s">
        <v>2027</v>
      </c>
      <c r="K309" t="s">
        <v>74</v>
      </c>
      <c r="L309" t="s">
        <v>74</v>
      </c>
      <c r="M309" t="s">
        <v>78</v>
      </c>
      <c r="N309" t="s">
        <v>79</v>
      </c>
      <c r="O309" t="s">
        <v>74</v>
      </c>
      <c r="P309" t="s">
        <v>74</v>
      </c>
      <c r="Q309" t="s">
        <v>74</v>
      </c>
      <c r="R309" t="s">
        <v>74</v>
      </c>
      <c r="S309" t="s">
        <v>74</v>
      </c>
      <c r="T309" t="s">
        <v>74</v>
      </c>
      <c r="U309" t="s">
        <v>6412</v>
      </c>
      <c r="V309" t="s">
        <v>6413</v>
      </c>
      <c r="W309" t="s">
        <v>6414</v>
      </c>
      <c r="X309" t="s">
        <v>6415</v>
      </c>
      <c r="Y309" t="s">
        <v>6416</v>
      </c>
      <c r="Z309" t="s">
        <v>6417</v>
      </c>
      <c r="AA309" t="s">
        <v>74</v>
      </c>
      <c r="AB309" t="s">
        <v>74</v>
      </c>
      <c r="AC309" t="s">
        <v>74</v>
      </c>
      <c r="AD309" t="s">
        <v>74</v>
      </c>
      <c r="AE309" t="s">
        <v>74</v>
      </c>
      <c r="AF309" t="s">
        <v>74</v>
      </c>
      <c r="AG309">
        <v>37</v>
      </c>
      <c r="AH309">
        <v>2</v>
      </c>
      <c r="AI309">
        <v>2</v>
      </c>
      <c r="AJ309">
        <v>0</v>
      </c>
      <c r="AK309">
        <v>1</v>
      </c>
      <c r="AL309" t="s">
        <v>2036</v>
      </c>
      <c r="AM309" t="s">
        <v>2037</v>
      </c>
      <c r="AN309" t="s">
        <v>2038</v>
      </c>
      <c r="AO309" t="s">
        <v>2039</v>
      </c>
      <c r="AP309" t="s">
        <v>2040</v>
      </c>
      <c r="AQ309" t="s">
        <v>74</v>
      </c>
      <c r="AR309" t="s">
        <v>2041</v>
      </c>
      <c r="AS309" t="s">
        <v>2042</v>
      </c>
      <c r="AT309" t="s">
        <v>4616</v>
      </c>
      <c r="AU309">
        <v>2018</v>
      </c>
      <c r="AV309">
        <v>92</v>
      </c>
      <c r="AW309">
        <v>3</v>
      </c>
      <c r="AX309" t="s">
        <v>74</v>
      </c>
      <c r="AY309" t="s">
        <v>74</v>
      </c>
      <c r="AZ309" t="s">
        <v>74</v>
      </c>
      <c r="BA309" t="s">
        <v>74</v>
      </c>
      <c r="BB309">
        <v>265</v>
      </c>
      <c r="BC309">
        <v>280</v>
      </c>
      <c r="BD309" t="s">
        <v>74</v>
      </c>
      <c r="BE309" t="s">
        <v>6418</v>
      </c>
      <c r="BF309" t="str">
        <f>HYPERLINK("http://dx.doi.org/10.1007/s12594-018-1003-x","http://dx.doi.org/10.1007/s12594-018-1003-x")</f>
        <v>http://dx.doi.org/10.1007/s12594-018-1003-x</v>
      </c>
      <c r="BG309" t="s">
        <v>74</v>
      </c>
      <c r="BH309" t="s">
        <v>74</v>
      </c>
      <c r="BI309">
        <v>16</v>
      </c>
      <c r="BJ309" t="s">
        <v>182</v>
      </c>
      <c r="BK309" t="s">
        <v>101</v>
      </c>
      <c r="BL309" t="s">
        <v>183</v>
      </c>
      <c r="BM309" t="s">
        <v>6419</v>
      </c>
      <c r="BN309" t="s">
        <v>74</v>
      </c>
      <c r="BO309" t="s">
        <v>74</v>
      </c>
      <c r="BP309" t="s">
        <v>74</v>
      </c>
      <c r="BQ309" t="s">
        <v>74</v>
      </c>
      <c r="BR309" t="s">
        <v>104</v>
      </c>
      <c r="BS309" t="s">
        <v>6420</v>
      </c>
      <c r="BT309" t="str">
        <f>HYPERLINK("https%3A%2F%2Fwww.webofscience.com%2Fwos%2Fwoscc%2Ffull-record%2FWOS:000444497600003","View Full Record in Web of Science")</f>
        <v>View Full Record in Web of Science</v>
      </c>
    </row>
    <row r="310" spans="1:72" x14ac:dyDescent="0.15">
      <c r="A310" t="s">
        <v>72</v>
      </c>
      <c r="B310" t="s">
        <v>6421</v>
      </c>
      <c r="C310" t="s">
        <v>74</v>
      </c>
      <c r="D310" t="s">
        <v>74</v>
      </c>
      <c r="E310" t="s">
        <v>74</v>
      </c>
      <c r="F310" t="s">
        <v>6422</v>
      </c>
      <c r="G310" t="s">
        <v>74</v>
      </c>
      <c r="H310" t="s">
        <v>74</v>
      </c>
      <c r="I310" t="s">
        <v>6423</v>
      </c>
      <c r="J310" t="s">
        <v>6424</v>
      </c>
      <c r="K310" t="s">
        <v>74</v>
      </c>
      <c r="L310" t="s">
        <v>74</v>
      </c>
      <c r="M310" t="s">
        <v>78</v>
      </c>
      <c r="N310" t="s">
        <v>79</v>
      </c>
      <c r="O310" t="s">
        <v>74</v>
      </c>
      <c r="P310" t="s">
        <v>74</v>
      </c>
      <c r="Q310" t="s">
        <v>74</v>
      </c>
      <c r="R310" t="s">
        <v>74</v>
      </c>
      <c r="S310" t="s">
        <v>74</v>
      </c>
      <c r="T310" t="s">
        <v>74</v>
      </c>
      <c r="U310" t="s">
        <v>74</v>
      </c>
      <c r="V310" t="s">
        <v>6425</v>
      </c>
      <c r="W310" t="s">
        <v>74</v>
      </c>
      <c r="X310" t="s">
        <v>74</v>
      </c>
      <c r="Y310" t="s">
        <v>74</v>
      </c>
      <c r="Z310" t="s">
        <v>74</v>
      </c>
      <c r="AA310" t="s">
        <v>74</v>
      </c>
      <c r="AB310" t="s">
        <v>74</v>
      </c>
      <c r="AC310" t="s">
        <v>74</v>
      </c>
      <c r="AD310" t="s">
        <v>74</v>
      </c>
      <c r="AE310" t="s">
        <v>74</v>
      </c>
      <c r="AF310" t="s">
        <v>74</v>
      </c>
      <c r="AG310">
        <v>50</v>
      </c>
      <c r="AH310">
        <v>4</v>
      </c>
      <c r="AI310">
        <v>5</v>
      </c>
      <c r="AJ310">
        <v>0</v>
      </c>
      <c r="AK310">
        <v>2</v>
      </c>
      <c r="AL310" t="s">
        <v>92</v>
      </c>
      <c r="AM310" t="s">
        <v>93</v>
      </c>
      <c r="AN310" t="s">
        <v>94</v>
      </c>
      <c r="AO310" t="s">
        <v>6426</v>
      </c>
      <c r="AP310" t="s">
        <v>6427</v>
      </c>
      <c r="AQ310" t="s">
        <v>74</v>
      </c>
      <c r="AR310" t="s">
        <v>6428</v>
      </c>
      <c r="AS310" t="s">
        <v>6429</v>
      </c>
      <c r="AT310" t="s">
        <v>4616</v>
      </c>
      <c r="AU310">
        <v>2018</v>
      </c>
      <c r="AV310">
        <v>42</v>
      </c>
      <c r="AW310">
        <v>4</v>
      </c>
      <c r="AX310" t="s">
        <v>74</v>
      </c>
      <c r="AY310" t="s">
        <v>74</v>
      </c>
      <c r="AZ310" t="s">
        <v>74</v>
      </c>
      <c r="BA310" t="s">
        <v>74</v>
      </c>
      <c r="BB310">
        <v>640</v>
      </c>
      <c r="BC310">
        <v>668</v>
      </c>
      <c r="BD310" t="s">
        <v>74</v>
      </c>
      <c r="BE310" t="s">
        <v>6430</v>
      </c>
      <c r="BF310" t="str">
        <f>HYPERLINK("http://dx.doi.org/10.1093/dh/dhx045","http://dx.doi.org/10.1093/dh/dhx045")</f>
        <v>http://dx.doi.org/10.1093/dh/dhx045</v>
      </c>
      <c r="BG310" t="s">
        <v>74</v>
      </c>
      <c r="BH310" t="s">
        <v>74</v>
      </c>
      <c r="BI310">
        <v>29</v>
      </c>
      <c r="BJ310" t="s">
        <v>1646</v>
      </c>
      <c r="BK310" t="s">
        <v>1647</v>
      </c>
      <c r="BL310" t="s">
        <v>1646</v>
      </c>
      <c r="BM310" t="s">
        <v>6431</v>
      </c>
      <c r="BN310" t="s">
        <v>74</v>
      </c>
      <c r="BO310" t="s">
        <v>712</v>
      </c>
      <c r="BP310" t="s">
        <v>74</v>
      </c>
      <c r="BQ310" t="s">
        <v>74</v>
      </c>
      <c r="BR310" t="s">
        <v>104</v>
      </c>
      <c r="BS310" t="s">
        <v>6432</v>
      </c>
      <c r="BT310" t="str">
        <f>HYPERLINK("https%3A%2F%2Fwww.webofscience.com%2Fwos%2Fwoscc%2Ffull-record%2FWOS:000443559400023","View Full Record in Web of Science")</f>
        <v>View Full Record in Web of Science</v>
      </c>
    </row>
    <row r="311" spans="1:72" x14ac:dyDescent="0.15">
      <c r="A311" t="s">
        <v>72</v>
      </c>
      <c r="B311" t="s">
        <v>6433</v>
      </c>
      <c r="C311" t="s">
        <v>74</v>
      </c>
      <c r="D311" t="s">
        <v>74</v>
      </c>
      <c r="E311" t="s">
        <v>74</v>
      </c>
      <c r="F311" t="s">
        <v>6434</v>
      </c>
      <c r="G311" t="s">
        <v>74</v>
      </c>
      <c r="H311" t="s">
        <v>74</v>
      </c>
      <c r="I311" t="s">
        <v>6435</v>
      </c>
      <c r="J311" t="s">
        <v>6436</v>
      </c>
      <c r="K311" t="s">
        <v>74</v>
      </c>
      <c r="L311" t="s">
        <v>74</v>
      </c>
      <c r="M311" t="s">
        <v>78</v>
      </c>
      <c r="N311" t="s">
        <v>79</v>
      </c>
      <c r="O311" t="s">
        <v>74</v>
      </c>
      <c r="P311" t="s">
        <v>74</v>
      </c>
      <c r="Q311" t="s">
        <v>74</v>
      </c>
      <c r="R311" t="s">
        <v>74</v>
      </c>
      <c r="S311" t="s">
        <v>74</v>
      </c>
      <c r="T311" t="s">
        <v>6437</v>
      </c>
      <c r="U311" t="s">
        <v>6438</v>
      </c>
      <c r="V311" t="s">
        <v>6439</v>
      </c>
      <c r="W311" t="s">
        <v>6440</v>
      </c>
      <c r="X311" t="s">
        <v>6441</v>
      </c>
      <c r="Y311" t="s">
        <v>6442</v>
      </c>
      <c r="Z311" t="s">
        <v>6443</v>
      </c>
      <c r="AA311" t="s">
        <v>6444</v>
      </c>
      <c r="AB311" t="s">
        <v>6445</v>
      </c>
      <c r="AC311" t="s">
        <v>6446</v>
      </c>
      <c r="AD311" t="s">
        <v>6447</v>
      </c>
      <c r="AE311" t="s">
        <v>6448</v>
      </c>
      <c r="AF311" t="s">
        <v>74</v>
      </c>
      <c r="AG311">
        <v>39</v>
      </c>
      <c r="AH311">
        <v>5</v>
      </c>
      <c r="AI311">
        <v>5</v>
      </c>
      <c r="AJ311">
        <v>2</v>
      </c>
      <c r="AK311">
        <v>20</v>
      </c>
      <c r="AL311" t="s">
        <v>758</v>
      </c>
      <c r="AM311" t="s">
        <v>759</v>
      </c>
      <c r="AN311" t="s">
        <v>760</v>
      </c>
      <c r="AO311" t="s">
        <v>6449</v>
      </c>
      <c r="AP311" t="s">
        <v>6450</v>
      </c>
      <c r="AQ311" t="s">
        <v>74</v>
      </c>
      <c r="AR311" t="s">
        <v>6451</v>
      </c>
      <c r="AS311" t="s">
        <v>6452</v>
      </c>
      <c r="AT311" t="s">
        <v>4616</v>
      </c>
      <c r="AU311">
        <v>2018</v>
      </c>
      <c r="AV311">
        <v>28</v>
      </c>
      <c r="AW311">
        <v>6</v>
      </c>
      <c r="AX311" t="s">
        <v>74</v>
      </c>
      <c r="AY311" t="s">
        <v>74</v>
      </c>
      <c r="AZ311" t="s">
        <v>74</v>
      </c>
      <c r="BA311" t="s">
        <v>74</v>
      </c>
      <c r="BB311">
        <v>1450</v>
      </c>
      <c r="BC311">
        <v>1458</v>
      </c>
      <c r="BD311" t="s">
        <v>74</v>
      </c>
      <c r="BE311" t="s">
        <v>6453</v>
      </c>
      <c r="BF311" t="str">
        <f>HYPERLINK("http://dx.doi.org/10.1002/eap.1744","http://dx.doi.org/10.1002/eap.1744")</f>
        <v>http://dx.doi.org/10.1002/eap.1744</v>
      </c>
      <c r="BG311" t="s">
        <v>74</v>
      </c>
      <c r="BH311" t="s">
        <v>74</v>
      </c>
      <c r="BI311">
        <v>9</v>
      </c>
      <c r="BJ311" t="s">
        <v>4619</v>
      </c>
      <c r="BK311" t="s">
        <v>101</v>
      </c>
      <c r="BL311" t="s">
        <v>559</v>
      </c>
      <c r="BM311" t="s">
        <v>6454</v>
      </c>
      <c r="BN311">
        <v>29944185</v>
      </c>
      <c r="BO311" t="s">
        <v>740</v>
      </c>
      <c r="BP311" t="s">
        <v>74</v>
      </c>
      <c r="BQ311" t="s">
        <v>74</v>
      </c>
      <c r="BR311" t="s">
        <v>104</v>
      </c>
      <c r="BS311" t="s">
        <v>6455</v>
      </c>
      <c r="BT311" t="str">
        <f>HYPERLINK("https%3A%2F%2Fwww.webofscience.com%2Fwos%2Fwoscc%2Ffull-record%2FWOS:000443555100006","View Full Record in Web of Science")</f>
        <v>View Full Record in Web of Science</v>
      </c>
    </row>
    <row r="312" spans="1:72" x14ac:dyDescent="0.15">
      <c r="A312" t="s">
        <v>72</v>
      </c>
      <c r="B312" t="s">
        <v>6456</v>
      </c>
      <c r="C312" t="s">
        <v>74</v>
      </c>
      <c r="D312" t="s">
        <v>74</v>
      </c>
      <c r="E312" t="s">
        <v>74</v>
      </c>
      <c r="F312" t="s">
        <v>6457</v>
      </c>
      <c r="G312" t="s">
        <v>74</v>
      </c>
      <c r="H312" t="s">
        <v>74</v>
      </c>
      <c r="I312" t="s">
        <v>6458</v>
      </c>
      <c r="J312" t="s">
        <v>6459</v>
      </c>
      <c r="K312" t="s">
        <v>74</v>
      </c>
      <c r="L312" t="s">
        <v>74</v>
      </c>
      <c r="M312" t="s">
        <v>78</v>
      </c>
      <c r="N312" t="s">
        <v>79</v>
      </c>
      <c r="O312" t="s">
        <v>74</v>
      </c>
      <c r="P312" t="s">
        <v>74</v>
      </c>
      <c r="Q312" t="s">
        <v>74</v>
      </c>
      <c r="R312" t="s">
        <v>74</v>
      </c>
      <c r="S312" t="s">
        <v>74</v>
      </c>
      <c r="T312" t="s">
        <v>6460</v>
      </c>
      <c r="U312" t="s">
        <v>6461</v>
      </c>
      <c r="V312" t="s">
        <v>6462</v>
      </c>
      <c r="W312" t="s">
        <v>6463</v>
      </c>
      <c r="X312" t="s">
        <v>6464</v>
      </c>
      <c r="Y312" t="s">
        <v>6465</v>
      </c>
      <c r="Z312" t="s">
        <v>6466</v>
      </c>
      <c r="AA312" t="s">
        <v>6467</v>
      </c>
      <c r="AB312" t="s">
        <v>6468</v>
      </c>
      <c r="AC312" t="s">
        <v>6469</v>
      </c>
      <c r="AD312" t="s">
        <v>6470</v>
      </c>
      <c r="AE312" t="s">
        <v>6471</v>
      </c>
      <c r="AF312" t="s">
        <v>74</v>
      </c>
      <c r="AG312">
        <v>93</v>
      </c>
      <c r="AH312">
        <v>21</v>
      </c>
      <c r="AI312">
        <v>21</v>
      </c>
      <c r="AJ312">
        <v>0</v>
      </c>
      <c r="AK312">
        <v>22</v>
      </c>
      <c r="AL312" t="s">
        <v>758</v>
      </c>
      <c r="AM312" t="s">
        <v>759</v>
      </c>
      <c r="AN312" t="s">
        <v>760</v>
      </c>
      <c r="AO312" t="s">
        <v>6472</v>
      </c>
      <c r="AP312" t="s">
        <v>6473</v>
      </c>
      <c r="AQ312" t="s">
        <v>74</v>
      </c>
      <c r="AR312" t="s">
        <v>6474</v>
      </c>
      <c r="AS312" t="s">
        <v>6475</v>
      </c>
      <c r="AT312" t="s">
        <v>5519</v>
      </c>
      <c r="AU312">
        <v>2018</v>
      </c>
      <c r="AV312">
        <v>53</v>
      </c>
      <c r="AW312">
        <v>5</v>
      </c>
      <c r="AX312" t="s">
        <v>74</v>
      </c>
      <c r="AY312" t="s">
        <v>74</v>
      </c>
      <c r="AZ312" t="s">
        <v>74</v>
      </c>
      <c r="BA312" t="s">
        <v>74</v>
      </c>
      <c r="BB312">
        <v>2258</v>
      </c>
      <c r="BC312">
        <v>2279</v>
      </c>
      <c r="BD312" t="s">
        <v>74</v>
      </c>
      <c r="BE312" t="s">
        <v>6476</v>
      </c>
      <c r="BF312" t="str">
        <f>HYPERLINK("http://dx.doi.org/10.1002/gj.3063","http://dx.doi.org/10.1002/gj.3063")</f>
        <v>http://dx.doi.org/10.1002/gj.3063</v>
      </c>
      <c r="BG312" t="s">
        <v>74</v>
      </c>
      <c r="BH312" t="s">
        <v>74</v>
      </c>
      <c r="BI312">
        <v>22</v>
      </c>
      <c r="BJ312" t="s">
        <v>182</v>
      </c>
      <c r="BK312" t="s">
        <v>101</v>
      </c>
      <c r="BL312" t="s">
        <v>183</v>
      </c>
      <c r="BM312" t="s">
        <v>6477</v>
      </c>
      <c r="BN312" t="s">
        <v>74</v>
      </c>
      <c r="BO312" t="s">
        <v>74</v>
      </c>
      <c r="BP312" t="s">
        <v>74</v>
      </c>
      <c r="BQ312" t="s">
        <v>74</v>
      </c>
      <c r="BR312" t="s">
        <v>104</v>
      </c>
      <c r="BS312" t="s">
        <v>6478</v>
      </c>
      <c r="BT312" t="str">
        <f>HYPERLINK("https%3A%2F%2Fwww.webofscience.com%2Fwos%2Fwoscc%2Ffull-record%2FWOS:000443563400038","View Full Record in Web of Science")</f>
        <v>View Full Record in Web of Science</v>
      </c>
    </row>
    <row r="313" spans="1:72" x14ac:dyDescent="0.15">
      <c r="A313" t="s">
        <v>72</v>
      </c>
      <c r="B313" t="s">
        <v>6479</v>
      </c>
      <c r="C313" t="s">
        <v>74</v>
      </c>
      <c r="D313" t="s">
        <v>74</v>
      </c>
      <c r="E313" t="s">
        <v>74</v>
      </c>
      <c r="F313" t="s">
        <v>6480</v>
      </c>
      <c r="G313" t="s">
        <v>74</v>
      </c>
      <c r="H313" t="s">
        <v>74</v>
      </c>
      <c r="I313" t="s">
        <v>6481</v>
      </c>
      <c r="J313" t="s">
        <v>6482</v>
      </c>
      <c r="K313" t="s">
        <v>74</v>
      </c>
      <c r="L313" t="s">
        <v>74</v>
      </c>
      <c r="M313" t="s">
        <v>78</v>
      </c>
      <c r="N313" t="s">
        <v>79</v>
      </c>
      <c r="O313" t="s">
        <v>74</v>
      </c>
      <c r="P313" t="s">
        <v>74</v>
      </c>
      <c r="Q313" t="s">
        <v>74</v>
      </c>
      <c r="R313" t="s">
        <v>74</v>
      </c>
      <c r="S313" t="s">
        <v>74</v>
      </c>
      <c r="T313" t="s">
        <v>74</v>
      </c>
      <c r="U313" t="s">
        <v>6483</v>
      </c>
      <c r="V313" t="s">
        <v>6484</v>
      </c>
      <c r="W313" t="s">
        <v>6485</v>
      </c>
      <c r="X313" t="s">
        <v>6486</v>
      </c>
      <c r="Y313" t="s">
        <v>6487</v>
      </c>
      <c r="Z313" t="s">
        <v>6488</v>
      </c>
      <c r="AA313" t="s">
        <v>74</v>
      </c>
      <c r="AB313" t="s">
        <v>74</v>
      </c>
      <c r="AC313" t="s">
        <v>74</v>
      </c>
      <c r="AD313" t="s">
        <v>74</v>
      </c>
      <c r="AE313" t="s">
        <v>74</v>
      </c>
      <c r="AF313" t="s">
        <v>74</v>
      </c>
      <c r="AG313">
        <v>65</v>
      </c>
      <c r="AH313">
        <v>0</v>
      </c>
      <c r="AI313">
        <v>0</v>
      </c>
      <c r="AJ313">
        <v>0</v>
      </c>
      <c r="AK313">
        <v>1</v>
      </c>
      <c r="AL313" t="s">
        <v>5383</v>
      </c>
      <c r="AM313" t="s">
        <v>258</v>
      </c>
      <c r="AN313" t="s">
        <v>5384</v>
      </c>
      <c r="AO313" t="s">
        <v>6489</v>
      </c>
      <c r="AP313" t="s">
        <v>6490</v>
      </c>
      <c r="AQ313" t="s">
        <v>74</v>
      </c>
      <c r="AR313" t="s">
        <v>6491</v>
      </c>
      <c r="AS313" t="s">
        <v>6492</v>
      </c>
      <c r="AT313" t="s">
        <v>4616</v>
      </c>
      <c r="AU313">
        <v>2018</v>
      </c>
      <c r="AV313">
        <v>54</v>
      </c>
      <c r="AW313">
        <v>5</v>
      </c>
      <c r="AX313" t="s">
        <v>74</v>
      </c>
      <c r="AY313" t="s">
        <v>74</v>
      </c>
      <c r="AZ313" t="s">
        <v>74</v>
      </c>
      <c r="BA313" t="s">
        <v>74</v>
      </c>
      <c r="BB313">
        <v>665</v>
      </c>
      <c r="BC313">
        <v>673</v>
      </c>
      <c r="BD313" t="s">
        <v>74</v>
      </c>
      <c r="BE313" t="s">
        <v>6493</v>
      </c>
      <c r="BF313" t="str">
        <f>HYPERLINK("http://dx.doi.org/10.1134/S1069351318050087","http://dx.doi.org/10.1134/S1069351318050087")</f>
        <v>http://dx.doi.org/10.1134/S1069351318050087</v>
      </c>
      <c r="BG313" t="s">
        <v>74</v>
      </c>
      <c r="BH313" t="s">
        <v>74</v>
      </c>
      <c r="BI313">
        <v>9</v>
      </c>
      <c r="BJ313" t="s">
        <v>484</v>
      </c>
      <c r="BK313" t="s">
        <v>101</v>
      </c>
      <c r="BL313" t="s">
        <v>484</v>
      </c>
      <c r="BM313" t="s">
        <v>6494</v>
      </c>
      <c r="BN313" t="s">
        <v>74</v>
      </c>
      <c r="BO313" t="s">
        <v>74</v>
      </c>
      <c r="BP313" t="s">
        <v>74</v>
      </c>
      <c r="BQ313" t="s">
        <v>74</v>
      </c>
      <c r="BR313" t="s">
        <v>104</v>
      </c>
      <c r="BS313" t="s">
        <v>6495</v>
      </c>
      <c r="BT313" t="str">
        <f>HYPERLINK("https%3A%2F%2Fwww.webofscience.com%2Fwos%2Fwoscc%2Ffull-record%2FWOS:000443851200001","View Full Record in Web of Science")</f>
        <v>View Full Record in Web of Science</v>
      </c>
    </row>
    <row r="314" spans="1:72" x14ac:dyDescent="0.15">
      <c r="A314" t="s">
        <v>72</v>
      </c>
      <c r="B314" t="s">
        <v>6496</v>
      </c>
      <c r="C314" t="s">
        <v>74</v>
      </c>
      <c r="D314" t="s">
        <v>74</v>
      </c>
      <c r="E314" t="s">
        <v>74</v>
      </c>
      <c r="F314" t="s">
        <v>6497</v>
      </c>
      <c r="G314" t="s">
        <v>74</v>
      </c>
      <c r="H314" t="s">
        <v>74</v>
      </c>
      <c r="I314" t="s">
        <v>6498</v>
      </c>
      <c r="J314" t="s">
        <v>6482</v>
      </c>
      <c r="K314" t="s">
        <v>74</v>
      </c>
      <c r="L314" t="s">
        <v>74</v>
      </c>
      <c r="M314" t="s">
        <v>78</v>
      </c>
      <c r="N314" t="s">
        <v>79</v>
      </c>
      <c r="O314" t="s">
        <v>74</v>
      </c>
      <c r="P314" t="s">
        <v>74</v>
      </c>
      <c r="Q314" t="s">
        <v>74</v>
      </c>
      <c r="R314" t="s">
        <v>74</v>
      </c>
      <c r="S314" t="s">
        <v>74</v>
      </c>
      <c r="T314" t="s">
        <v>6499</v>
      </c>
      <c r="U314" t="s">
        <v>6500</v>
      </c>
      <c r="V314" t="s">
        <v>6501</v>
      </c>
      <c r="W314" t="s">
        <v>6502</v>
      </c>
      <c r="X314" t="s">
        <v>6486</v>
      </c>
      <c r="Y314" t="s">
        <v>6503</v>
      </c>
      <c r="Z314" t="s">
        <v>6504</v>
      </c>
      <c r="AA314" t="s">
        <v>74</v>
      </c>
      <c r="AB314" t="s">
        <v>74</v>
      </c>
      <c r="AC314" t="s">
        <v>6505</v>
      </c>
      <c r="AD314" t="s">
        <v>6506</v>
      </c>
      <c r="AE314" t="s">
        <v>6507</v>
      </c>
      <c r="AF314" t="s">
        <v>74</v>
      </c>
      <c r="AG314">
        <v>28</v>
      </c>
      <c r="AH314">
        <v>0</v>
      </c>
      <c r="AI314">
        <v>0</v>
      </c>
      <c r="AJ314">
        <v>0</v>
      </c>
      <c r="AK314">
        <v>2</v>
      </c>
      <c r="AL314" t="s">
        <v>5383</v>
      </c>
      <c r="AM314" t="s">
        <v>258</v>
      </c>
      <c r="AN314" t="s">
        <v>5384</v>
      </c>
      <c r="AO314" t="s">
        <v>6489</v>
      </c>
      <c r="AP314" t="s">
        <v>6490</v>
      </c>
      <c r="AQ314" t="s">
        <v>74</v>
      </c>
      <c r="AR314" t="s">
        <v>6491</v>
      </c>
      <c r="AS314" t="s">
        <v>6492</v>
      </c>
      <c r="AT314" t="s">
        <v>4616</v>
      </c>
      <c r="AU314">
        <v>2018</v>
      </c>
      <c r="AV314">
        <v>54</v>
      </c>
      <c r="AW314">
        <v>5</v>
      </c>
      <c r="AX314" t="s">
        <v>74</v>
      </c>
      <c r="AY314" t="s">
        <v>74</v>
      </c>
      <c r="AZ314" t="s">
        <v>74</v>
      </c>
      <c r="BA314" t="s">
        <v>74</v>
      </c>
      <c r="BB314">
        <v>674</v>
      </c>
      <c r="BC314">
        <v>679</v>
      </c>
      <c r="BD314" t="s">
        <v>74</v>
      </c>
      <c r="BE314" t="s">
        <v>6508</v>
      </c>
      <c r="BF314" t="str">
        <f>HYPERLINK("http://dx.doi.org/10.1134/S1069351318050063","http://dx.doi.org/10.1134/S1069351318050063")</f>
        <v>http://dx.doi.org/10.1134/S1069351318050063</v>
      </c>
      <c r="BG314" t="s">
        <v>74</v>
      </c>
      <c r="BH314" t="s">
        <v>74</v>
      </c>
      <c r="BI314">
        <v>6</v>
      </c>
      <c r="BJ314" t="s">
        <v>484</v>
      </c>
      <c r="BK314" t="s">
        <v>101</v>
      </c>
      <c r="BL314" t="s">
        <v>484</v>
      </c>
      <c r="BM314" t="s">
        <v>6494</v>
      </c>
      <c r="BN314" t="s">
        <v>74</v>
      </c>
      <c r="BO314" t="s">
        <v>74</v>
      </c>
      <c r="BP314" t="s">
        <v>74</v>
      </c>
      <c r="BQ314" t="s">
        <v>74</v>
      </c>
      <c r="BR314" t="s">
        <v>104</v>
      </c>
      <c r="BS314" t="s">
        <v>6509</v>
      </c>
      <c r="BT314" t="str">
        <f>HYPERLINK("https%3A%2F%2Fwww.webofscience.com%2Fwos%2Fwoscc%2Ffull-record%2FWOS:000443851200002","View Full Record in Web of Science")</f>
        <v>View Full Record in Web of Science</v>
      </c>
    </row>
    <row r="315" spans="1:72" x14ac:dyDescent="0.15">
      <c r="A315" t="s">
        <v>72</v>
      </c>
      <c r="B315" t="s">
        <v>6510</v>
      </c>
      <c r="C315" t="s">
        <v>74</v>
      </c>
      <c r="D315" t="s">
        <v>74</v>
      </c>
      <c r="E315" t="s">
        <v>74</v>
      </c>
      <c r="F315" t="s">
        <v>6511</v>
      </c>
      <c r="G315" t="s">
        <v>74</v>
      </c>
      <c r="H315" t="s">
        <v>74</v>
      </c>
      <c r="I315" t="s">
        <v>6512</v>
      </c>
      <c r="J315" t="s">
        <v>949</v>
      </c>
      <c r="K315" t="s">
        <v>74</v>
      </c>
      <c r="L315" t="s">
        <v>74</v>
      </c>
      <c r="M315" t="s">
        <v>78</v>
      </c>
      <c r="N315" t="s">
        <v>79</v>
      </c>
      <c r="O315" t="s">
        <v>74</v>
      </c>
      <c r="P315" t="s">
        <v>74</v>
      </c>
      <c r="Q315" t="s">
        <v>74</v>
      </c>
      <c r="R315" t="s">
        <v>74</v>
      </c>
      <c r="S315" t="s">
        <v>74</v>
      </c>
      <c r="T315" t="s">
        <v>6513</v>
      </c>
      <c r="U315" t="s">
        <v>6514</v>
      </c>
      <c r="V315" t="s">
        <v>6515</v>
      </c>
      <c r="W315" t="s">
        <v>6516</v>
      </c>
      <c r="X315" t="s">
        <v>6517</v>
      </c>
      <c r="Y315" t="s">
        <v>6518</v>
      </c>
      <c r="Z315" t="s">
        <v>6519</v>
      </c>
      <c r="AA315" t="s">
        <v>6520</v>
      </c>
      <c r="AB315" t="s">
        <v>6521</v>
      </c>
      <c r="AC315" t="s">
        <v>6522</v>
      </c>
      <c r="AD315" t="s">
        <v>6523</v>
      </c>
      <c r="AE315" t="s">
        <v>6524</v>
      </c>
      <c r="AF315" t="s">
        <v>74</v>
      </c>
      <c r="AG315">
        <v>72</v>
      </c>
      <c r="AH315">
        <v>42</v>
      </c>
      <c r="AI315">
        <v>44</v>
      </c>
      <c r="AJ315">
        <v>1</v>
      </c>
      <c r="AK315">
        <v>35</v>
      </c>
      <c r="AL315" t="s">
        <v>785</v>
      </c>
      <c r="AM315" t="s">
        <v>786</v>
      </c>
      <c r="AN315" t="s">
        <v>787</v>
      </c>
      <c r="AO315" t="s">
        <v>962</v>
      </c>
      <c r="AP315" t="s">
        <v>963</v>
      </c>
      <c r="AQ315" t="s">
        <v>74</v>
      </c>
      <c r="AR315" t="s">
        <v>964</v>
      </c>
      <c r="AS315" t="s">
        <v>965</v>
      </c>
      <c r="AT315" t="s">
        <v>4616</v>
      </c>
      <c r="AU315">
        <v>2018</v>
      </c>
      <c r="AV315">
        <v>48</v>
      </c>
      <c r="AW315">
        <v>9</v>
      </c>
      <c r="AX315" t="s">
        <v>74</v>
      </c>
      <c r="AY315" t="s">
        <v>74</v>
      </c>
      <c r="AZ315" t="s">
        <v>74</v>
      </c>
      <c r="BA315" t="s">
        <v>74</v>
      </c>
      <c r="BB315">
        <v>2011</v>
      </c>
      <c r="BC315">
        <v>2027</v>
      </c>
      <c r="BD315" t="s">
        <v>74</v>
      </c>
      <c r="BE315" t="s">
        <v>6525</v>
      </c>
      <c r="BF315" t="str">
        <f>HYPERLINK("http://dx.doi.org/10.1175/JPO-D-17-0192.1","http://dx.doi.org/10.1175/JPO-D-17-0192.1")</f>
        <v>http://dx.doi.org/10.1175/JPO-D-17-0192.1</v>
      </c>
      <c r="BG315" t="s">
        <v>74</v>
      </c>
      <c r="BH315" t="s">
        <v>74</v>
      </c>
      <c r="BI315">
        <v>17</v>
      </c>
      <c r="BJ315" t="s">
        <v>157</v>
      </c>
      <c r="BK315" t="s">
        <v>101</v>
      </c>
      <c r="BL315" t="s">
        <v>157</v>
      </c>
      <c r="BM315" t="s">
        <v>6526</v>
      </c>
      <c r="BN315" t="s">
        <v>74</v>
      </c>
      <c r="BO315" t="s">
        <v>712</v>
      </c>
      <c r="BP315" t="s">
        <v>74</v>
      </c>
      <c r="BQ315" t="s">
        <v>74</v>
      </c>
      <c r="BR315" t="s">
        <v>104</v>
      </c>
      <c r="BS315" t="s">
        <v>6527</v>
      </c>
      <c r="BT315" t="str">
        <f>HYPERLINK("https%3A%2F%2Fwww.webofscience.com%2Fwos%2Fwoscc%2Ffull-record%2FWOS:000443799500001","View Full Record in Web of Science")</f>
        <v>View Full Record in Web of Science</v>
      </c>
    </row>
    <row r="316" spans="1:72" x14ac:dyDescent="0.15">
      <c r="A316" t="s">
        <v>72</v>
      </c>
      <c r="B316" t="s">
        <v>6528</v>
      </c>
      <c r="C316" t="s">
        <v>74</v>
      </c>
      <c r="D316" t="s">
        <v>74</v>
      </c>
      <c r="E316" t="s">
        <v>74</v>
      </c>
      <c r="F316" t="s">
        <v>6529</v>
      </c>
      <c r="G316" t="s">
        <v>74</v>
      </c>
      <c r="H316" t="s">
        <v>74</v>
      </c>
      <c r="I316" t="s">
        <v>6530</v>
      </c>
      <c r="J316" t="s">
        <v>6531</v>
      </c>
      <c r="K316" t="s">
        <v>74</v>
      </c>
      <c r="L316" t="s">
        <v>74</v>
      </c>
      <c r="M316" t="s">
        <v>78</v>
      </c>
      <c r="N316" t="s">
        <v>79</v>
      </c>
      <c r="O316" t="s">
        <v>74</v>
      </c>
      <c r="P316" t="s">
        <v>74</v>
      </c>
      <c r="Q316" t="s">
        <v>74</v>
      </c>
      <c r="R316" t="s">
        <v>74</v>
      </c>
      <c r="S316" t="s">
        <v>74</v>
      </c>
      <c r="T316" t="s">
        <v>6532</v>
      </c>
      <c r="U316" t="s">
        <v>74</v>
      </c>
      <c r="V316" t="s">
        <v>6533</v>
      </c>
      <c r="W316" t="s">
        <v>6534</v>
      </c>
      <c r="X316" t="s">
        <v>6535</v>
      </c>
      <c r="Y316" t="s">
        <v>6536</v>
      </c>
      <c r="Z316" t="s">
        <v>6537</v>
      </c>
      <c r="AA316" t="s">
        <v>74</v>
      </c>
      <c r="AB316" t="s">
        <v>74</v>
      </c>
      <c r="AC316" t="s">
        <v>6538</v>
      </c>
      <c r="AD316" t="s">
        <v>6538</v>
      </c>
      <c r="AE316" t="s">
        <v>6539</v>
      </c>
      <c r="AF316" t="s">
        <v>74</v>
      </c>
      <c r="AG316">
        <v>48</v>
      </c>
      <c r="AH316">
        <v>18</v>
      </c>
      <c r="AI316">
        <v>19</v>
      </c>
      <c r="AJ316">
        <v>2</v>
      </c>
      <c r="AK316">
        <v>22</v>
      </c>
      <c r="AL316" t="s">
        <v>257</v>
      </c>
      <c r="AM316" t="s">
        <v>258</v>
      </c>
      <c r="AN316" t="s">
        <v>259</v>
      </c>
      <c r="AO316" t="s">
        <v>6540</v>
      </c>
      <c r="AP316" t="s">
        <v>6541</v>
      </c>
      <c r="AQ316" t="s">
        <v>74</v>
      </c>
      <c r="AR316" t="s">
        <v>6542</v>
      </c>
      <c r="AS316" t="s">
        <v>6543</v>
      </c>
      <c r="AT316" t="s">
        <v>6074</v>
      </c>
      <c r="AU316">
        <v>2018</v>
      </c>
      <c r="AV316">
        <v>32</v>
      </c>
      <c r="AW316">
        <v>3</v>
      </c>
      <c r="AX316" t="s">
        <v>74</v>
      </c>
      <c r="AY316" t="s">
        <v>74</v>
      </c>
      <c r="AZ316" t="s">
        <v>74</v>
      </c>
      <c r="BA316" t="s">
        <v>74</v>
      </c>
      <c r="BB316">
        <v>339</v>
      </c>
      <c r="BC316">
        <v>360</v>
      </c>
      <c r="BD316" t="s">
        <v>74</v>
      </c>
      <c r="BE316" t="s">
        <v>6544</v>
      </c>
      <c r="BF316" t="str">
        <f>HYPERLINK("http://dx.doi.org/10.1017/S0892679418000527","http://dx.doi.org/10.1017/S0892679418000527")</f>
        <v>http://dx.doi.org/10.1017/S0892679418000527</v>
      </c>
      <c r="BG316" t="s">
        <v>74</v>
      </c>
      <c r="BH316" t="s">
        <v>74</v>
      </c>
      <c r="BI316">
        <v>22</v>
      </c>
      <c r="BJ316" t="s">
        <v>6545</v>
      </c>
      <c r="BK316" t="s">
        <v>2020</v>
      </c>
      <c r="BL316" t="s">
        <v>6546</v>
      </c>
      <c r="BM316" t="s">
        <v>6547</v>
      </c>
      <c r="BN316" t="s">
        <v>74</v>
      </c>
      <c r="BO316" t="s">
        <v>74</v>
      </c>
      <c r="BP316" t="s">
        <v>74</v>
      </c>
      <c r="BQ316" t="s">
        <v>74</v>
      </c>
      <c r="BR316" t="s">
        <v>104</v>
      </c>
      <c r="BS316" t="s">
        <v>6548</v>
      </c>
      <c r="BT316" t="str">
        <f>HYPERLINK("https%3A%2F%2Fwww.webofscience.com%2Fwos%2Fwoscc%2Ffull-record%2FWOS:000443235700008","View Full Record in Web of Science")</f>
        <v>View Full Record in Web of Science</v>
      </c>
    </row>
    <row r="317" spans="1:72" x14ac:dyDescent="0.15">
      <c r="A317" t="s">
        <v>72</v>
      </c>
      <c r="B317" t="s">
        <v>6549</v>
      </c>
      <c r="C317" t="s">
        <v>74</v>
      </c>
      <c r="D317" t="s">
        <v>74</v>
      </c>
      <c r="E317" t="s">
        <v>74</v>
      </c>
      <c r="F317" t="s">
        <v>6550</v>
      </c>
      <c r="G317" t="s">
        <v>74</v>
      </c>
      <c r="H317" t="s">
        <v>74</v>
      </c>
      <c r="I317" t="s">
        <v>6551</v>
      </c>
      <c r="J317" t="s">
        <v>6552</v>
      </c>
      <c r="K317" t="s">
        <v>74</v>
      </c>
      <c r="L317" t="s">
        <v>74</v>
      </c>
      <c r="M317" t="s">
        <v>78</v>
      </c>
      <c r="N317" t="s">
        <v>79</v>
      </c>
      <c r="O317" t="s">
        <v>74</v>
      </c>
      <c r="P317" t="s">
        <v>74</v>
      </c>
      <c r="Q317" t="s">
        <v>74</v>
      </c>
      <c r="R317" t="s">
        <v>74</v>
      </c>
      <c r="S317" t="s">
        <v>74</v>
      </c>
      <c r="T317" t="s">
        <v>6553</v>
      </c>
      <c r="U317" t="s">
        <v>6554</v>
      </c>
      <c r="V317" t="s">
        <v>6555</v>
      </c>
      <c r="W317" t="s">
        <v>6556</v>
      </c>
      <c r="X317" t="s">
        <v>6557</v>
      </c>
      <c r="Y317" t="s">
        <v>6558</v>
      </c>
      <c r="Z317" t="s">
        <v>6559</v>
      </c>
      <c r="AA317" t="s">
        <v>6560</v>
      </c>
      <c r="AB317" t="s">
        <v>6561</v>
      </c>
      <c r="AC317" t="s">
        <v>6562</v>
      </c>
      <c r="AD317" t="s">
        <v>6563</v>
      </c>
      <c r="AE317" t="s">
        <v>6564</v>
      </c>
      <c r="AF317" t="s">
        <v>74</v>
      </c>
      <c r="AG317">
        <v>37</v>
      </c>
      <c r="AH317">
        <v>4</v>
      </c>
      <c r="AI317">
        <v>5</v>
      </c>
      <c r="AJ317">
        <v>6</v>
      </c>
      <c r="AK317">
        <v>57</v>
      </c>
      <c r="AL317" t="s">
        <v>758</v>
      </c>
      <c r="AM317" t="s">
        <v>759</v>
      </c>
      <c r="AN317" t="s">
        <v>760</v>
      </c>
      <c r="AO317" t="s">
        <v>6565</v>
      </c>
      <c r="AP317" t="s">
        <v>6566</v>
      </c>
      <c r="AQ317" t="s">
        <v>74</v>
      </c>
      <c r="AR317" t="s">
        <v>6567</v>
      </c>
      <c r="AS317" t="s">
        <v>6568</v>
      </c>
      <c r="AT317" t="s">
        <v>4616</v>
      </c>
      <c r="AU317">
        <v>2018</v>
      </c>
      <c r="AV317">
        <v>95</v>
      </c>
      <c r="AW317">
        <v>9</v>
      </c>
      <c r="AX317" t="s">
        <v>74</v>
      </c>
      <c r="AY317" t="s">
        <v>74</v>
      </c>
      <c r="AZ317" t="s">
        <v>74</v>
      </c>
      <c r="BA317" t="s">
        <v>74</v>
      </c>
      <c r="BB317">
        <v>1171</v>
      </c>
      <c r="BC317">
        <v>1178</v>
      </c>
      <c r="BD317" t="s">
        <v>74</v>
      </c>
      <c r="BE317" t="s">
        <v>6569</v>
      </c>
      <c r="BF317" t="str">
        <f>HYPERLINK("http://dx.doi.org/10.1002/aocs.12129","http://dx.doi.org/10.1002/aocs.12129")</f>
        <v>http://dx.doi.org/10.1002/aocs.12129</v>
      </c>
      <c r="BG317" t="s">
        <v>74</v>
      </c>
      <c r="BH317" t="s">
        <v>74</v>
      </c>
      <c r="BI317">
        <v>8</v>
      </c>
      <c r="BJ317" t="s">
        <v>6570</v>
      </c>
      <c r="BK317" t="s">
        <v>101</v>
      </c>
      <c r="BL317" t="s">
        <v>6571</v>
      </c>
      <c r="BM317" t="s">
        <v>6572</v>
      </c>
      <c r="BN317" t="s">
        <v>74</v>
      </c>
      <c r="BO317" t="s">
        <v>74</v>
      </c>
      <c r="BP317" t="s">
        <v>74</v>
      </c>
      <c r="BQ317" t="s">
        <v>74</v>
      </c>
      <c r="BR317" t="s">
        <v>104</v>
      </c>
      <c r="BS317" t="s">
        <v>6573</v>
      </c>
      <c r="BT317" t="str">
        <f>HYPERLINK("https%3A%2F%2Fwww.webofscience.com%2Fwos%2Fwoscc%2Ffull-record%2FWOS:000443231900005","View Full Record in Web of Science")</f>
        <v>View Full Record in Web of Science</v>
      </c>
    </row>
    <row r="318" spans="1:72" x14ac:dyDescent="0.15">
      <c r="A318" t="s">
        <v>72</v>
      </c>
      <c r="B318" t="s">
        <v>6574</v>
      </c>
      <c r="C318" t="s">
        <v>74</v>
      </c>
      <c r="D318" t="s">
        <v>74</v>
      </c>
      <c r="E318" t="s">
        <v>74</v>
      </c>
      <c r="F318" t="s">
        <v>6575</v>
      </c>
      <c r="G318" t="s">
        <v>74</v>
      </c>
      <c r="H318" t="s">
        <v>74</v>
      </c>
      <c r="I318" t="s">
        <v>6576</v>
      </c>
      <c r="J318" t="s">
        <v>6577</v>
      </c>
      <c r="K318" t="s">
        <v>74</v>
      </c>
      <c r="L318" t="s">
        <v>74</v>
      </c>
      <c r="M318" t="s">
        <v>78</v>
      </c>
      <c r="N318" t="s">
        <v>79</v>
      </c>
      <c r="O318" t="s">
        <v>74</v>
      </c>
      <c r="P318" t="s">
        <v>74</v>
      </c>
      <c r="Q318" t="s">
        <v>74</v>
      </c>
      <c r="R318" t="s">
        <v>74</v>
      </c>
      <c r="S318" t="s">
        <v>74</v>
      </c>
      <c r="T318" t="s">
        <v>6578</v>
      </c>
      <c r="U318" t="s">
        <v>6579</v>
      </c>
      <c r="V318" t="s">
        <v>6580</v>
      </c>
      <c r="W318" t="s">
        <v>6581</v>
      </c>
      <c r="X318" t="s">
        <v>422</v>
      </c>
      <c r="Y318" t="s">
        <v>6582</v>
      </c>
      <c r="Z318" t="s">
        <v>6583</v>
      </c>
      <c r="AA318" t="s">
        <v>6584</v>
      </c>
      <c r="AB318" t="s">
        <v>74</v>
      </c>
      <c r="AC318" t="s">
        <v>6585</v>
      </c>
      <c r="AD318" t="s">
        <v>6586</v>
      </c>
      <c r="AE318" t="s">
        <v>6587</v>
      </c>
      <c r="AF318" t="s">
        <v>74</v>
      </c>
      <c r="AG318">
        <v>35</v>
      </c>
      <c r="AH318">
        <v>2</v>
      </c>
      <c r="AI318">
        <v>3</v>
      </c>
      <c r="AJ318">
        <v>0</v>
      </c>
      <c r="AK318">
        <v>7</v>
      </c>
      <c r="AL318" t="s">
        <v>257</v>
      </c>
      <c r="AM318" t="s">
        <v>258</v>
      </c>
      <c r="AN318" t="s">
        <v>259</v>
      </c>
      <c r="AO318" t="s">
        <v>6588</v>
      </c>
      <c r="AP318" t="s">
        <v>6589</v>
      </c>
      <c r="AQ318" t="s">
        <v>74</v>
      </c>
      <c r="AR318" t="s">
        <v>6590</v>
      </c>
      <c r="AS318" t="s">
        <v>6591</v>
      </c>
      <c r="AT318" t="s">
        <v>4616</v>
      </c>
      <c r="AU318">
        <v>2018</v>
      </c>
      <c r="AV318">
        <v>98</v>
      </c>
      <c r="AW318">
        <v>6</v>
      </c>
      <c r="AX318" t="s">
        <v>74</v>
      </c>
      <c r="AY318" t="s">
        <v>74</v>
      </c>
      <c r="AZ318" t="s">
        <v>74</v>
      </c>
      <c r="BA318" t="s">
        <v>74</v>
      </c>
      <c r="BB318">
        <v>1365</v>
      </c>
      <c r="BC318">
        <v>1381</v>
      </c>
      <c r="BD318" t="s">
        <v>74</v>
      </c>
      <c r="BE318" t="s">
        <v>6592</v>
      </c>
      <c r="BF318" t="str">
        <f>HYPERLINK("http://dx.doi.org/10.1017/S002531541700025X","http://dx.doi.org/10.1017/S002531541700025X")</f>
        <v>http://dx.doi.org/10.1017/S002531541700025X</v>
      </c>
      <c r="BG318" t="s">
        <v>74</v>
      </c>
      <c r="BH318" t="s">
        <v>74</v>
      </c>
      <c r="BI318">
        <v>17</v>
      </c>
      <c r="BJ318" t="s">
        <v>1630</v>
      </c>
      <c r="BK318" t="s">
        <v>101</v>
      </c>
      <c r="BL318" t="s">
        <v>1630</v>
      </c>
      <c r="BM318" t="s">
        <v>6593</v>
      </c>
      <c r="BN318" t="s">
        <v>74</v>
      </c>
      <c r="BO318" t="s">
        <v>74</v>
      </c>
      <c r="BP318" t="s">
        <v>74</v>
      </c>
      <c r="BQ318" t="s">
        <v>74</v>
      </c>
      <c r="BR318" t="s">
        <v>104</v>
      </c>
      <c r="BS318" t="s">
        <v>6594</v>
      </c>
      <c r="BT318" t="str">
        <f>HYPERLINK("https%3A%2F%2Fwww.webofscience.com%2Fwos%2Fwoscc%2Ffull-record%2FWOS:000441138100012","View Full Record in Web of Science")</f>
        <v>View Full Record in Web of Science</v>
      </c>
    </row>
    <row r="319" spans="1:72" x14ac:dyDescent="0.15">
      <c r="A319" t="s">
        <v>72</v>
      </c>
      <c r="B319" t="s">
        <v>6595</v>
      </c>
      <c r="C319" t="s">
        <v>74</v>
      </c>
      <c r="D319" t="s">
        <v>74</v>
      </c>
      <c r="E319" t="s">
        <v>74</v>
      </c>
      <c r="F319" t="s">
        <v>6596</v>
      </c>
      <c r="G319" t="s">
        <v>74</v>
      </c>
      <c r="H319" t="s">
        <v>74</v>
      </c>
      <c r="I319" t="s">
        <v>6597</v>
      </c>
      <c r="J319" t="s">
        <v>1147</v>
      </c>
      <c r="K319" t="s">
        <v>74</v>
      </c>
      <c r="L319" t="s">
        <v>74</v>
      </c>
      <c r="M319" t="s">
        <v>78</v>
      </c>
      <c r="N319" t="s">
        <v>6598</v>
      </c>
      <c r="O319" t="s">
        <v>74</v>
      </c>
      <c r="P319" t="s">
        <v>74</v>
      </c>
      <c r="Q319" t="s">
        <v>74</v>
      </c>
      <c r="R319" t="s">
        <v>74</v>
      </c>
      <c r="S319" t="s">
        <v>74</v>
      </c>
      <c r="T319" t="s">
        <v>74</v>
      </c>
      <c r="U319" t="s">
        <v>6599</v>
      </c>
      <c r="V319" t="s">
        <v>74</v>
      </c>
      <c r="W319" t="s">
        <v>6600</v>
      </c>
      <c r="X319" t="s">
        <v>6601</v>
      </c>
      <c r="Y319" t="s">
        <v>6602</v>
      </c>
      <c r="Z319" t="s">
        <v>6603</v>
      </c>
      <c r="AA319" t="s">
        <v>74</v>
      </c>
      <c r="AB319" t="s">
        <v>74</v>
      </c>
      <c r="AC319" t="s">
        <v>74</v>
      </c>
      <c r="AD319" t="s">
        <v>74</v>
      </c>
      <c r="AE319" t="s">
        <v>74</v>
      </c>
      <c r="AF319" t="s">
        <v>74</v>
      </c>
      <c r="AG319">
        <v>13</v>
      </c>
      <c r="AH319">
        <v>1</v>
      </c>
      <c r="AI319">
        <v>1</v>
      </c>
      <c r="AJ319">
        <v>0</v>
      </c>
      <c r="AK319">
        <v>14</v>
      </c>
      <c r="AL319" t="s">
        <v>1159</v>
      </c>
      <c r="AM319" t="s">
        <v>258</v>
      </c>
      <c r="AN319" t="s">
        <v>1160</v>
      </c>
      <c r="AO319" t="s">
        <v>1161</v>
      </c>
      <c r="AP319" t="s">
        <v>1162</v>
      </c>
      <c r="AQ319" t="s">
        <v>74</v>
      </c>
      <c r="AR319" t="s">
        <v>1163</v>
      </c>
      <c r="AS319" t="s">
        <v>1164</v>
      </c>
      <c r="AT319" t="s">
        <v>4616</v>
      </c>
      <c r="AU319">
        <v>2018</v>
      </c>
      <c r="AV319">
        <v>11</v>
      </c>
      <c r="AW319">
        <v>9</v>
      </c>
      <c r="AX319" t="s">
        <v>74</v>
      </c>
      <c r="AY319" t="s">
        <v>74</v>
      </c>
      <c r="AZ319" t="s">
        <v>74</v>
      </c>
      <c r="BA319" t="s">
        <v>74</v>
      </c>
      <c r="BB319">
        <v>624</v>
      </c>
      <c r="BC319">
        <v>625</v>
      </c>
      <c r="BD319" t="s">
        <v>74</v>
      </c>
      <c r="BE319" t="s">
        <v>6604</v>
      </c>
      <c r="BF319" t="str">
        <f>HYPERLINK("http://dx.doi.org/10.1038/s41561-018-0189-2","http://dx.doi.org/10.1038/s41561-018-0189-2")</f>
        <v>http://dx.doi.org/10.1038/s41561-018-0189-2</v>
      </c>
      <c r="BG319" t="s">
        <v>74</v>
      </c>
      <c r="BH319" t="s">
        <v>74</v>
      </c>
      <c r="BI319">
        <v>3</v>
      </c>
      <c r="BJ319" t="s">
        <v>182</v>
      </c>
      <c r="BK319" t="s">
        <v>101</v>
      </c>
      <c r="BL319" t="s">
        <v>183</v>
      </c>
      <c r="BM319" t="s">
        <v>5406</v>
      </c>
      <c r="BN319" t="s">
        <v>74</v>
      </c>
      <c r="BO319" t="s">
        <v>74</v>
      </c>
      <c r="BP319" t="s">
        <v>74</v>
      </c>
      <c r="BQ319" t="s">
        <v>74</v>
      </c>
      <c r="BR319" t="s">
        <v>104</v>
      </c>
      <c r="BS319" t="s">
        <v>6605</v>
      </c>
      <c r="BT319" t="str">
        <f>HYPERLINK("https%3A%2F%2Fwww.webofscience.com%2Fwos%2Fwoscc%2Ffull-record%2FWOS:000443302900005","View Full Record in Web of Science")</f>
        <v>View Full Record in Web of Science</v>
      </c>
    </row>
    <row r="320" spans="1:72" x14ac:dyDescent="0.15">
      <c r="A320" t="s">
        <v>72</v>
      </c>
      <c r="B320" t="s">
        <v>6606</v>
      </c>
      <c r="C320" t="s">
        <v>74</v>
      </c>
      <c r="D320" t="s">
        <v>74</v>
      </c>
      <c r="E320" t="s">
        <v>74</v>
      </c>
      <c r="F320" t="s">
        <v>6607</v>
      </c>
      <c r="G320" t="s">
        <v>74</v>
      </c>
      <c r="H320" t="s">
        <v>74</v>
      </c>
      <c r="I320" t="s">
        <v>6608</v>
      </c>
      <c r="J320" t="s">
        <v>1147</v>
      </c>
      <c r="K320" t="s">
        <v>74</v>
      </c>
      <c r="L320" t="s">
        <v>74</v>
      </c>
      <c r="M320" t="s">
        <v>78</v>
      </c>
      <c r="N320" t="s">
        <v>79</v>
      </c>
      <c r="O320" t="s">
        <v>74</v>
      </c>
      <c r="P320" t="s">
        <v>74</v>
      </c>
      <c r="Q320" t="s">
        <v>74</v>
      </c>
      <c r="R320" t="s">
        <v>74</v>
      </c>
      <c r="S320" t="s">
        <v>74</v>
      </c>
      <c r="T320" t="s">
        <v>74</v>
      </c>
      <c r="U320" t="s">
        <v>6609</v>
      </c>
      <c r="V320" t="s">
        <v>6610</v>
      </c>
      <c r="W320" t="s">
        <v>6611</v>
      </c>
      <c r="X320" t="s">
        <v>6612</v>
      </c>
      <c r="Y320" t="s">
        <v>6613</v>
      </c>
      <c r="Z320" t="s">
        <v>6614</v>
      </c>
      <c r="AA320" t="s">
        <v>6615</v>
      </c>
      <c r="AB320" t="s">
        <v>6616</v>
      </c>
      <c r="AC320" t="s">
        <v>6617</v>
      </c>
      <c r="AD320" t="s">
        <v>6618</v>
      </c>
      <c r="AE320" t="s">
        <v>6619</v>
      </c>
      <c r="AF320" t="s">
        <v>74</v>
      </c>
      <c r="AG320">
        <v>55</v>
      </c>
      <c r="AH320">
        <v>42</v>
      </c>
      <c r="AI320">
        <v>43</v>
      </c>
      <c r="AJ320">
        <v>2</v>
      </c>
      <c r="AK320">
        <v>53</v>
      </c>
      <c r="AL320" t="s">
        <v>1159</v>
      </c>
      <c r="AM320" t="s">
        <v>258</v>
      </c>
      <c r="AN320" t="s">
        <v>1160</v>
      </c>
      <c r="AO320" t="s">
        <v>1161</v>
      </c>
      <c r="AP320" t="s">
        <v>1162</v>
      </c>
      <c r="AQ320" t="s">
        <v>74</v>
      </c>
      <c r="AR320" t="s">
        <v>1163</v>
      </c>
      <c r="AS320" t="s">
        <v>1164</v>
      </c>
      <c r="AT320" t="s">
        <v>4616</v>
      </c>
      <c r="AU320">
        <v>2018</v>
      </c>
      <c r="AV320">
        <v>11</v>
      </c>
      <c r="AW320">
        <v>9</v>
      </c>
      <c r="AX320" t="s">
        <v>74</v>
      </c>
      <c r="AY320" t="s">
        <v>74</v>
      </c>
      <c r="AZ320" t="s">
        <v>74</v>
      </c>
      <c r="BA320" t="s">
        <v>74</v>
      </c>
      <c r="BB320">
        <v>656</v>
      </c>
      <c r="BC320" t="s">
        <v>1137</v>
      </c>
      <c r="BD320" t="s">
        <v>74</v>
      </c>
      <c r="BE320" t="s">
        <v>6620</v>
      </c>
      <c r="BF320" t="str">
        <f>HYPERLINK("http://dx.doi.org/10.1038/s41561-018-0182-9","http://dx.doi.org/10.1038/s41561-018-0182-9")</f>
        <v>http://dx.doi.org/10.1038/s41561-018-0182-9</v>
      </c>
      <c r="BG320" t="s">
        <v>74</v>
      </c>
      <c r="BH320" t="s">
        <v>74</v>
      </c>
      <c r="BI320">
        <v>7</v>
      </c>
      <c r="BJ320" t="s">
        <v>182</v>
      </c>
      <c r="BK320" t="s">
        <v>101</v>
      </c>
      <c r="BL320" t="s">
        <v>183</v>
      </c>
      <c r="BM320" t="s">
        <v>5406</v>
      </c>
      <c r="BN320" t="s">
        <v>74</v>
      </c>
      <c r="BO320" t="s">
        <v>211</v>
      </c>
      <c r="BP320" t="s">
        <v>74</v>
      </c>
      <c r="BQ320" t="s">
        <v>74</v>
      </c>
      <c r="BR320" t="s">
        <v>104</v>
      </c>
      <c r="BS320" t="s">
        <v>6621</v>
      </c>
      <c r="BT320" t="str">
        <f>HYPERLINK("https%3A%2F%2Fwww.webofscience.com%2Fwos%2Fwoscc%2Ffull-record%2FWOS:000443302900012","View Full Record in Web of Science")</f>
        <v>View Full Record in Web of Science</v>
      </c>
    </row>
    <row r="321" spans="1:72" x14ac:dyDescent="0.15">
      <c r="A321" t="s">
        <v>72</v>
      </c>
      <c r="B321" t="s">
        <v>6622</v>
      </c>
      <c r="C321" t="s">
        <v>74</v>
      </c>
      <c r="D321" t="s">
        <v>74</v>
      </c>
      <c r="E321" t="s">
        <v>74</v>
      </c>
      <c r="F321" t="s">
        <v>6623</v>
      </c>
      <c r="G321" t="s">
        <v>74</v>
      </c>
      <c r="H321" t="s">
        <v>74</v>
      </c>
      <c r="I321" t="s">
        <v>6624</v>
      </c>
      <c r="J321" t="s">
        <v>6625</v>
      </c>
      <c r="K321" t="s">
        <v>74</v>
      </c>
      <c r="L321" t="s">
        <v>74</v>
      </c>
      <c r="M321" t="s">
        <v>78</v>
      </c>
      <c r="N321" t="s">
        <v>79</v>
      </c>
      <c r="O321" t="s">
        <v>74</v>
      </c>
      <c r="P321" t="s">
        <v>74</v>
      </c>
      <c r="Q321" t="s">
        <v>74</v>
      </c>
      <c r="R321" t="s">
        <v>74</v>
      </c>
      <c r="S321" t="s">
        <v>74</v>
      </c>
      <c r="T321" t="s">
        <v>6626</v>
      </c>
      <c r="U321" t="s">
        <v>6627</v>
      </c>
      <c r="V321" t="s">
        <v>6628</v>
      </c>
      <c r="W321" t="s">
        <v>6629</v>
      </c>
      <c r="X321" t="s">
        <v>6630</v>
      </c>
      <c r="Y321" t="s">
        <v>6631</v>
      </c>
      <c r="Z321" t="s">
        <v>6632</v>
      </c>
      <c r="AA321" t="s">
        <v>6633</v>
      </c>
      <c r="AB321" t="s">
        <v>6634</v>
      </c>
      <c r="AC321" t="s">
        <v>6635</v>
      </c>
      <c r="AD321" t="s">
        <v>6636</v>
      </c>
      <c r="AE321" t="s">
        <v>6637</v>
      </c>
      <c r="AF321" t="s">
        <v>74</v>
      </c>
      <c r="AG321">
        <v>87</v>
      </c>
      <c r="AH321">
        <v>23</v>
      </c>
      <c r="AI321">
        <v>23</v>
      </c>
      <c r="AJ321">
        <v>0</v>
      </c>
      <c r="AK321">
        <v>15</v>
      </c>
      <c r="AL321" t="s">
        <v>676</v>
      </c>
      <c r="AM321" t="s">
        <v>677</v>
      </c>
      <c r="AN321" t="s">
        <v>678</v>
      </c>
      <c r="AO321" t="s">
        <v>6638</v>
      </c>
      <c r="AP321" t="s">
        <v>6639</v>
      </c>
      <c r="AQ321" t="s">
        <v>74</v>
      </c>
      <c r="AR321" t="s">
        <v>6640</v>
      </c>
      <c r="AS321" t="s">
        <v>6641</v>
      </c>
      <c r="AT321" t="s">
        <v>4616</v>
      </c>
      <c r="AU321">
        <v>2018</v>
      </c>
      <c r="AV321">
        <v>18</v>
      </c>
      <c r="AW321">
        <v>3</v>
      </c>
      <c r="AX321" t="s">
        <v>74</v>
      </c>
      <c r="AY321" t="s">
        <v>74</v>
      </c>
      <c r="AZ321" t="s">
        <v>74</v>
      </c>
      <c r="BA321" t="s">
        <v>74</v>
      </c>
      <c r="BB321">
        <v>263</v>
      </c>
      <c r="BC321">
        <v>278</v>
      </c>
      <c r="BD321" t="s">
        <v>74</v>
      </c>
      <c r="BE321" t="s">
        <v>6642</v>
      </c>
      <c r="BF321" t="str">
        <f>HYPERLINK("http://dx.doi.org/10.1007/s13127-018-0372-8","http://dx.doi.org/10.1007/s13127-018-0372-8")</f>
        <v>http://dx.doi.org/10.1007/s13127-018-0372-8</v>
      </c>
      <c r="BG321" t="s">
        <v>74</v>
      </c>
      <c r="BH321" t="s">
        <v>74</v>
      </c>
      <c r="BI321">
        <v>16</v>
      </c>
      <c r="BJ321" t="s">
        <v>6643</v>
      </c>
      <c r="BK321" t="s">
        <v>101</v>
      </c>
      <c r="BL321" t="s">
        <v>6643</v>
      </c>
      <c r="BM321" t="s">
        <v>6644</v>
      </c>
      <c r="BN321" t="s">
        <v>74</v>
      </c>
      <c r="BO321" t="s">
        <v>486</v>
      </c>
      <c r="BP321" t="s">
        <v>74</v>
      </c>
      <c r="BQ321" t="s">
        <v>74</v>
      </c>
      <c r="BR321" t="s">
        <v>104</v>
      </c>
      <c r="BS321" t="s">
        <v>6645</v>
      </c>
      <c r="BT321" t="str">
        <f>HYPERLINK("https%3A%2F%2Fwww.webofscience.com%2Fwos%2Fwoscc%2Ffull-record%2FWOS:000443390900001","View Full Record in Web of Science")</f>
        <v>View Full Record in Web of Science</v>
      </c>
    </row>
    <row r="322" spans="1:72" x14ac:dyDescent="0.15">
      <c r="A322" t="s">
        <v>72</v>
      </c>
      <c r="B322" t="s">
        <v>6646</v>
      </c>
      <c r="C322" t="s">
        <v>74</v>
      </c>
      <c r="D322" t="s">
        <v>74</v>
      </c>
      <c r="E322" t="s">
        <v>74</v>
      </c>
      <c r="F322" t="s">
        <v>6647</v>
      </c>
      <c r="G322" t="s">
        <v>74</v>
      </c>
      <c r="H322" t="s">
        <v>74</v>
      </c>
      <c r="I322" t="s">
        <v>6648</v>
      </c>
      <c r="J322" t="s">
        <v>6649</v>
      </c>
      <c r="K322" t="s">
        <v>74</v>
      </c>
      <c r="L322" t="s">
        <v>74</v>
      </c>
      <c r="M322" t="s">
        <v>78</v>
      </c>
      <c r="N322" t="s">
        <v>79</v>
      </c>
      <c r="O322" t="s">
        <v>74</v>
      </c>
      <c r="P322" t="s">
        <v>74</v>
      </c>
      <c r="Q322" t="s">
        <v>74</v>
      </c>
      <c r="R322" t="s">
        <v>74</v>
      </c>
      <c r="S322" t="s">
        <v>74</v>
      </c>
      <c r="T322" t="s">
        <v>6650</v>
      </c>
      <c r="U322" t="s">
        <v>6651</v>
      </c>
      <c r="V322" t="s">
        <v>6652</v>
      </c>
      <c r="W322" t="s">
        <v>6653</v>
      </c>
      <c r="X322" t="s">
        <v>6654</v>
      </c>
      <c r="Y322" t="s">
        <v>6655</v>
      </c>
      <c r="Z322" t="s">
        <v>6656</v>
      </c>
      <c r="AA322" t="s">
        <v>74</v>
      </c>
      <c r="AB322" t="s">
        <v>74</v>
      </c>
      <c r="AC322" t="s">
        <v>6657</v>
      </c>
      <c r="AD322" t="s">
        <v>6658</v>
      </c>
      <c r="AE322" t="s">
        <v>6659</v>
      </c>
      <c r="AF322" t="s">
        <v>74</v>
      </c>
      <c r="AG322">
        <v>44</v>
      </c>
      <c r="AH322">
        <v>3</v>
      </c>
      <c r="AI322">
        <v>3</v>
      </c>
      <c r="AJ322">
        <v>0</v>
      </c>
      <c r="AK322">
        <v>8</v>
      </c>
      <c r="AL322" t="s">
        <v>785</v>
      </c>
      <c r="AM322" t="s">
        <v>786</v>
      </c>
      <c r="AN322" t="s">
        <v>787</v>
      </c>
      <c r="AO322" t="s">
        <v>6660</v>
      </c>
      <c r="AP322" t="s">
        <v>6661</v>
      </c>
      <c r="AQ322" t="s">
        <v>74</v>
      </c>
      <c r="AR322" t="s">
        <v>6662</v>
      </c>
      <c r="AS322" t="s">
        <v>6663</v>
      </c>
      <c r="AT322" t="s">
        <v>4616</v>
      </c>
      <c r="AU322">
        <v>2018</v>
      </c>
      <c r="AV322">
        <v>146</v>
      </c>
      <c r="AW322">
        <v>9</v>
      </c>
      <c r="AX322" t="s">
        <v>74</v>
      </c>
      <c r="AY322" t="s">
        <v>74</v>
      </c>
      <c r="AZ322" t="s">
        <v>74</v>
      </c>
      <c r="BA322" t="s">
        <v>74</v>
      </c>
      <c r="BB322">
        <v>2933</v>
      </c>
      <c r="BC322">
        <v>2947</v>
      </c>
      <c r="BD322" t="s">
        <v>74</v>
      </c>
      <c r="BE322" t="s">
        <v>6664</v>
      </c>
      <c r="BF322" t="str">
        <f>HYPERLINK("http://dx.doi.org/10.1175/MWR-D-18-0053.1","http://dx.doi.org/10.1175/MWR-D-18-0053.1")</f>
        <v>http://dx.doi.org/10.1175/MWR-D-18-0053.1</v>
      </c>
      <c r="BG322" t="s">
        <v>74</v>
      </c>
      <c r="BH322" t="s">
        <v>74</v>
      </c>
      <c r="BI322">
        <v>15</v>
      </c>
      <c r="BJ322" t="s">
        <v>369</v>
      </c>
      <c r="BK322" t="s">
        <v>101</v>
      </c>
      <c r="BL322" t="s">
        <v>369</v>
      </c>
      <c r="BM322" t="s">
        <v>6665</v>
      </c>
      <c r="BN322" t="s">
        <v>74</v>
      </c>
      <c r="BO322" t="s">
        <v>6666</v>
      </c>
      <c r="BP322" t="s">
        <v>74</v>
      </c>
      <c r="BQ322" t="s">
        <v>74</v>
      </c>
      <c r="BR322" t="s">
        <v>104</v>
      </c>
      <c r="BS322" t="s">
        <v>6667</v>
      </c>
      <c r="BT322" t="str">
        <f>HYPERLINK("https%3A%2F%2Fwww.webofscience.com%2Fwos%2Fwoscc%2Ffull-record%2FWOS:000442564500001","View Full Record in Web of Science")</f>
        <v>View Full Record in Web of Science</v>
      </c>
    </row>
    <row r="323" spans="1:72" x14ac:dyDescent="0.15">
      <c r="A323" t="s">
        <v>72</v>
      </c>
      <c r="B323" t="s">
        <v>6668</v>
      </c>
      <c r="C323" t="s">
        <v>74</v>
      </c>
      <c r="D323" t="s">
        <v>74</v>
      </c>
      <c r="E323" t="s">
        <v>74</v>
      </c>
      <c r="F323" t="s">
        <v>6669</v>
      </c>
      <c r="G323" t="s">
        <v>74</v>
      </c>
      <c r="H323" t="s">
        <v>74</v>
      </c>
      <c r="I323" t="s">
        <v>6670</v>
      </c>
      <c r="J323" t="s">
        <v>6671</v>
      </c>
      <c r="K323" t="s">
        <v>74</v>
      </c>
      <c r="L323" t="s">
        <v>74</v>
      </c>
      <c r="M323" t="s">
        <v>78</v>
      </c>
      <c r="N323" t="s">
        <v>79</v>
      </c>
      <c r="O323" t="s">
        <v>74</v>
      </c>
      <c r="P323" t="s">
        <v>74</v>
      </c>
      <c r="Q323" t="s">
        <v>74</v>
      </c>
      <c r="R323" t="s">
        <v>74</v>
      </c>
      <c r="S323" t="s">
        <v>74</v>
      </c>
      <c r="T323" t="s">
        <v>6672</v>
      </c>
      <c r="U323" t="s">
        <v>6673</v>
      </c>
      <c r="V323" t="s">
        <v>6674</v>
      </c>
      <c r="W323" t="s">
        <v>6675</v>
      </c>
      <c r="X323" t="s">
        <v>6676</v>
      </c>
      <c r="Y323" t="s">
        <v>6677</v>
      </c>
      <c r="Z323" t="s">
        <v>6678</v>
      </c>
      <c r="AA323" t="s">
        <v>6679</v>
      </c>
      <c r="AB323" t="s">
        <v>6680</v>
      </c>
      <c r="AC323" t="s">
        <v>6681</v>
      </c>
      <c r="AD323" t="s">
        <v>6682</v>
      </c>
      <c r="AE323" t="s">
        <v>6683</v>
      </c>
      <c r="AF323" t="s">
        <v>74</v>
      </c>
      <c r="AG323">
        <v>76</v>
      </c>
      <c r="AH323">
        <v>18</v>
      </c>
      <c r="AI323">
        <v>21</v>
      </c>
      <c r="AJ323">
        <v>1</v>
      </c>
      <c r="AK323">
        <v>13</v>
      </c>
      <c r="AL323" t="s">
        <v>337</v>
      </c>
      <c r="AM323" t="s">
        <v>912</v>
      </c>
      <c r="AN323" t="s">
        <v>913</v>
      </c>
      <c r="AO323" t="s">
        <v>6684</v>
      </c>
      <c r="AP323" t="s">
        <v>6685</v>
      </c>
      <c r="AQ323" t="s">
        <v>74</v>
      </c>
      <c r="AR323" t="s">
        <v>6686</v>
      </c>
      <c r="AS323" t="s">
        <v>6687</v>
      </c>
      <c r="AT323" t="s">
        <v>4616</v>
      </c>
      <c r="AU323">
        <v>2018</v>
      </c>
      <c r="AV323">
        <v>23</v>
      </c>
      <c r="AW323">
        <v>5</v>
      </c>
      <c r="AX323" t="s">
        <v>74</v>
      </c>
      <c r="AY323" t="s">
        <v>74</v>
      </c>
      <c r="AZ323" t="s">
        <v>74</v>
      </c>
      <c r="BA323" t="s">
        <v>74</v>
      </c>
      <c r="BB323">
        <v>1003</v>
      </c>
      <c r="BC323">
        <v>1017</v>
      </c>
      <c r="BD323" t="s">
        <v>74</v>
      </c>
      <c r="BE323" t="s">
        <v>6688</v>
      </c>
      <c r="BF323" t="str">
        <f>HYPERLINK("http://dx.doi.org/10.1007/s12192-018-0910-5","http://dx.doi.org/10.1007/s12192-018-0910-5")</f>
        <v>http://dx.doi.org/10.1007/s12192-018-0910-5</v>
      </c>
      <c r="BG323" t="s">
        <v>74</v>
      </c>
      <c r="BH323" t="s">
        <v>74</v>
      </c>
      <c r="BI323">
        <v>15</v>
      </c>
      <c r="BJ323" t="s">
        <v>6689</v>
      </c>
      <c r="BK323" t="s">
        <v>101</v>
      </c>
      <c r="BL323" t="s">
        <v>6689</v>
      </c>
      <c r="BM323" t="s">
        <v>6690</v>
      </c>
      <c r="BN323">
        <v>29754331</v>
      </c>
      <c r="BO323" t="s">
        <v>3263</v>
      </c>
      <c r="BP323" t="s">
        <v>74</v>
      </c>
      <c r="BQ323" t="s">
        <v>74</v>
      </c>
      <c r="BR323" t="s">
        <v>104</v>
      </c>
      <c r="BS323" t="s">
        <v>6691</v>
      </c>
      <c r="BT323" t="str">
        <f>HYPERLINK("https%3A%2F%2Fwww.webofscience.com%2Fwos%2Fwoscc%2Ffull-record%2FWOS:000442860300019","View Full Record in Web of Science")</f>
        <v>View Full Record in Web of Science</v>
      </c>
    </row>
    <row r="324" spans="1:72" x14ac:dyDescent="0.15">
      <c r="A324" t="s">
        <v>72</v>
      </c>
      <c r="B324" t="s">
        <v>6692</v>
      </c>
      <c r="C324" t="s">
        <v>74</v>
      </c>
      <c r="D324" t="s">
        <v>74</v>
      </c>
      <c r="E324" t="s">
        <v>74</v>
      </c>
      <c r="F324" t="s">
        <v>6693</v>
      </c>
      <c r="G324" t="s">
        <v>74</v>
      </c>
      <c r="H324" t="s">
        <v>74</v>
      </c>
      <c r="I324" t="s">
        <v>6694</v>
      </c>
      <c r="J324" t="s">
        <v>6695</v>
      </c>
      <c r="K324" t="s">
        <v>74</v>
      </c>
      <c r="L324" t="s">
        <v>74</v>
      </c>
      <c r="M324" t="s">
        <v>78</v>
      </c>
      <c r="N324" t="s">
        <v>79</v>
      </c>
      <c r="O324" t="s">
        <v>74</v>
      </c>
      <c r="P324" t="s">
        <v>74</v>
      </c>
      <c r="Q324" t="s">
        <v>74</v>
      </c>
      <c r="R324" t="s">
        <v>74</v>
      </c>
      <c r="S324" t="s">
        <v>74</v>
      </c>
      <c r="T324" t="s">
        <v>6696</v>
      </c>
      <c r="U324" t="s">
        <v>6697</v>
      </c>
      <c r="V324" t="s">
        <v>6698</v>
      </c>
      <c r="W324" t="s">
        <v>6699</v>
      </c>
      <c r="X324" t="s">
        <v>6700</v>
      </c>
      <c r="Y324" t="s">
        <v>6701</v>
      </c>
      <c r="Z324" t="s">
        <v>6702</v>
      </c>
      <c r="AA324" t="s">
        <v>6703</v>
      </c>
      <c r="AB324" t="s">
        <v>6704</v>
      </c>
      <c r="AC324" t="s">
        <v>6705</v>
      </c>
      <c r="AD324" t="s">
        <v>6706</v>
      </c>
      <c r="AE324" t="s">
        <v>6707</v>
      </c>
      <c r="AF324" t="s">
        <v>74</v>
      </c>
      <c r="AG324">
        <v>42</v>
      </c>
      <c r="AH324">
        <v>8</v>
      </c>
      <c r="AI324">
        <v>11</v>
      </c>
      <c r="AJ324">
        <v>0</v>
      </c>
      <c r="AK324">
        <v>22</v>
      </c>
      <c r="AL324" t="s">
        <v>201</v>
      </c>
      <c r="AM324" t="s">
        <v>93</v>
      </c>
      <c r="AN324" t="s">
        <v>202</v>
      </c>
      <c r="AO324" t="s">
        <v>6708</v>
      </c>
      <c r="AP324" t="s">
        <v>6709</v>
      </c>
      <c r="AQ324" t="s">
        <v>74</v>
      </c>
      <c r="AR324" t="s">
        <v>6710</v>
      </c>
      <c r="AS324" t="s">
        <v>6711</v>
      </c>
      <c r="AT324" t="s">
        <v>4616</v>
      </c>
      <c r="AU324">
        <v>2018</v>
      </c>
      <c r="AV324">
        <v>122</v>
      </c>
      <c r="AW324">
        <v>9</v>
      </c>
      <c r="AX324" t="s">
        <v>74</v>
      </c>
      <c r="AY324" t="s">
        <v>74</v>
      </c>
      <c r="AZ324" t="s">
        <v>74</v>
      </c>
      <c r="BA324" t="s">
        <v>74</v>
      </c>
      <c r="BB324">
        <v>875</v>
      </c>
      <c r="BC324">
        <v>882</v>
      </c>
      <c r="BD324" t="s">
        <v>74</v>
      </c>
      <c r="BE324" t="s">
        <v>6712</v>
      </c>
      <c r="BF324" t="str">
        <f>HYPERLINK("http://dx.doi.org/10.1016/j.funbio.2018.05.002","http://dx.doi.org/10.1016/j.funbio.2018.05.002")</f>
        <v>http://dx.doi.org/10.1016/j.funbio.2018.05.002</v>
      </c>
      <c r="BG324" t="s">
        <v>74</v>
      </c>
      <c r="BH324" t="s">
        <v>74</v>
      </c>
      <c r="BI324">
        <v>8</v>
      </c>
      <c r="BJ324" t="s">
        <v>6713</v>
      </c>
      <c r="BK324" t="s">
        <v>101</v>
      </c>
      <c r="BL324" t="s">
        <v>6713</v>
      </c>
      <c r="BM324" t="s">
        <v>6714</v>
      </c>
      <c r="BN324">
        <v>30115321</v>
      </c>
      <c r="BO324" t="s">
        <v>74</v>
      </c>
      <c r="BP324" t="s">
        <v>74</v>
      </c>
      <c r="BQ324" t="s">
        <v>74</v>
      </c>
      <c r="BR324" t="s">
        <v>104</v>
      </c>
      <c r="BS324" t="s">
        <v>6715</v>
      </c>
      <c r="BT324" t="str">
        <f>HYPERLINK("https%3A%2F%2Fwww.webofscience.com%2Fwos%2Fwoscc%2Ffull-record%2FWOS:000442973600005","View Full Record in Web of Science")</f>
        <v>View Full Record in Web of Science</v>
      </c>
    </row>
    <row r="325" spans="1:72" x14ac:dyDescent="0.15">
      <c r="A325" t="s">
        <v>72</v>
      </c>
      <c r="B325" t="s">
        <v>6716</v>
      </c>
      <c r="C325" t="s">
        <v>74</v>
      </c>
      <c r="D325" t="s">
        <v>74</v>
      </c>
      <c r="E325" t="s">
        <v>74</v>
      </c>
      <c r="F325" t="s">
        <v>6717</v>
      </c>
      <c r="G325" t="s">
        <v>74</v>
      </c>
      <c r="H325" t="s">
        <v>74</v>
      </c>
      <c r="I325" t="s">
        <v>6718</v>
      </c>
      <c r="J325" t="s">
        <v>6719</v>
      </c>
      <c r="K325" t="s">
        <v>74</v>
      </c>
      <c r="L325" t="s">
        <v>74</v>
      </c>
      <c r="M325" t="s">
        <v>78</v>
      </c>
      <c r="N325" t="s">
        <v>79</v>
      </c>
      <c r="O325" t="s">
        <v>74</v>
      </c>
      <c r="P325" t="s">
        <v>74</v>
      </c>
      <c r="Q325" t="s">
        <v>74</v>
      </c>
      <c r="R325" t="s">
        <v>74</v>
      </c>
      <c r="S325" t="s">
        <v>74</v>
      </c>
      <c r="T325" t="s">
        <v>6720</v>
      </c>
      <c r="U325" t="s">
        <v>6721</v>
      </c>
      <c r="V325" t="s">
        <v>6722</v>
      </c>
      <c r="W325" t="s">
        <v>6723</v>
      </c>
      <c r="X325" t="s">
        <v>6724</v>
      </c>
      <c r="Y325" t="s">
        <v>74</v>
      </c>
      <c r="Z325" t="s">
        <v>6725</v>
      </c>
      <c r="AA325" t="s">
        <v>6726</v>
      </c>
      <c r="AB325" t="s">
        <v>6727</v>
      </c>
      <c r="AC325" t="s">
        <v>6728</v>
      </c>
      <c r="AD325" t="s">
        <v>6729</v>
      </c>
      <c r="AE325" t="s">
        <v>6730</v>
      </c>
      <c r="AF325" t="s">
        <v>74</v>
      </c>
      <c r="AG325">
        <v>41</v>
      </c>
      <c r="AH325">
        <v>5</v>
      </c>
      <c r="AI325">
        <v>6</v>
      </c>
      <c r="AJ325">
        <v>1</v>
      </c>
      <c r="AK325">
        <v>14</v>
      </c>
      <c r="AL325" t="s">
        <v>6731</v>
      </c>
      <c r="AM325" t="s">
        <v>6732</v>
      </c>
      <c r="AN325" t="s">
        <v>6733</v>
      </c>
      <c r="AO325" t="s">
        <v>6734</v>
      </c>
      <c r="AP325" t="s">
        <v>6735</v>
      </c>
      <c r="AQ325" t="s">
        <v>74</v>
      </c>
      <c r="AR325" t="s">
        <v>6736</v>
      </c>
      <c r="AS325" t="s">
        <v>6737</v>
      </c>
      <c r="AT325" t="s">
        <v>4616</v>
      </c>
      <c r="AU325">
        <v>2018</v>
      </c>
      <c r="AV325">
        <v>15</v>
      </c>
      <c r="AW325">
        <v>9</v>
      </c>
      <c r="AX325" t="s">
        <v>74</v>
      </c>
      <c r="AY325" t="s">
        <v>74</v>
      </c>
      <c r="AZ325" t="s">
        <v>74</v>
      </c>
      <c r="BA325" t="s">
        <v>74</v>
      </c>
      <c r="BB325">
        <v>1461</v>
      </c>
      <c r="BC325">
        <v>1465</v>
      </c>
      <c r="BD325" t="s">
        <v>74</v>
      </c>
      <c r="BE325" t="s">
        <v>6738</v>
      </c>
      <c r="BF325" t="str">
        <f>HYPERLINK("http://dx.doi.org/10.1109/LGRS.2018.2845342","http://dx.doi.org/10.1109/LGRS.2018.2845342")</f>
        <v>http://dx.doi.org/10.1109/LGRS.2018.2845342</v>
      </c>
      <c r="BG325" t="s">
        <v>74</v>
      </c>
      <c r="BH325" t="s">
        <v>74</v>
      </c>
      <c r="BI325">
        <v>5</v>
      </c>
      <c r="BJ325" t="s">
        <v>6739</v>
      </c>
      <c r="BK325" t="s">
        <v>101</v>
      </c>
      <c r="BL325" t="s">
        <v>6740</v>
      </c>
      <c r="BM325" t="s">
        <v>6741</v>
      </c>
      <c r="BN325" t="s">
        <v>74</v>
      </c>
      <c r="BO325" t="s">
        <v>74</v>
      </c>
      <c r="BP325" t="s">
        <v>74</v>
      </c>
      <c r="BQ325" t="s">
        <v>74</v>
      </c>
      <c r="BR325" t="s">
        <v>104</v>
      </c>
      <c r="BS325" t="s">
        <v>6742</v>
      </c>
      <c r="BT325" t="str">
        <f>HYPERLINK("https%3A%2F%2Fwww.webofscience.com%2Fwos%2Fwoscc%2Ffull-record%2FWOS:000443051700031","View Full Record in Web of Science")</f>
        <v>View Full Record in Web of Science</v>
      </c>
    </row>
    <row r="326" spans="1:72" x14ac:dyDescent="0.15">
      <c r="A326" t="s">
        <v>72</v>
      </c>
      <c r="B326" t="s">
        <v>6743</v>
      </c>
      <c r="C326" t="s">
        <v>74</v>
      </c>
      <c r="D326" t="s">
        <v>74</v>
      </c>
      <c r="E326" t="s">
        <v>74</v>
      </c>
      <c r="F326" t="s">
        <v>6744</v>
      </c>
      <c r="G326" t="s">
        <v>74</v>
      </c>
      <c r="H326" t="s">
        <v>74</v>
      </c>
      <c r="I326" t="s">
        <v>6745</v>
      </c>
      <c r="J326" t="s">
        <v>6746</v>
      </c>
      <c r="K326" t="s">
        <v>74</v>
      </c>
      <c r="L326" t="s">
        <v>74</v>
      </c>
      <c r="M326" t="s">
        <v>78</v>
      </c>
      <c r="N326" t="s">
        <v>79</v>
      </c>
      <c r="O326" t="s">
        <v>74</v>
      </c>
      <c r="P326" t="s">
        <v>74</v>
      </c>
      <c r="Q326" t="s">
        <v>74</v>
      </c>
      <c r="R326" t="s">
        <v>74</v>
      </c>
      <c r="S326" t="s">
        <v>74</v>
      </c>
      <c r="T326" t="s">
        <v>6747</v>
      </c>
      <c r="U326" t="s">
        <v>6748</v>
      </c>
      <c r="V326" t="s">
        <v>6749</v>
      </c>
      <c r="W326" t="s">
        <v>6750</v>
      </c>
      <c r="X326" t="s">
        <v>6751</v>
      </c>
      <c r="Y326" t="s">
        <v>6752</v>
      </c>
      <c r="Z326" t="s">
        <v>6753</v>
      </c>
      <c r="AA326" t="s">
        <v>74</v>
      </c>
      <c r="AB326" t="s">
        <v>74</v>
      </c>
      <c r="AC326" t="s">
        <v>6754</v>
      </c>
      <c r="AD326" t="s">
        <v>2502</v>
      </c>
      <c r="AE326" t="s">
        <v>74</v>
      </c>
      <c r="AF326" t="s">
        <v>74</v>
      </c>
      <c r="AG326">
        <v>77</v>
      </c>
      <c r="AH326">
        <v>9</v>
      </c>
      <c r="AI326">
        <v>10</v>
      </c>
      <c r="AJ326">
        <v>0</v>
      </c>
      <c r="AK326">
        <v>8</v>
      </c>
      <c r="AL326" t="s">
        <v>430</v>
      </c>
      <c r="AM326" t="s">
        <v>286</v>
      </c>
      <c r="AN326" t="s">
        <v>431</v>
      </c>
      <c r="AO326" t="s">
        <v>6755</v>
      </c>
      <c r="AP326" t="s">
        <v>6756</v>
      </c>
      <c r="AQ326" t="s">
        <v>74</v>
      </c>
      <c r="AR326" t="s">
        <v>6757</v>
      </c>
      <c r="AS326" t="s">
        <v>6758</v>
      </c>
      <c r="AT326" t="s">
        <v>4616</v>
      </c>
      <c r="AU326">
        <v>2018</v>
      </c>
      <c r="AV326">
        <v>282</v>
      </c>
      <c r="AW326" t="s">
        <v>74</v>
      </c>
      <c r="AX326" t="s">
        <v>74</v>
      </c>
      <c r="AY326" t="s">
        <v>74</v>
      </c>
      <c r="AZ326" t="s">
        <v>74</v>
      </c>
      <c r="BA326" t="s">
        <v>74</v>
      </c>
      <c r="BB326">
        <v>77</v>
      </c>
      <c r="BC326">
        <v>88</v>
      </c>
      <c r="BD326" t="s">
        <v>74</v>
      </c>
      <c r="BE326" t="s">
        <v>6759</v>
      </c>
      <c r="BF326" t="str">
        <f>HYPERLINK("http://dx.doi.org/10.1016/j.pepi.2018.07.007","http://dx.doi.org/10.1016/j.pepi.2018.07.007")</f>
        <v>http://dx.doi.org/10.1016/j.pepi.2018.07.007</v>
      </c>
      <c r="BG326" t="s">
        <v>74</v>
      </c>
      <c r="BH326" t="s">
        <v>74</v>
      </c>
      <c r="BI326">
        <v>12</v>
      </c>
      <c r="BJ326" t="s">
        <v>484</v>
      </c>
      <c r="BK326" t="s">
        <v>101</v>
      </c>
      <c r="BL326" t="s">
        <v>484</v>
      </c>
      <c r="BM326" t="s">
        <v>6760</v>
      </c>
      <c r="BN326" t="s">
        <v>74</v>
      </c>
      <c r="BO326" t="s">
        <v>211</v>
      </c>
      <c r="BP326" t="s">
        <v>74</v>
      </c>
      <c r="BQ326" t="s">
        <v>74</v>
      </c>
      <c r="BR326" t="s">
        <v>104</v>
      </c>
      <c r="BS326" t="s">
        <v>6761</v>
      </c>
      <c r="BT326" t="str">
        <f>HYPERLINK("https%3A%2F%2Fwww.webofscience.com%2Fwos%2Fwoscc%2Ffull-record%2FWOS:000442977500007","View Full Record in Web of Science")</f>
        <v>View Full Record in Web of Science</v>
      </c>
    </row>
    <row r="327" spans="1:72" x14ac:dyDescent="0.15">
      <c r="A327" t="s">
        <v>72</v>
      </c>
      <c r="B327" t="s">
        <v>6762</v>
      </c>
      <c r="C327" t="s">
        <v>74</v>
      </c>
      <c r="D327" t="s">
        <v>74</v>
      </c>
      <c r="E327" t="s">
        <v>74</v>
      </c>
      <c r="F327" t="s">
        <v>6763</v>
      </c>
      <c r="G327" t="s">
        <v>74</v>
      </c>
      <c r="H327" t="s">
        <v>74</v>
      </c>
      <c r="I327" t="s">
        <v>6764</v>
      </c>
      <c r="J327" t="s">
        <v>2382</v>
      </c>
      <c r="K327" t="s">
        <v>74</v>
      </c>
      <c r="L327" t="s">
        <v>74</v>
      </c>
      <c r="M327" t="s">
        <v>78</v>
      </c>
      <c r="N327" t="s">
        <v>79</v>
      </c>
      <c r="O327" t="s">
        <v>74</v>
      </c>
      <c r="P327" t="s">
        <v>74</v>
      </c>
      <c r="Q327" t="s">
        <v>74</v>
      </c>
      <c r="R327" t="s">
        <v>74</v>
      </c>
      <c r="S327" t="s">
        <v>74</v>
      </c>
      <c r="T327" t="s">
        <v>74</v>
      </c>
      <c r="U327" t="s">
        <v>6765</v>
      </c>
      <c r="V327" t="s">
        <v>6766</v>
      </c>
      <c r="W327" t="s">
        <v>6767</v>
      </c>
      <c r="X327" t="s">
        <v>6768</v>
      </c>
      <c r="Y327" t="s">
        <v>6769</v>
      </c>
      <c r="Z327" t="s">
        <v>74</v>
      </c>
      <c r="AA327" t="s">
        <v>6770</v>
      </c>
      <c r="AB327" t="s">
        <v>6771</v>
      </c>
      <c r="AC327" t="s">
        <v>6772</v>
      </c>
      <c r="AD327" t="s">
        <v>6773</v>
      </c>
      <c r="AE327" t="s">
        <v>6774</v>
      </c>
      <c r="AF327" t="s">
        <v>74</v>
      </c>
      <c r="AG327">
        <v>26</v>
      </c>
      <c r="AH327">
        <v>19</v>
      </c>
      <c r="AI327">
        <v>19</v>
      </c>
      <c r="AJ327">
        <v>0</v>
      </c>
      <c r="AK327">
        <v>11</v>
      </c>
      <c r="AL327" t="s">
        <v>2393</v>
      </c>
      <c r="AM327" t="s">
        <v>2394</v>
      </c>
      <c r="AN327" t="s">
        <v>2395</v>
      </c>
      <c r="AO327" t="s">
        <v>2396</v>
      </c>
      <c r="AP327" t="s">
        <v>2397</v>
      </c>
      <c r="AQ327" t="s">
        <v>74</v>
      </c>
      <c r="AR327" t="s">
        <v>2382</v>
      </c>
      <c r="AS327" t="s">
        <v>183</v>
      </c>
      <c r="AT327" t="s">
        <v>4616</v>
      </c>
      <c r="AU327">
        <v>2018</v>
      </c>
      <c r="AV327">
        <v>46</v>
      </c>
      <c r="AW327">
        <v>9</v>
      </c>
      <c r="AX327" t="s">
        <v>74</v>
      </c>
      <c r="AY327" t="s">
        <v>74</v>
      </c>
      <c r="AZ327" t="s">
        <v>74</v>
      </c>
      <c r="BA327" t="s">
        <v>74</v>
      </c>
      <c r="BB327">
        <v>803</v>
      </c>
      <c r="BC327">
        <v>806</v>
      </c>
      <c r="BD327" t="s">
        <v>74</v>
      </c>
      <c r="BE327" t="s">
        <v>6775</v>
      </c>
      <c r="BF327" t="str">
        <f>HYPERLINK("http://dx.doi.org/10.1130/G45038.1","http://dx.doi.org/10.1130/G45038.1")</f>
        <v>http://dx.doi.org/10.1130/G45038.1</v>
      </c>
      <c r="BG327" t="s">
        <v>74</v>
      </c>
      <c r="BH327" t="s">
        <v>74</v>
      </c>
      <c r="BI327">
        <v>4</v>
      </c>
      <c r="BJ327" t="s">
        <v>183</v>
      </c>
      <c r="BK327" t="s">
        <v>101</v>
      </c>
      <c r="BL327" t="s">
        <v>183</v>
      </c>
      <c r="BM327" t="s">
        <v>5062</v>
      </c>
      <c r="BN327" t="s">
        <v>74</v>
      </c>
      <c r="BO327" t="s">
        <v>1142</v>
      </c>
      <c r="BP327" t="s">
        <v>74</v>
      </c>
      <c r="BQ327" t="s">
        <v>74</v>
      </c>
      <c r="BR327" t="s">
        <v>104</v>
      </c>
      <c r="BS327" t="s">
        <v>6776</v>
      </c>
      <c r="BT327" t="str">
        <f>HYPERLINK("https%3A%2F%2Fwww.webofscience.com%2Fwos%2Fwoscc%2Ffull-record%2FWOS:000442904600019","View Full Record in Web of Science")</f>
        <v>View Full Record in Web of Science</v>
      </c>
    </row>
    <row r="328" spans="1:72" x14ac:dyDescent="0.15">
      <c r="A328" t="s">
        <v>72</v>
      </c>
      <c r="B328" t="s">
        <v>6777</v>
      </c>
      <c r="C328" t="s">
        <v>74</v>
      </c>
      <c r="D328" t="s">
        <v>74</v>
      </c>
      <c r="E328" t="s">
        <v>74</v>
      </c>
      <c r="F328" t="s">
        <v>6778</v>
      </c>
      <c r="G328" t="s">
        <v>74</v>
      </c>
      <c r="H328" t="s">
        <v>74</v>
      </c>
      <c r="I328" t="s">
        <v>6779</v>
      </c>
      <c r="J328" t="s">
        <v>351</v>
      </c>
      <c r="K328" t="s">
        <v>74</v>
      </c>
      <c r="L328" t="s">
        <v>74</v>
      </c>
      <c r="M328" t="s">
        <v>78</v>
      </c>
      <c r="N328" t="s">
        <v>79</v>
      </c>
      <c r="O328" t="s">
        <v>74</v>
      </c>
      <c r="P328" t="s">
        <v>74</v>
      </c>
      <c r="Q328" t="s">
        <v>74</v>
      </c>
      <c r="R328" t="s">
        <v>74</v>
      </c>
      <c r="S328" t="s">
        <v>74</v>
      </c>
      <c r="T328" t="s">
        <v>6780</v>
      </c>
      <c r="U328" t="s">
        <v>6781</v>
      </c>
      <c r="V328" t="s">
        <v>6782</v>
      </c>
      <c r="W328" t="s">
        <v>6783</v>
      </c>
      <c r="X328" t="s">
        <v>6784</v>
      </c>
      <c r="Y328" t="s">
        <v>6785</v>
      </c>
      <c r="Z328" t="s">
        <v>6786</v>
      </c>
      <c r="AA328" t="s">
        <v>6787</v>
      </c>
      <c r="AB328" t="s">
        <v>6788</v>
      </c>
      <c r="AC328" t="s">
        <v>6789</v>
      </c>
      <c r="AD328" t="s">
        <v>6790</v>
      </c>
      <c r="AE328" t="s">
        <v>6791</v>
      </c>
      <c r="AF328" t="s">
        <v>74</v>
      </c>
      <c r="AG328">
        <v>87</v>
      </c>
      <c r="AH328">
        <v>18</v>
      </c>
      <c r="AI328">
        <v>20</v>
      </c>
      <c r="AJ328">
        <v>2</v>
      </c>
      <c r="AK328">
        <v>34</v>
      </c>
      <c r="AL328" t="s">
        <v>337</v>
      </c>
      <c r="AM328" t="s">
        <v>258</v>
      </c>
      <c r="AN328" t="s">
        <v>387</v>
      </c>
      <c r="AO328" t="s">
        <v>363</v>
      </c>
      <c r="AP328" t="s">
        <v>364</v>
      </c>
      <c r="AQ328" t="s">
        <v>74</v>
      </c>
      <c r="AR328" t="s">
        <v>365</v>
      </c>
      <c r="AS328" t="s">
        <v>366</v>
      </c>
      <c r="AT328" t="s">
        <v>4616</v>
      </c>
      <c r="AU328">
        <v>2018</v>
      </c>
      <c r="AV328">
        <v>51</v>
      </c>
      <c r="AW328" t="s">
        <v>4617</v>
      </c>
      <c r="AX328" t="s">
        <v>74</v>
      </c>
      <c r="AY328" t="s">
        <v>74</v>
      </c>
      <c r="AZ328" t="s">
        <v>74</v>
      </c>
      <c r="BA328" t="s">
        <v>74</v>
      </c>
      <c r="BB328">
        <v>1793</v>
      </c>
      <c r="BC328">
        <v>1818</v>
      </c>
      <c r="BD328" t="s">
        <v>74</v>
      </c>
      <c r="BE328" t="s">
        <v>6792</v>
      </c>
      <c r="BF328" t="str">
        <f>HYPERLINK("http://dx.doi.org/10.1007/s00382-017-3983-4","http://dx.doi.org/10.1007/s00382-017-3983-4")</f>
        <v>http://dx.doi.org/10.1007/s00382-017-3983-4</v>
      </c>
      <c r="BG328" t="s">
        <v>74</v>
      </c>
      <c r="BH328" t="s">
        <v>74</v>
      </c>
      <c r="BI328">
        <v>26</v>
      </c>
      <c r="BJ328" t="s">
        <v>369</v>
      </c>
      <c r="BK328" t="s">
        <v>101</v>
      </c>
      <c r="BL328" t="s">
        <v>369</v>
      </c>
      <c r="BM328" t="s">
        <v>4873</v>
      </c>
      <c r="BN328" t="s">
        <v>74</v>
      </c>
      <c r="BO328" t="s">
        <v>74</v>
      </c>
      <c r="BP328" t="s">
        <v>74</v>
      </c>
      <c r="BQ328" t="s">
        <v>74</v>
      </c>
      <c r="BR328" t="s">
        <v>104</v>
      </c>
      <c r="BS328" t="s">
        <v>6793</v>
      </c>
      <c r="BT328" t="str">
        <f>HYPERLINK("https%3A%2F%2Fwww.webofscience.com%2Fwos%2Fwoscc%2Ffull-record%2FWOS:000442433200012","View Full Record in Web of Science")</f>
        <v>View Full Record in Web of Science</v>
      </c>
    </row>
    <row r="329" spans="1:72" x14ac:dyDescent="0.15">
      <c r="A329" t="s">
        <v>72</v>
      </c>
      <c r="B329" t="s">
        <v>6794</v>
      </c>
      <c r="C329" t="s">
        <v>74</v>
      </c>
      <c r="D329" t="s">
        <v>74</v>
      </c>
      <c r="E329" t="s">
        <v>74</v>
      </c>
      <c r="F329" t="s">
        <v>6795</v>
      </c>
      <c r="G329" t="s">
        <v>74</v>
      </c>
      <c r="H329" t="s">
        <v>74</v>
      </c>
      <c r="I329" t="s">
        <v>6796</v>
      </c>
      <c r="J329" t="s">
        <v>6797</v>
      </c>
      <c r="K329" t="s">
        <v>74</v>
      </c>
      <c r="L329" t="s">
        <v>74</v>
      </c>
      <c r="M329" t="s">
        <v>78</v>
      </c>
      <c r="N329" t="s">
        <v>79</v>
      </c>
      <c r="O329" t="s">
        <v>74</v>
      </c>
      <c r="P329" t="s">
        <v>74</v>
      </c>
      <c r="Q329" t="s">
        <v>74</v>
      </c>
      <c r="R329" t="s">
        <v>74</v>
      </c>
      <c r="S329" t="s">
        <v>74</v>
      </c>
      <c r="T329" t="s">
        <v>6798</v>
      </c>
      <c r="U329" t="s">
        <v>6799</v>
      </c>
      <c r="V329" t="s">
        <v>6800</v>
      </c>
      <c r="W329" t="s">
        <v>6801</v>
      </c>
      <c r="X329" t="s">
        <v>6802</v>
      </c>
      <c r="Y329" t="s">
        <v>6803</v>
      </c>
      <c r="Z329" t="s">
        <v>6804</v>
      </c>
      <c r="AA329" t="s">
        <v>74</v>
      </c>
      <c r="AB329" t="s">
        <v>6805</v>
      </c>
      <c r="AC329" t="s">
        <v>6806</v>
      </c>
      <c r="AD329" t="s">
        <v>6807</v>
      </c>
      <c r="AE329" t="s">
        <v>6808</v>
      </c>
      <c r="AF329" t="s">
        <v>74</v>
      </c>
      <c r="AG329">
        <v>53</v>
      </c>
      <c r="AH329">
        <v>11</v>
      </c>
      <c r="AI329">
        <v>14</v>
      </c>
      <c r="AJ329">
        <v>2</v>
      </c>
      <c r="AK329">
        <v>42</v>
      </c>
      <c r="AL329" t="s">
        <v>337</v>
      </c>
      <c r="AM329" t="s">
        <v>258</v>
      </c>
      <c r="AN329" t="s">
        <v>338</v>
      </c>
      <c r="AO329" t="s">
        <v>6809</v>
      </c>
      <c r="AP329" t="s">
        <v>6810</v>
      </c>
      <c r="AQ329" t="s">
        <v>74</v>
      </c>
      <c r="AR329" t="s">
        <v>6811</v>
      </c>
      <c r="AS329" t="s">
        <v>6812</v>
      </c>
      <c r="AT329" t="s">
        <v>4616</v>
      </c>
      <c r="AU329">
        <v>2018</v>
      </c>
      <c r="AV329">
        <v>47</v>
      </c>
      <c r="AW329">
        <v>6</v>
      </c>
      <c r="AX329" t="s">
        <v>74</v>
      </c>
      <c r="AY329" t="s">
        <v>74</v>
      </c>
      <c r="AZ329" t="s">
        <v>74</v>
      </c>
      <c r="BA329" t="s">
        <v>74</v>
      </c>
      <c r="BB329">
        <v>611</v>
      </c>
      <c r="BC329">
        <v>630</v>
      </c>
      <c r="BD329" t="s">
        <v>74</v>
      </c>
      <c r="BE329" t="s">
        <v>6813</v>
      </c>
      <c r="BF329" t="str">
        <f>HYPERLINK("http://dx.doi.org/10.1007/s00249-018-1285-3","http://dx.doi.org/10.1007/s00249-018-1285-3")</f>
        <v>http://dx.doi.org/10.1007/s00249-018-1285-3</v>
      </c>
      <c r="BG329" t="s">
        <v>74</v>
      </c>
      <c r="BH329" t="s">
        <v>74</v>
      </c>
      <c r="BI329">
        <v>20</v>
      </c>
      <c r="BJ329" t="s">
        <v>6814</v>
      </c>
      <c r="BK329" t="s">
        <v>101</v>
      </c>
      <c r="BL329" t="s">
        <v>6814</v>
      </c>
      <c r="BM329" t="s">
        <v>6815</v>
      </c>
      <c r="BN329">
        <v>29487966</v>
      </c>
      <c r="BO329" t="s">
        <v>211</v>
      </c>
      <c r="BP329" t="s">
        <v>74</v>
      </c>
      <c r="BQ329" t="s">
        <v>74</v>
      </c>
      <c r="BR329" t="s">
        <v>104</v>
      </c>
      <c r="BS329" t="s">
        <v>6816</v>
      </c>
      <c r="BT329" t="str">
        <f>HYPERLINK("https%3A%2F%2Fwww.webofscience.com%2Fwos%2Fwoscc%2Ffull-record%2FWOS:000442694800003","View Full Record in Web of Science")</f>
        <v>View Full Record in Web of Science</v>
      </c>
    </row>
    <row r="330" spans="1:72" x14ac:dyDescent="0.15">
      <c r="A330" t="s">
        <v>72</v>
      </c>
      <c r="B330" t="s">
        <v>6817</v>
      </c>
      <c r="C330" t="s">
        <v>74</v>
      </c>
      <c r="D330" t="s">
        <v>74</v>
      </c>
      <c r="E330" t="s">
        <v>74</v>
      </c>
      <c r="F330" t="s">
        <v>6818</v>
      </c>
      <c r="G330" t="s">
        <v>74</v>
      </c>
      <c r="H330" t="s">
        <v>74</v>
      </c>
      <c r="I330" t="s">
        <v>6819</v>
      </c>
      <c r="J330" t="s">
        <v>6820</v>
      </c>
      <c r="K330" t="s">
        <v>74</v>
      </c>
      <c r="L330" t="s">
        <v>74</v>
      </c>
      <c r="M330" t="s">
        <v>78</v>
      </c>
      <c r="N330" t="s">
        <v>79</v>
      </c>
      <c r="O330" t="s">
        <v>74</v>
      </c>
      <c r="P330" t="s">
        <v>74</v>
      </c>
      <c r="Q330" t="s">
        <v>74</v>
      </c>
      <c r="R330" t="s">
        <v>74</v>
      </c>
      <c r="S330" t="s">
        <v>74</v>
      </c>
      <c r="T330" t="s">
        <v>6821</v>
      </c>
      <c r="U330" t="s">
        <v>6822</v>
      </c>
      <c r="V330" t="s">
        <v>6823</v>
      </c>
      <c r="W330" t="s">
        <v>6824</v>
      </c>
      <c r="X330" t="s">
        <v>6825</v>
      </c>
      <c r="Y330" t="s">
        <v>6826</v>
      </c>
      <c r="Z330" t="s">
        <v>6827</v>
      </c>
      <c r="AA330" t="s">
        <v>6828</v>
      </c>
      <c r="AB330" t="s">
        <v>6829</v>
      </c>
      <c r="AC330" t="s">
        <v>6830</v>
      </c>
      <c r="AD330" t="s">
        <v>6831</v>
      </c>
      <c r="AE330" t="s">
        <v>6832</v>
      </c>
      <c r="AF330" t="s">
        <v>74</v>
      </c>
      <c r="AG330">
        <v>97</v>
      </c>
      <c r="AH330">
        <v>20</v>
      </c>
      <c r="AI330">
        <v>21</v>
      </c>
      <c r="AJ330">
        <v>0</v>
      </c>
      <c r="AK330">
        <v>42</v>
      </c>
      <c r="AL330" t="s">
        <v>201</v>
      </c>
      <c r="AM330" t="s">
        <v>93</v>
      </c>
      <c r="AN330" t="s">
        <v>202</v>
      </c>
      <c r="AO330" t="s">
        <v>6833</v>
      </c>
      <c r="AP330" t="s">
        <v>6834</v>
      </c>
      <c r="AQ330" t="s">
        <v>74</v>
      </c>
      <c r="AR330" t="s">
        <v>6835</v>
      </c>
      <c r="AS330" t="s">
        <v>6836</v>
      </c>
      <c r="AT330" t="s">
        <v>4616</v>
      </c>
      <c r="AU330">
        <v>2018</v>
      </c>
      <c r="AV330">
        <v>225</v>
      </c>
      <c r="AW330" t="s">
        <v>74</v>
      </c>
      <c r="AX330" t="s">
        <v>74</v>
      </c>
      <c r="AY330" t="s">
        <v>74</v>
      </c>
      <c r="AZ330" t="s">
        <v>74</v>
      </c>
      <c r="BA330" t="s">
        <v>74</v>
      </c>
      <c r="BB330">
        <v>197</v>
      </c>
      <c r="BC330">
        <v>207</v>
      </c>
      <c r="BD330" t="s">
        <v>74</v>
      </c>
      <c r="BE330" t="s">
        <v>6837</v>
      </c>
      <c r="BF330" t="str">
        <f>HYPERLINK("http://dx.doi.org/10.1016/j.biocon.2018.07.004","http://dx.doi.org/10.1016/j.biocon.2018.07.004")</f>
        <v>http://dx.doi.org/10.1016/j.biocon.2018.07.004</v>
      </c>
      <c r="BG330" t="s">
        <v>74</v>
      </c>
      <c r="BH330" t="s">
        <v>74</v>
      </c>
      <c r="BI330">
        <v>11</v>
      </c>
      <c r="BJ330" t="s">
        <v>2560</v>
      </c>
      <c r="BK330" t="s">
        <v>101</v>
      </c>
      <c r="BL330" t="s">
        <v>1210</v>
      </c>
      <c r="BM330" t="s">
        <v>6838</v>
      </c>
      <c r="BN330" t="s">
        <v>74</v>
      </c>
      <c r="BO330" t="s">
        <v>74</v>
      </c>
      <c r="BP330" t="s">
        <v>74</v>
      </c>
      <c r="BQ330" t="s">
        <v>74</v>
      </c>
      <c r="BR330" t="s">
        <v>104</v>
      </c>
      <c r="BS330" t="s">
        <v>6839</v>
      </c>
      <c r="BT330" t="str">
        <f>HYPERLINK("https%3A%2F%2Fwww.webofscience.com%2Fwos%2Fwoscc%2Ffull-record%2FWOS:000442003900020","View Full Record in Web of Science")</f>
        <v>View Full Record in Web of Science</v>
      </c>
    </row>
    <row r="331" spans="1:72" x14ac:dyDescent="0.15">
      <c r="A331" t="s">
        <v>72</v>
      </c>
      <c r="B331" t="s">
        <v>6840</v>
      </c>
      <c r="C331" t="s">
        <v>74</v>
      </c>
      <c r="D331" t="s">
        <v>74</v>
      </c>
      <c r="E331" t="s">
        <v>74</v>
      </c>
      <c r="F331" t="s">
        <v>6841</v>
      </c>
      <c r="G331" t="s">
        <v>74</v>
      </c>
      <c r="H331" t="s">
        <v>74</v>
      </c>
      <c r="I331" t="s">
        <v>6842</v>
      </c>
      <c r="J331" t="s">
        <v>6843</v>
      </c>
      <c r="K331" t="s">
        <v>74</v>
      </c>
      <c r="L331" t="s">
        <v>74</v>
      </c>
      <c r="M331" t="s">
        <v>78</v>
      </c>
      <c r="N331" t="s">
        <v>79</v>
      </c>
      <c r="O331" t="s">
        <v>74</v>
      </c>
      <c r="P331" t="s">
        <v>74</v>
      </c>
      <c r="Q331" t="s">
        <v>74</v>
      </c>
      <c r="R331" t="s">
        <v>74</v>
      </c>
      <c r="S331" t="s">
        <v>74</v>
      </c>
      <c r="T331" t="s">
        <v>6844</v>
      </c>
      <c r="U331" t="s">
        <v>6845</v>
      </c>
      <c r="V331" t="s">
        <v>6846</v>
      </c>
      <c r="W331" t="s">
        <v>6847</v>
      </c>
      <c r="X331" t="s">
        <v>6848</v>
      </c>
      <c r="Y331" t="s">
        <v>6849</v>
      </c>
      <c r="Z331" t="s">
        <v>6850</v>
      </c>
      <c r="AA331" t="s">
        <v>6851</v>
      </c>
      <c r="AB331" t="s">
        <v>6852</v>
      </c>
      <c r="AC331" t="s">
        <v>6853</v>
      </c>
      <c r="AD331" t="s">
        <v>6854</v>
      </c>
      <c r="AE331" t="s">
        <v>6855</v>
      </c>
      <c r="AF331" t="s">
        <v>74</v>
      </c>
      <c r="AG331">
        <v>35</v>
      </c>
      <c r="AH331">
        <v>4</v>
      </c>
      <c r="AI331">
        <v>7</v>
      </c>
      <c r="AJ331">
        <v>2</v>
      </c>
      <c r="AK331">
        <v>18</v>
      </c>
      <c r="AL331" t="s">
        <v>337</v>
      </c>
      <c r="AM331" t="s">
        <v>258</v>
      </c>
      <c r="AN331" t="s">
        <v>387</v>
      </c>
      <c r="AO331" t="s">
        <v>6856</v>
      </c>
      <c r="AP331" t="s">
        <v>6857</v>
      </c>
      <c r="AQ331" t="s">
        <v>74</v>
      </c>
      <c r="AR331" t="s">
        <v>6858</v>
      </c>
      <c r="AS331" t="s">
        <v>6859</v>
      </c>
      <c r="AT331" t="s">
        <v>4616</v>
      </c>
      <c r="AU331">
        <v>2018</v>
      </c>
      <c r="AV331">
        <v>77</v>
      </c>
      <c r="AW331">
        <v>18</v>
      </c>
      <c r="AX331" t="s">
        <v>74</v>
      </c>
      <c r="AY331" t="s">
        <v>74</v>
      </c>
      <c r="AZ331" t="s">
        <v>74</v>
      </c>
      <c r="BA331" t="s">
        <v>74</v>
      </c>
      <c r="BB331" t="s">
        <v>74</v>
      </c>
      <c r="BC331" t="s">
        <v>74</v>
      </c>
      <c r="BD331">
        <v>637</v>
      </c>
      <c r="BE331" t="s">
        <v>6860</v>
      </c>
      <c r="BF331" t="str">
        <f>HYPERLINK("http://dx.doi.org/10.1007/s12665-018-7818-3","http://dx.doi.org/10.1007/s12665-018-7818-3")</f>
        <v>http://dx.doi.org/10.1007/s12665-018-7818-3</v>
      </c>
      <c r="BG331" t="s">
        <v>74</v>
      </c>
      <c r="BH331" t="s">
        <v>74</v>
      </c>
      <c r="BI331">
        <v>15</v>
      </c>
      <c r="BJ331" t="s">
        <v>6861</v>
      </c>
      <c r="BK331" t="s">
        <v>101</v>
      </c>
      <c r="BL331" t="s">
        <v>6862</v>
      </c>
      <c r="BM331" t="s">
        <v>6863</v>
      </c>
      <c r="BN331" t="s">
        <v>74</v>
      </c>
      <c r="BO331" t="s">
        <v>740</v>
      </c>
      <c r="BP331" t="s">
        <v>74</v>
      </c>
      <c r="BQ331" t="s">
        <v>74</v>
      </c>
      <c r="BR331" t="s">
        <v>104</v>
      </c>
      <c r="BS331" t="s">
        <v>6864</v>
      </c>
      <c r="BT331" t="str">
        <f>HYPERLINK("https%3A%2F%2Fwww.webofscience.com%2Fwos%2Fwoscc%2Ffull-record%2FWOS:000444585100004","View Full Record in Web of Science")</f>
        <v>View Full Record in Web of Science</v>
      </c>
    </row>
    <row r="332" spans="1:72" x14ac:dyDescent="0.15">
      <c r="A332" t="s">
        <v>72</v>
      </c>
      <c r="B332" t="s">
        <v>6865</v>
      </c>
      <c r="C332" t="s">
        <v>74</v>
      </c>
      <c r="D332" t="s">
        <v>74</v>
      </c>
      <c r="E332" t="s">
        <v>74</v>
      </c>
      <c r="F332" t="s">
        <v>6866</v>
      </c>
      <c r="G332" t="s">
        <v>74</v>
      </c>
      <c r="H332" t="s">
        <v>74</v>
      </c>
      <c r="I332" t="s">
        <v>6867</v>
      </c>
      <c r="J332" t="s">
        <v>616</v>
      </c>
      <c r="K332" t="s">
        <v>74</v>
      </c>
      <c r="L332" t="s">
        <v>74</v>
      </c>
      <c r="M332" t="s">
        <v>78</v>
      </c>
      <c r="N332" t="s">
        <v>79</v>
      </c>
      <c r="O332" t="s">
        <v>74</v>
      </c>
      <c r="P332" t="s">
        <v>74</v>
      </c>
      <c r="Q332" t="s">
        <v>74</v>
      </c>
      <c r="R332" t="s">
        <v>74</v>
      </c>
      <c r="S332" t="s">
        <v>74</v>
      </c>
      <c r="T332" t="s">
        <v>6868</v>
      </c>
      <c r="U332" t="s">
        <v>6869</v>
      </c>
      <c r="V332" t="s">
        <v>6870</v>
      </c>
      <c r="W332" t="s">
        <v>6871</v>
      </c>
      <c r="X332" t="s">
        <v>6872</v>
      </c>
      <c r="Y332" t="s">
        <v>6873</v>
      </c>
      <c r="Z332" t="s">
        <v>6874</v>
      </c>
      <c r="AA332" t="s">
        <v>6875</v>
      </c>
      <c r="AB332" t="s">
        <v>6876</v>
      </c>
      <c r="AC332" t="s">
        <v>6877</v>
      </c>
      <c r="AD332" t="s">
        <v>6878</v>
      </c>
      <c r="AE332" t="s">
        <v>6879</v>
      </c>
      <c r="AF332" t="s">
        <v>74</v>
      </c>
      <c r="AG332">
        <v>95</v>
      </c>
      <c r="AH332">
        <v>15</v>
      </c>
      <c r="AI332">
        <v>15</v>
      </c>
      <c r="AJ332">
        <v>1</v>
      </c>
      <c r="AK332">
        <v>32</v>
      </c>
      <c r="AL332" t="s">
        <v>92</v>
      </c>
      <c r="AM332" t="s">
        <v>93</v>
      </c>
      <c r="AN332" t="s">
        <v>94</v>
      </c>
      <c r="AO332" t="s">
        <v>628</v>
      </c>
      <c r="AP332" t="s">
        <v>629</v>
      </c>
      <c r="AQ332" t="s">
        <v>74</v>
      </c>
      <c r="AR332" t="s">
        <v>630</v>
      </c>
      <c r="AS332" t="s">
        <v>631</v>
      </c>
      <c r="AT332" t="s">
        <v>4616</v>
      </c>
      <c r="AU332">
        <v>2018</v>
      </c>
      <c r="AV332">
        <v>94</v>
      </c>
      <c r="AW332">
        <v>9</v>
      </c>
      <c r="AX332" t="s">
        <v>74</v>
      </c>
      <c r="AY332" t="s">
        <v>74</v>
      </c>
      <c r="AZ332" t="s">
        <v>74</v>
      </c>
      <c r="BA332" t="s">
        <v>74</v>
      </c>
      <c r="BB332" t="s">
        <v>74</v>
      </c>
      <c r="BC332" t="s">
        <v>74</v>
      </c>
      <c r="BD332" t="s">
        <v>6880</v>
      </c>
      <c r="BE332" t="s">
        <v>6881</v>
      </c>
      <c r="BF332" t="str">
        <f>HYPERLINK("http://dx.doi.org/10.1093/femsec/fiy129","http://dx.doi.org/10.1093/femsec/fiy129")</f>
        <v>http://dx.doi.org/10.1093/femsec/fiy129</v>
      </c>
      <c r="BG332" t="s">
        <v>74</v>
      </c>
      <c r="BH332" t="s">
        <v>74</v>
      </c>
      <c r="BI332">
        <v>15</v>
      </c>
      <c r="BJ332" t="s">
        <v>344</v>
      </c>
      <c r="BK332" t="s">
        <v>101</v>
      </c>
      <c r="BL332" t="s">
        <v>344</v>
      </c>
      <c r="BM332" t="s">
        <v>6882</v>
      </c>
      <c r="BN332">
        <v>29982398</v>
      </c>
      <c r="BO332" t="s">
        <v>712</v>
      </c>
      <c r="BP332" t="s">
        <v>74</v>
      </c>
      <c r="BQ332" t="s">
        <v>74</v>
      </c>
      <c r="BR332" t="s">
        <v>104</v>
      </c>
      <c r="BS332" t="s">
        <v>6883</v>
      </c>
      <c r="BT332" t="str">
        <f>HYPERLINK("https%3A%2F%2Fwww.webofscience.com%2Fwos%2Fwoscc%2Ffull-record%2FWOS:000442373800011","View Full Record in Web of Science")</f>
        <v>View Full Record in Web of Science</v>
      </c>
    </row>
    <row r="333" spans="1:72" x14ac:dyDescent="0.15">
      <c r="A333" t="s">
        <v>72</v>
      </c>
      <c r="B333" t="s">
        <v>6884</v>
      </c>
      <c r="C333" t="s">
        <v>74</v>
      </c>
      <c r="D333" t="s">
        <v>74</v>
      </c>
      <c r="E333" t="s">
        <v>74</v>
      </c>
      <c r="F333" t="s">
        <v>6885</v>
      </c>
      <c r="G333" t="s">
        <v>74</v>
      </c>
      <c r="H333" t="s">
        <v>74</v>
      </c>
      <c r="I333" t="s">
        <v>6886</v>
      </c>
      <c r="J333" t="s">
        <v>6887</v>
      </c>
      <c r="K333" t="s">
        <v>74</v>
      </c>
      <c r="L333" t="s">
        <v>74</v>
      </c>
      <c r="M333" t="s">
        <v>78</v>
      </c>
      <c r="N333" t="s">
        <v>273</v>
      </c>
      <c r="O333" t="s">
        <v>74</v>
      </c>
      <c r="P333" t="s">
        <v>74</v>
      </c>
      <c r="Q333" t="s">
        <v>74</v>
      </c>
      <c r="R333" t="s">
        <v>74</v>
      </c>
      <c r="S333" t="s">
        <v>74</v>
      </c>
      <c r="T333" t="s">
        <v>6888</v>
      </c>
      <c r="U333" t="s">
        <v>6889</v>
      </c>
      <c r="V333" t="s">
        <v>6890</v>
      </c>
      <c r="W333" t="s">
        <v>6891</v>
      </c>
      <c r="X333" t="s">
        <v>6892</v>
      </c>
      <c r="Y333" t="s">
        <v>6893</v>
      </c>
      <c r="Z333" t="s">
        <v>6894</v>
      </c>
      <c r="AA333" t="s">
        <v>74</v>
      </c>
      <c r="AB333" t="s">
        <v>6895</v>
      </c>
      <c r="AC333" t="s">
        <v>6896</v>
      </c>
      <c r="AD333" t="s">
        <v>6897</v>
      </c>
      <c r="AE333" t="s">
        <v>6898</v>
      </c>
      <c r="AF333" t="s">
        <v>74</v>
      </c>
      <c r="AG333">
        <v>87</v>
      </c>
      <c r="AH333">
        <v>239</v>
      </c>
      <c r="AI333">
        <v>251</v>
      </c>
      <c r="AJ333">
        <v>40</v>
      </c>
      <c r="AK333">
        <v>197</v>
      </c>
      <c r="AL333" t="s">
        <v>201</v>
      </c>
      <c r="AM333" t="s">
        <v>93</v>
      </c>
      <c r="AN333" t="s">
        <v>202</v>
      </c>
      <c r="AO333" t="s">
        <v>6899</v>
      </c>
      <c r="AP333" t="s">
        <v>6900</v>
      </c>
      <c r="AQ333" t="s">
        <v>74</v>
      </c>
      <c r="AR333" t="s">
        <v>6901</v>
      </c>
      <c r="AS333" t="s">
        <v>6902</v>
      </c>
      <c r="AT333" t="s">
        <v>4616</v>
      </c>
      <c r="AU333">
        <v>2018</v>
      </c>
      <c r="AV333">
        <v>53</v>
      </c>
      <c r="AW333" t="s">
        <v>74</v>
      </c>
      <c r="AX333" t="s">
        <v>74</v>
      </c>
      <c r="AY333" t="s">
        <v>74</v>
      </c>
      <c r="AZ333" t="s">
        <v>74</v>
      </c>
      <c r="BA333" t="s">
        <v>74</v>
      </c>
      <c r="BB333">
        <v>210</v>
      </c>
      <c r="BC333">
        <v>218</v>
      </c>
      <c r="BD333" t="s">
        <v>74</v>
      </c>
      <c r="BE333" t="s">
        <v>6903</v>
      </c>
      <c r="BF333" t="str">
        <f>HYPERLINK("http://dx.doi.org/10.1016/j.healthplace.2018.08.017","http://dx.doi.org/10.1016/j.healthplace.2018.08.017")</f>
        <v>http://dx.doi.org/10.1016/j.healthplace.2018.08.017</v>
      </c>
      <c r="BG333" t="s">
        <v>74</v>
      </c>
      <c r="BH333" t="s">
        <v>74</v>
      </c>
      <c r="BI333">
        <v>9</v>
      </c>
      <c r="BJ333" t="s">
        <v>3429</v>
      </c>
      <c r="BK333" t="s">
        <v>1140</v>
      </c>
      <c r="BL333" t="s">
        <v>3429</v>
      </c>
      <c r="BM333" t="s">
        <v>6904</v>
      </c>
      <c r="BN333">
        <v>30189362</v>
      </c>
      <c r="BO333" t="s">
        <v>6905</v>
      </c>
      <c r="BP333" t="s">
        <v>1167</v>
      </c>
      <c r="BQ333" t="s">
        <v>1168</v>
      </c>
      <c r="BR333" t="s">
        <v>104</v>
      </c>
      <c r="BS333" t="s">
        <v>6906</v>
      </c>
      <c r="BT333" t="str">
        <f>HYPERLINK("https%3A%2F%2Fwww.webofscience.com%2Fwos%2Fwoscc%2Ffull-record%2FWOS:000444911700025","View Full Record in Web of Science")</f>
        <v>View Full Record in Web of Science</v>
      </c>
    </row>
    <row r="334" spans="1:72" x14ac:dyDescent="0.15">
      <c r="A334" t="s">
        <v>72</v>
      </c>
      <c r="B334" t="s">
        <v>6907</v>
      </c>
      <c r="C334" t="s">
        <v>74</v>
      </c>
      <c r="D334" t="s">
        <v>74</v>
      </c>
      <c r="E334" t="s">
        <v>74</v>
      </c>
      <c r="F334" t="s">
        <v>6908</v>
      </c>
      <c r="G334" t="s">
        <v>74</v>
      </c>
      <c r="H334" t="s">
        <v>74</v>
      </c>
      <c r="I334" t="s">
        <v>6909</v>
      </c>
      <c r="J334" t="s">
        <v>773</v>
      </c>
      <c r="K334" t="s">
        <v>74</v>
      </c>
      <c r="L334" t="s">
        <v>74</v>
      </c>
      <c r="M334" t="s">
        <v>78</v>
      </c>
      <c r="N334" t="s">
        <v>79</v>
      </c>
      <c r="O334" t="s">
        <v>74</v>
      </c>
      <c r="P334" t="s">
        <v>74</v>
      </c>
      <c r="Q334" t="s">
        <v>74</v>
      </c>
      <c r="R334" t="s">
        <v>74</v>
      </c>
      <c r="S334" t="s">
        <v>74</v>
      </c>
      <c r="T334" t="s">
        <v>6910</v>
      </c>
      <c r="U334" t="s">
        <v>6911</v>
      </c>
      <c r="V334" t="s">
        <v>6912</v>
      </c>
      <c r="W334" t="s">
        <v>6913</v>
      </c>
      <c r="X334" t="s">
        <v>6914</v>
      </c>
      <c r="Y334" t="s">
        <v>6915</v>
      </c>
      <c r="Z334" t="s">
        <v>6916</v>
      </c>
      <c r="AA334" t="s">
        <v>6917</v>
      </c>
      <c r="AB334" t="s">
        <v>6918</v>
      </c>
      <c r="AC334" t="s">
        <v>6919</v>
      </c>
      <c r="AD334" t="s">
        <v>6920</v>
      </c>
      <c r="AE334" t="s">
        <v>6921</v>
      </c>
      <c r="AF334" t="s">
        <v>74</v>
      </c>
      <c r="AG334">
        <v>26</v>
      </c>
      <c r="AH334">
        <v>61</v>
      </c>
      <c r="AI334">
        <v>65</v>
      </c>
      <c r="AJ334">
        <v>3</v>
      </c>
      <c r="AK334">
        <v>21</v>
      </c>
      <c r="AL334" t="s">
        <v>785</v>
      </c>
      <c r="AM334" t="s">
        <v>786</v>
      </c>
      <c r="AN334" t="s">
        <v>787</v>
      </c>
      <c r="AO334" t="s">
        <v>788</v>
      </c>
      <c r="AP334" t="s">
        <v>789</v>
      </c>
      <c r="AQ334" t="s">
        <v>74</v>
      </c>
      <c r="AR334" t="s">
        <v>790</v>
      </c>
      <c r="AS334" t="s">
        <v>791</v>
      </c>
      <c r="AT334" t="s">
        <v>4616</v>
      </c>
      <c r="AU334">
        <v>2018</v>
      </c>
      <c r="AV334">
        <v>31</v>
      </c>
      <c r="AW334">
        <v>18</v>
      </c>
      <c r="AX334" t="s">
        <v>74</v>
      </c>
      <c r="AY334" t="s">
        <v>74</v>
      </c>
      <c r="AZ334" t="s">
        <v>74</v>
      </c>
      <c r="BA334" t="s">
        <v>74</v>
      </c>
      <c r="BB334">
        <v>7565</v>
      </c>
      <c r="BC334">
        <v>7581</v>
      </c>
      <c r="BD334" t="s">
        <v>74</v>
      </c>
      <c r="BE334" t="s">
        <v>6922</v>
      </c>
      <c r="BF334" t="str">
        <f>HYPERLINK("http://dx.doi.org/10.1175/JCLI-D-18-0108.1","http://dx.doi.org/10.1175/JCLI-D-18-0108.1")</f>
        <v>http://dx.doi.org/10.1175/JCLI-D-18-0108.1</v>
      </c>
      <c r="BG334" t="s">
        <v>74</v>
      </c>
      <c r="BH334" t="s">
        <v>74</v>
      </c>
      <c r="BI334">
        <v>17</v>
      </c>
      <c r="BJ334" t="s">
        <v>369</v>
      </c>
      <c r="BK334" t="s">
        <v>101</v>
      </c>
      <c r="BL334" t="s">
        <v>369</v>
      </c>
      <c r="BM334" t="s">
        <v>6923</v>
      </c>
      <c r="BN334" t="s">
        <v>74</v>
      </c>
      <c r="BO334" t="s">
        <v>6924</v>
      </c>
      <c r="BP334" t="s">
        <v>74</v>
      </c>
      <c r="BQ334" t="s">
        <v>74</v>
      </c>
      <c r="BR334" t="s">
        <v>104</v>
      </c>
      <c r="BS334" t="s">
        <v>6925</v>
      </c>
      <c r="BT334" t="str">
        <f>HYPERLINK("https%3A%2F%2Fwww.webofscience.com%2Fwos%2Fwoscc%2Ffull-record%2FWOS:000440982200002","View Full Record in Web of Science")</f>
        <v>View Full Record in Web of Science</v>
      </c>
    </row>
    <row r="335" spans="1:72" x14ac:dyDescent="0.15">
      <c r="A335" t="s">
        <v>72</v>
      </c>
      <c r="B335" t="s">
        <v>6926</v>
      </c>
      <c r="C335" t="s">
        <v>74</v>
      </c>
      <c r="D335" t="s">
        <v>74</v>
      </c>
      <c r="E335" t="s">
        <v>74</v>
      </c>
      <c r="F335" t="s">
        <v>6927</v>
      </c>
      <c r="G335" t="s">
        <v>74</v>
      </c>
      <c r="H335" t="s">
        <v>74</v>
      </c>
      <c r="I335" t="s">
        <v>6928</v>
      </c>
      <c r="J335" t="s">
        <v>773</v>
      </c>
      <c r="K335" t="s">
        <v>74</v>
      </c>
      <c r="L335" t="s">
        <v>74</v>
      </c>
      <c r="M335" t="s">
        <v>78</v>
      </c>
      <c r="N335" t="s">
        <v>79</v>
      </c>
      <c r="O335" t="s">
        <v>74</v>
      </c>
      <c r="P335" t="s">
        <v>74</v>
      </c>
      <c r="Q335" t="s">
        <v>74</v>
      </c>
      <c r="R335" t="s">
        <v>74</v>
      </c>
      <c r="S335" t="s">
        <v>74</v>
      </c>
      <c r="T335" t="s">
        <v>6929</v>
      </c>
      <c r="U335" t="s">
        <v>6930</v>
      </c>
      <c r="V335" t="s">
        <v>6931</v>
      </c>
      <c r="W335" t="s">
        <v>6932</v>
      </c>
      <c r="X335" t="s">
        <v>6933</v>
      </c>
      <c r="Y335" t="s">
        <v>6934</v>
      </c>
      <c r="Z335" t="s">
        <v>6935</v>
      </c>
      <c r="AA335" t="s">
        <v>6936</v>
      </c>
      <c r="AB335" t="s">
        <v>6937</v>
      </c>
      <c r="AC335" t="s">
        <v>6938</v>
      </c>
      <c r="AD335" t="s">
        <v>6939</v>
      </c>
      <c r="AE335" t="s">
        <v>6940</v>
      </c>
      <c r="AF335" t="s">
        <v>74</v>
      </c>
      <c r="AG335">
        <v>75</v>
      </c>
      <c r="AH335">
        <v>8</v>
      </c>
      <c r="AI335">
        <v>8</v>
      </c>
      <c r="AJ335">
        <v>2</v>
      </c>
      <c r="AK335">
        <v>31</v>
      </c>
      <c r="AL335" t="s">
        <v>785</v>
      </c>
      <c r="AM335" t="s">
        <v>786</v>
      </c>
      <c r="AN335" t="s">
        <v>787</v>
      </c>
      <c r="AO335" t="s">
        <v>788</v>
      </c>
      <c r="AP335" t="s">
        <v>789</v>
      </c>
      <c r="AQ335" t="s">
        <v>74</v>
      </c>
      <c r="AR335" t="s">
        <v>790</v>
      </c>
      <c r="AS335" t="s">
        <v>791</v>
      </c>
      <c r="AT335" t="s">
        <v>4616</v>
      </c>
      <c r="AU335">
        <v>2018</v>
      </c>
      <c r="AV335">
        <v>31</v>
      </c>
      <c r="AW335">
        <v>18</v>
      </c>
      <c r="AX335" t="s">
        <v>74</v>
      </c>
      <c r="AY335" t="s">
        <v>74</v>
      </c>
      <c r="AZ335" t="s">
        <v>74</v>
      </c>
      <c r="BA335" t="s">
        <v>74</v>
      </c>
      <c r="BB335">
        <v>7599</v>
      </c>
      <c r="BC335">
        <v>7619</v>
      </c>
      <c r="BD335" t="s">
        <v>74</v>
      </c>
      <c r="BE335" t="s">
        <v>6941</v>
      </c>
      <c r="BF335" t="str">
        <f>HYPERLINK("http://dx.doi.org/10.1175/JCLI-D-17-0817.1","http://dx.doi.org/10.1175/JCLI-D-17-0817.1")</f>
        <v>http://dx.doi.org/10.1175/JCLI-D-17-0817.1</v>
      </c>
      <c r="BG335" t="s">
        <v>74</v>
      </c>
      <c r="BH335" t="s">
        <v>74</v>
      </c>
      <c r="BI335">
        <v>21</v>
      </c>
      <c r="BJ335" t="s">
        <v>369</v>
      </c>
      <c r="BK335" t="s">
        <v>101</v>
      </c>
      <c r="BL335" t="s">
        <v>369</v>
      </c>
      <c r="BM335" t="s">
        <v>6923</v>
      </c>
      <c r="BN335" t="s">
        <v>74</v>
      </c>
      <c r="BO335" t="s">
        <v>486</v>
      </c>
      <c r="BP335" t="s">
        <v>74</v>
      </c>
      <c r="BQ335" t="s">
        <v>74</v>
      </c>
      <c r="BR335" t="s">
        <v>104</v>
      </c>
      <c r="BS335" t="s">
        <v>6942</v>
      </c>
      <c r="BT335" t="str">
        <f>HYPERLINK("https%3A%2F%2Fwww.webofscience.com%2Fwos%2Fwoscc%2Ffull-record%2FWOS:000440982200004","View Full Record in Web of Science")</f>
        <v>View Full Record in Web of Science</v>
      </c>
    </row>
    <row r="336" spans="1:72" x14ac:dyDescent="0.15">
      <c r="A336" t="s">
        <v>72</v>
      </c>
      <c r="B336" t="s">
        <v>6943</v>
      </c>
      <c r="C336" t="s">
        <v>74</v>
      </c>
      <c r="D336" t="s">
        <v>74</v>
      </c>
      <c r="E336" t="s">
        <v>74</v>
      </c>
      <c r="F336" t="s">
        <v>6944</v>
      </c>
      <c r="G336" t="s">
        <v>74</v>
      </c>
      <c r="H336" t="s">
        <v>74</v>
      </c>
      <c r="I336" t="s">
        <v>6945</v>
      </c>
      <c r="J336" t="s">
        <v>5264</v>
      </c>
      <c r="K336" t="s">
        <v>74</v>
      </c>
      <c r="L336" t="s">
        <v>74</v>
      </c>
      <c r="M336" t="s">
        <v>78</v>
      </c>
      <c r="N336" t="s">
        <v>79</v>
      </c>
      <c r="O336" t="s">
        <v>74</v>
      </c>
      <c r="P336" t="s">
        <v>74</v>
      </c>
      <c r="Q336" t="s">
        <v>74</v>
      </c>
      <c r="R336" t="s">
        <v>74</v>
      </c>
      <c r="S336" t="s">
        <v>74</v>
      </c>
      <c r="T336" t="s">
        <v>6946</v>
      </c>
      <c r="U336" t="s">
        <v>6947</v>
      </c>
      <c r="V336" t="s">
        <v>6948</v>
      </c>
      <c r="W336" t="s">
        <v>6949</v>
      </c>
      <c r="X336" t="s">
        <v>6950</v>
      </c>
      <c r="Y336" t="s">
        <v>6951</v>
      </c>
      <c r="Z336" t="s">
        <v>6952</v>
      </c>
      <c r="AA336" t="s">
        <v>6953</v>
      </c>
      <c r="AB336" t="s">
        <v>6954</v>
      </c>
      <c r="AC336" t="s">
        <v>6955</v>
      </c>
      <c r="AD336" t="s">
        <v>6956</v>
      </c>
      <c r="AE336" t="s">
        <v>6957</v>
      </c>
      <c r="AF336" t="s">
        <v>74</v>
      </c>
      <c r="AG336">
        <v>134</v>
      </c>
      <c r="AH336">
        <v>67</v>
      </c>
      <c r="AI336">
        <v>71</v>
      </c>
      <c r="AJ336">
        <v>2</v>
      </c>
      <c r="AK336">
        <v>25</v>
      </c>
      <c r="AL336" t="s">
        <v>503</v>
      </c>
      <c r="AM336" t="s">
        <v>504</v>
      </c>
      <c r="AN336" t="s">
        <v>505</v>
      </c>
      <c r="AO336" t="s">
        <v>5277</v>
      </c>
      <c r="AP336" t="s">
        <v>5278</v>
      </c>
      <c r="AQ336" t="s">
        <v>74</v>
      </c>
      <c r="AR336" t="s">
        <v>5279</v>
      </c>
      <c r="AS336" t="s">
        <v>5280</v>
      </c>
      <c r="AT336" t="s">
        <v>4616</v>
      </c>
      <c r="AU336">
        <v>2018</v>
      </c>
      <c r="AV336">
        <v>123</v>
      </c>
      <c r="AW336">
        <v>9</v>
      </c>
      <c r="AX336" t="s">
        <v>74</v>
      </c>
      <c r="AY336" t="s">
        <v>74</v>
      </c>
      <c r="AZ336" t="s">
        <v>74</v>
      </c>
      <c r="BA336" t="s">
        <v>74</v>
      </c>
      <c r="BB336">
        <v>7824</v>
      </c>
      <c r="BC336">
        <v>7849</v>
      </c>
      <c r="BD336" t="s">
        <v>74</v>
      </c>
      <c r="BE336" t="s">
        <v>6958</v>
      </c>
      <c r="BF336" t="str">
        <f>HYPERLINK("http://dx.doi.org/10.1029/2017JB015346","http://dx.doi.org/10.1029/2017JB015346")</f>
        <v>http://dx.doi.org/10.1029/2017JB015346</v>
      </c>
      <c r="BG336" t="s">
        <v>74</v>
      </c>
      <c r="BH336" t="s">
        <v>74</v>
      </c>
      <c r="BI336">
        <v>26</v>
      </c>
      <c r="BJ336" t="s">
        <v>484</v>
      </c>
      <c r="BK336" t="s">
        <v>101</v>
      </c>
      <c r="BL336" t="s">
        <v>484</v>
      </c>
      <c r="BM336" t="s">
        <v>5282</v>
      </c>
      <c r="BN336" t="s">
        <v>74</v>
      </c>
      <c r="BO336" t="s">
        <v>835</v>
      </c>
      <c r="BP336" t="s">
        <v>74</v>
      </c>
      <c r="BQ336" t="s">
        <v>74</v>
      </c>
      <c r="BR336" t="s">
        <v>104</v>
      </c>
      <c r="BS336" t="s">
        <v>6959</v>
      </c>
      <c r="BT336" t="str">
        <f>HYPERLINK("https%3A%2F%2Fwww.webofscience.com%2Fwos%2Fwoscc%2Ffull-record%2FWOS:000447858800036","View Full Record in Web of Science")</f>
        <v>View Full Record in Web of Science</v>
      </c>
    </row>
    <row r="337" spans="1:72" x14ac:dyDescent="0.15">
      <c r="A337" t="s">
        <v>72</v>
      </c>
      <c r="B337" t="s">
        <v>6960</v>
      </c>
      <c r="C337" t="s">
        <v>74</v>
      </c>
      <c r="D337" t="s">
        <v>74</v>
      </c>
      <c r="E337" t="s">
        <v>74</v>
      </c>
      <c r="F337" t="s">
        <v>6961</v>
      </c>
      <c r="G337" t="s">
        <v>74</v>
      </c>
      <c r="H337" t="s">
        <v>74</v>
      </c>
      <c r="I337" t="s">
        <v>6962</v>
      </c>
      <c r="J337" t="s">
        <v>6963</v>
      </c>
      <c r="K337" t="s">
        <v>74</v>
      </c>
      <c r="L337" t="s">
        <v>74</v>
      </c>
      <c r="M337" t="s">
        <v>78</v>
      </c>
      <c r="N337" t="s">
        <v>79</v>
      </c>
      <c r="O337" t="s">
        <v>74</v>
      </c>
      <c r="P337" t="s">
        <v>74</v>
      </c>
      <c r="Q337" t="s">
        <v>74</v>
      </c>
      <c r="R337" t="s">
        <v>74</v>
      </c>
      <c r="S337" t="s">
        <v>74</v>
      </c>
      <c r="T337" t="s">
        <v>6964</v>
      </c>
      <c r="U337" t="s">
        <v>74</v>
      </c>
      <c r="V337" t="s">
        <v>6965</v>
      </c>
      <c r="W337" t="s">
        <v>6966</v>
      </c>
      <c r="X337" t="s">
        <v>6967</v>
      </c>
      <c r="Y337" t="s">
        <v>6968</v>
      </c>
      <c r="Z337" t="s">
        <v>6969</v>
      </c>
      <c r="AA337" t="s">
        <v>74</v>
      </c>
      <c r="AB337" t="s">
        <v>6970</v>
      </c>
      <c r="AC337" t="s">
        <v>6971</v>
      </c>
      <c r="AD337" t="s">
        <v>6972</v>
      </c>
      <c r="AE337" t="s">
        <v>6973</v>
      </c>
      <c r="AF337" t="s">
        <v>74</v>
      </c>
      <c r="AG337">
        <v>37</v>
      </c>
      <c r="AH337">
        <v>9</v>
      </c>
      <c r="AI337">
        <v>13</v>
      </c>
      <c r="AJ337">
        <v>0</v>
      </c>
      <c r="AK337">
        <v>4</v>
      </c>
      <c r="AL337" t="s">
        <v>1053</v>
      </c>
      <c r="AM337" t="s">
        <v>1054</v>
      </c>
      <c r="AN337" t="s">
        <v>1055</v>
      </c>
      <c r="AO337" t="s">
        <v>74</v>
      </c>
      <c r="AP337" t="s">
        <v>6974</v>
      </c>
      <c r="AQ337" t="s">
        <v>74</v>
      </c>
      <c r="AR337" t="s">
        <v>6963</v>
      </c>
      <c r="AS337" t="s">
        <v>6975</v>
      </c>
      <c r="AT337" t="s">
        <v>4616</v>
      </c>
      <c r="AU337">
        <v>2018</v>
      </c>
      <c r="AV337">
        <v>8</v>
      </c>
      <c r="AW337">
        <v>3</v>
      </c>
      <c r="AX337" t="s">
        <v>74</v>
      </c>
      <c r="AY337" t="s">
        <v>74</v>
      </c>
      <c r="AZ337" t="s">
        <v>74</v>
      </c>
      <c r="BA337" t="s">
        <v>74</v>
      </c>
      <c r="BB337" t="s">
        <v>74</v>
      </c>
      <c r="BC337" t="s">
        <v>74</v>
      </c>
      <c r="BD337">
        <v>37</v>
      </c>
      <c r="BE337" t="s">
        <v>6976</v>
      </c>
      <c r="BF337" t="str">
        <f>HYPERLINK("http://dx.doi.org/10.3390/life8030037","http://dx.doi.org/10.3390/life8030037")</f>
        <v>http://dx.doi.org/10.3390/life8030037</v>
      </c>
      <c r="BG337" t="s">
        <v>74</v>
      </c>
      <c r="BH337" t="s">
        <v>74</v>
      </c>
      <c r="BI337">
        <v>10</v>
      </c>
      <c r="BJ337" t="s">
        <v>6977</v>
      </c>
      <c r="BK337" t="s">
        <v>101</v>
      </c>
      <c r="BL337" t="s">
        <v>6978</v>
      </c>
      <c r="BM337" t="s">
        <v>6979</v>
      </c>
      <c r="BN337">
        <v>30200614</v>
      </c>
      <c r="BO337" t="s">
        <v>239</v>
      </c>
      <c r="BP337" t="s">
        <v>74</v>
      </c>
      <c r="BQ337" t="s">
        <v>74</v>
      </c>
      <c r="BR337" t="s">
        <v>104</v>
      </c>
      <c r="BS337" t="s">
        <v>6980</v>
      </c>
      <c r="BT337" t="str">
        <f>HYPERLINK("https%3A%2F%2Fwww.webofscience.com%2Fwos%2Fwoscc%2Ffull-record%2FWOS:000447932000013","View Full Record in Web of Science")</f>
        <v>View Full Record in Web of Science</v>
      </c>
    </row>
    <row r="338" spans="1:72" x14ac:dyDescent="0.15">
      <c r="A338" t="s">
        <v>72</v>
      </c>
      <c r="B338" t="s">
        <v>6981</v>
      </c>
      <c r="C338" t="s">
        <v>74</v>
      </c>
      <c r="D338" t="s">
        <v>74</v>
      </c>
      <c r="E338" t="s">
        <v>74</v>
      </c>
      <c r="F338" t="s">
        <v>6982</v>
      </c>
      <c r="G338" t="s">
        <v>74</v>
      </c>
      <c r="H338" t="s">
        <v>74</v>
      </c>
      <c r="I338" t="s">
        <v>6983</v>
      </c>
      <c r="J338" t="s">
        <v>6963</v>
      </c>
      <c r="K338" t="s">
        <v>74</v>
      </c>
      <c r="L338" t="s">
        <v>74</v>
      </c>
      <c r="M338" t="s">
        <v>78</v>
      </c>
      <c r="N338" t="s">
        <v>79</v>
      </c>
      <c r="O338" t="s">
        <v>74</v>
      </c>
      <c r="P338" t="s">
        <v>74</v>
      </c>
      <c r="Q338" t="s">
        <v>74</v>
      </c>
      <c r="R338" t="s">
        <v>74</v>
      </c>
      <c r="S338" t="s">
        <v>74</v>
      </c>
      <c r="T338" t="s">
        <v>6984</v>
      </c>
      <c r="U338" t="s">
        <v>6985</v>
      </c>
      <c r="V338" t="s">
        <v>6986</v>
      </c>
      <c r="W338" t="s">
        <v>6987</v>
      </c>
      <c r="X338" t="s">
        <v>6988</v>
      </c>
      <c r="Y338" t="s">
        <v>6989</v>
      </c>
      <c r="Z338" t="s">
        <v>6990</v>
      </c>
      <c r="AA338" t="s">
        <v>6991</v>
      </c>
      <c r="AB338" t="s">
        <v>6992</v>
      </c>
      <c r="AC338" t="s">
        <v>6993</v>
      </c>
      <c r="AD338" t="s">
        <v>6994</v>
      </c>
      <c r="AE338" t="s">
        <v>6995</v>
      </c>
      <c r="AF338" t="s">
        <v>74</v>
      </c>
      <c r="AG338">
        <v>91</v>
      </c>
      <c r="AH338">
        <v>20</v>
      </c>
      <c r="AI338">
        <v>22</v>
      </c>
      <c r="AJ338">
        <v>7</v>
      </c>
      <c r="AK338">
        <v>24</v>
      </c>
      <c r="AL338" t="s">
        <v>1053</v>
      </c>
      <c r="AM338" t="s">
        <v>1054</v>
      </c>
      <c r="AN338" t="s">
        <v>1055</v>
      </c>
      <c r="AO338" t="s">
        <v>74</v>
      </c>
      <c r="AP338" t="s">
        <v>6974</v>
      </c>
      <c r="AQ338" t="s">
        <v>74</v>
      </c>
      <c r="AR338" t="s">
        <v>6963</v>
      </c>
      <c r="AS338" t="s">
        <v>6975</v>
      </c>
      <c r="AT338" t="s">
        <v>4616</v>
      </c>
      <c r="AU338">
        <v>2018</v>
      </c>
      <c r="AV338">
        <v>8</v>
      </c>
      <c r="AW338">
        <v>3</v>
      </c>
      <c r="AX338" t="s">
        <v>74</v>
      </c>
      <c r="AY338" t="s">
        <v>74</v>
      </c>
      <c r="AZ338" t="s">
        <v>74</v>
      </c>
      <c r="BA338" t="s">
        <v>74</v>
      </c>
      <c r="BB338" t="s">
        <v>74</v>
      </c>
      <c r="BC338" t="s">
        <v>74</v>
      </c>
      <c r="BD338">
        <v>29</v>
      </c>
      <c r="BE338" t="s">
        <v>6996</v>
      </c>
      <c r="BF338" t="str">
        <f>HYPERLINK("http://dx.doi.org/10.3390/life8030029","http://dx.doi.org/10.3390/life8030029")</f>
        <v>http://dx.doi.org/10.3390/life8030029</v>
      </c>
      <c r="BG338" t="s">
        <v>74</v>
      </c>
      <c r="BH338" t="s">
        <v>74</v>
      </c>
      <c r="BI338">
        <v>18</v>
      </c>
      <c r="BJ338" t="s">
        <v>6977</v>
      </c>
      <c r="BK338" t="s">
        <v>101</v>
      </c>
      <c r="BL338" t="s">
        <v>6978</v>
      </c>
      <c r="BM338" t="s">
        <v>6979</v>
      </c>
      <c r="BN338">
        <v>29997353</v>
      </c>
      <c r="BO338" t="s">
        <v>239</v>
      </c>
      <c r="BP338" t="s">
        <v>74</v>
      </c>
      <c r="BQ338" t="s">
        <v>74</v>
      </c>
      <c r="BR338" t="s">
        <v>104</v>
      </c>
      <c r="BS338" t="s">
        <v>6997</v>
      </c>
      <c r="BT338" t="str">
        <f>HYPERLINK("https%3A%2F%2Fwww.webofscience.com%2Fwos%2Fwoscc%2Ffull-record%2FWOS:000447932000005","View Full Record in Web of Science")</f>
        <v>View Full Record in Web of Science</v>
      </c>
    </row>
    <row r="339" spans="1:72" x14ac:dyDescent="0.15">
      <c r="A339" t="s">
        <v>72</v>
      </c>
      <c r="B339" t="s">
        <v>6998</v>
      </c>
      <c r="C339" t="s">
        <v>74</v>
      </c>
      <c r="D339" t="s">
        <v>74</v>
      </c>
      <c r="E339" t="s">
        <v>74</v>
      </c>
      <c r="F339" t="s">
        <v>6999</v>
      </c>
      <c r="G339" t="s">
        <v>74</v>
      </c>
      <c r="H339" t="s">
        <v>74</v>
      </c>
      <c r="I339" t="s">
        <v>7000</v>
      </c>
      <c r="J339" t="s">
        <v>6963</v>
      </c>
      <c r="K339" t="s">
        <v>74</v>
      </c>
      <c r="L339" t="s">
        <v>74</v>
      </c>
      <c r="M339" t="s">
        <v>78</v>
      </c>
      <c r="N339" t="s">
        <v>79</v>
      </c>
      <c r="O339" t="s">
        <v>74</v>
      </c>
      <c r="P339" t="s">
        <v>74</v>
      </c>
      <c r="Q339" t="s">
        <v>74</v>
      </c>
      <c r="R339" t="s">
        <v>74</v>
      </c>
      <c r="S339" t="s">
        <v>74</v>
      </c>
      <c r="T339" t="s">
        <v>7001</v>
      </c>
      <c r="U339" t="s">
        <v>7002</v>
      </c>
      <c r="V339" t="s">
        <v>7003</v>
      </c>
      <c r="W339" t="s">
        <v>7004</v>
      </c>
      <c r="X339" t="s">
        <v>7005</v>
      </c>
      <c r="Y339" t="s">
        <v>7006</v>
      </c>
      <c r="Z339" t="s">
        <v>7007</v>
      </c>
      <c r="AA339" t="s">
        <v>7008</v>
      </c>
      <c r="AB339" t="s">
        <v>7009</v>
      </c>
      <c r="AC339" t="s">
        <v>7010</v>
      </c>
      <c r="AD339" t="s">
        <v>7011</v>
      </c>
      <c r="AE339" t="s">
        <v>7012</v>
      </c>
      <c r="AF339" t="s">
        <v>74</v>
      </c>
      <c r="AG339">
        <v>37</v>
      </c>
      <c r="AH339">
        <v>19</v>
      </c>
      <c r="AI339">
        <v>20</v>
      </c>
      <c r="AJ339">
        <v>1</v>
      </c>
      <c r="AK339">
        <v>8</v>
      </c>
      <c r="AL339" t="s">
        <v>1053</v>
      </c>
      <c r="AM339" t="s">
        <v>1054</v>
      </c>
      <c r="AN339" t="s">
        <v>1055</v>
      </c>
      <c r="AO339" t="s">
        <v>74</v>
      </c>
      <c r="AP339" t="s">
        <v>6974</v>
      </c>
      <c r="AQ339" t="s">
        <v>74</v>
      </c>
      <c r="AR339" t="s">
        <v>6963</v>
      </c>
      <c r="AS339" t="s">
        <v>6975</v>
      </c>
      <c r="AT339" t="s">
        <v>4616</v>
      </c>
      <c r="AU339">
        <v>2018</v>
      </c>
      <c r="AV339">
        <v>8</v>
      </c>
      <c r="AW339">
        <v>3</v>
      </c>
      <c r="AX339" t="s">
        <v>74</v>
      </c>
      <c r="AY339" t="s">
        <v>74</v>
      </c>
      <c r="AZ339" t="s">
        <v>74</v>
      </c>
      <c r="BA339" t="s">
        <v>74</v>
      </c>
      <c r="BB339" t="s">
        <v>74</v>
      </c>
      <c r="BC339" t="s">
        <v>74</v>
      </c>
      <c r="BD339">
        <v>30</v>
      </c>
      <c r="BE339" t="s">
        <v>7013</v>
      </c>
      <c r="BF339" t="str">
        <f>HYPERLINK("http://dx.doi.org/10.3390/life8030030","http://dx.doi.org/10.3390/life8030030")</f>
        <v>http://dx.doi.org/10.3390/life8030030</v>
      </c>
      <c r="BG339" t="s">
        <v>74</v>
      </c>
      <c r="BH339" t="s">
        <v>74</v>
      </c>
      <c r="BI339">
        <v>14</v>
      </c>
      <c r="BJ339" t="s">
        <v>6977</v>
      </c>
      <c r="BK339" t="s">
        <v>101</v>
      </c>
      <c r="BL339" t="s">
        <v>6978</v>
      </c>
      <c r="BM339" t="s">
        <v>6979</v>
      </c>
      <c r="BN339">
        <v>30011950</v>
      </c>
      <c r="BO339" t="s">
        <v>4168</v>
      </c>
      <c r="BP339" t="s">
        <v>74</v>
      </c>
      <c r="BQ339" t="s">
        <v>74</v>
      </c>
      <c r="BR339" t="s">
        <v>104</v>
      </c>
      <c r="BS339" t="s">
        <v>7014</v>
      </c>
      <c r="BT339" t="str">
        <f>HYPERLINK("https%3A%2F%2Fwww.webofscience.com%2Fwos%2Fwoscc%2Ffull-record%2FWOS:000447932000006","View Full Record in Web of Science")</f>
        <v>View Full Record in Web of Science</v>
      </c>
    </row>
    <row r="340" spans="1:72" x14ac:dyDescent="0.15">
      <c r="A340" t="s">
        <v>72</v>
      </c>
      <c r="B340" t="s">
        <v>7015</v>
      </c>
      <c r="C340" t="s">
        <v>74</v>
      </c>
      <c r="D340" t="s">
        <v>74</v>
      </c>
      <c r="E340" t="s">
        <v>74</v>
      </c>
      <c r="F340" t="s">
        <v>7016</v>
      </c>
      <c r="G340" t="s">
        <v>74</v>
      </c>
      <c r="H340" t="s">
        <v>74</v>
      </c>
      <c r="I340" t="s">
        <v>7017</v>
      </c>
      <c r="J340" t="s">
        <v>5604</v>
      </c>
      <c r="K340" t="s">
        <v>74</v>
      </c>
      <c r="L340" t="s">
        <v>74</v>
      </c>
      <c r="M340" t="s">
        <v>78</v>
      </c>
      <c r="N340" t="s">
        <v>79</v>
      </c>
      <c r="O340" t="s">
        <v>74</v>
      </c>
      <c r="P340" t="s">
        <v>74</v>
      </c>
      <c r="Q340" t="s">
        <v>74</v>
      </c>
      <c r="R340" t="s">
        <v>74</v>
      </c>
      <c r="S340" t="s">
        <v>74</v>
      </c>
      <c r="T340" t="s">
        <v>74</v>
      </c>
      <c r="U340" t="s">
        <v>7018</v>
      </c>
      <c r="V340" t="s">
        <v>7019</v>
      </c>
      <c r="W340" t="s">
        <v>7020</v>
      </c>
      <c r="X340" t="s">
        <v>7021</v>
      </c>
      <c r="Y340" t="s">
        <v>7022</v>
      </c>
      <c r="Z340" t="s">
        <v>7023</v>
      </c>
      <c r="AA340" t="s">
        <v>7024</v>
      </c>
      <c r="AB340" t="s">
        <v>7025</v>
      </c>
      <c r="AC340" t="s">
        <v>7026</v>
      </c>
      <c r="AD340" t="s">
        <v>7027</v>
      </c>
      <c r="AE340" t="s">
        <v>7028</v>
      </c>
      <c r="AF340" t="s">
        <v>74</v>
      </c>
      <c r="AG340">
        <v>114</v>
      </c>
      <c r="AH340">
        <v>10</v>
      </c>
      <c r="AI340">
        <v>10</v>
      </c>
      <c r="AJ340">
        <v>1</v>
      </c>
      <c r="AK340">
        <v>12</v>
      </c>
      <c r="AL340" t="s">
        <v>758</v>
      </c>
      <c r="AM340" t="s">
        <v>759</v>
      </c>
      <c r="AN340" t="s">
        <v>760</v>
      </c>
      <c r="AO340" t="s">
        <v>5616</v>
      </c>
      <c r="AP340" t="s">
        <v>5617</v>
      </c>
      <c r="AQ340" t="s">
        <v>74</v>
      </c>
      <c r="AR340" t="s">
        <v>5618</v>
      </c>
      <c r="AS340" t="s">
        <v>5619</v>
      </c>
      <c r="AT340" t="s">
        <v>4616</v>
      </c>
      <c r="AU340">
        <v>2018</v>
      </c>
      <c r="AV340">
        <v>63</v>
      </c>
      <c r="AW340">
        <v>5</v>
      </c>
      <c r="AX340" t="s">
        <v>74</v>
      </c>
      <c r="AY340" t="s">
        <v>74</v>
      </c>
      <c r="AZ340" t="s">
        <v>74</v>
      </c>
      <c r="BA340" t="s">
        <v>74</v>
      </c>
      <c r="BB340">
        <v>1856</v>
      </c>
      <c r="BC340">
        <v>1876</v>
      </c>
      <c r="BD340" t="s">
        <v>74</v>
      </c>
      <c r="BE340" t="s">
        <v>7029</v>
      </c>
      <c r="BF340" t="str">
        <f>HYPERLINK("http://dx.doi.org/10.1002/lno.10812","http://dx.doi.org/10.1002/lno.10812")</f>
        <v>http://dx.doi.org/10.1002/lno.10812</v>
      </c>
      <c r="BG340" t="s">
        <v>74</v>
      </c>
      <c r="BH340" t="s">
        <v>74</v>
      </c>
      <c r="BI340">
        <v>21</v>
      </c>
      <c r="BJ340" t="s">
        <v>1837</v>
      </c>
      <c r="BK340" t="s">
        <v>101</v>
      </c>
      <c r="BL340" t="s">
        <v>1838</v>
      </c>
      <c r="BM340" t="s">
        <v>5621</v>
      </c>
      <c r="BN340" t="s">
        <v>74</v>
      </c>
      <c r="BO340" t="s">
        <v>712</v>
      </c>
      <c r="BP340" t="s">
        <v>74</v>
      </c>
      <c r="BQ340" t="s">
        <v>74</v>
      </c>
      <c r="BR340" t="s">
        <v>104</v>
      </c>
      <c r="BS340" t="s">
        <v>7030</v>
      </c>
      <c r="BT340" t="str">
        <f>HYPERLINK("https%3A%2F%2Fwww.webofscience.com%2Fwos%2Fwoscc%2Ffull-record%2FWOS:000449045600002","View Full Record in Web of Science")</f>
        <v>View Full Record in Web of Science</v>
      </c>
    </row>
    <row r="341" spans="1:72" x14ac:dyDescent="0.15">
      <c r="A341" t="s">
        <v>72</v>
      </c>
      <c r="B341" t="s">
        <v>7031</v>
      </c>
      <c r="C341" t="s">
        <v>74</v>
      </c>
      <c r="D341" t="s">
        <v>74</v>
      </c>
      <c r="E341" t="s">
        <v>74</v>
      </c>
      <c r="F341" t="s">
        <v>7032</v>
      </c>
      <c r="G341" t="s">
        <v>74</v>
      </c>
      <c r="H341" t="s">
        <v>74</v>
      </c>
      <c r="I341" t="s">
        <v>7033</v>
      </c>
      <c r="J341" t="s">
        <v>7034</v>
      </c>
      <c r="K341" t="s">
        <v>74</v>
      </c>
      <c r="L341" t="s">
        <v>74</v>
      </c>
      <c r="M341" t="s">
        <v>78</v>
      </c>
      <c r="N341" t="s">
        <v>79</v>
      </c>
      <c r="O341" t="s">
        <v>74</v>
      </c>
      <c r="P341" t="s">
        <v>74</v>
      </c>
      <c r="Q341" t="s">
        <v>74</v>
      </c>
      <c r="R341" t="s">
        <v>74</v>
      </c>
      <c r="S341" t="s">
        <v>74</v>
      </c>
      <c r="T341" t="s">
        <v>7035</v>
      </c>
      <c r="U341" t="s">
        <v>7036</v>
      </c>
      <c r="V341" t="s">
        <v>7037</v>
      </c>
      <c r="W341" t="s">
        <v>7038</v>
      </c>
      <c r="X341" t="s">
        <v>7039</v>
      </c>
      <c r="Y341" t="s">
        <v>7040</v>
      </c>
      <c r="Z341" t="s">
        <v>7041</v>
      </c>
      <c r="AA341" t="s">
        <v>7042</v>
      </c>
      <c r="AB341" t="s">
        <v>7043</v>
      </c>
      <c r="AC341" t="s">
        <v>7044</v>
      </c>
      <c r="AD341" t="s">
        <v>7045</v>
      </c>
      <c r="AE341" t="s">
        <v>7046</v>
      </c>
      <c r="AF341" t="s">
        <v>74</v>
      </c>
      <c r="AG341">
        <v>63</v>
      </c>
      <c r="AH341">
        <v>14</v>
      </c>
      <c r="AI341">
        <v>16</v>
      </c>
      <c r="AJ341">
        <v>0</v>
      </c>
      <c r="AK341">
        <v>15</v>
      </c>
      <c r="AL341" t="s">
        <v>92</v>
      </c>
      <c r="AM341" t="s">
        <v>93</v>
      </c>
      <c r="AN341" t="s">
        <v>94</v>
      </c>
      <c r="AO341" t="s">
        <v>7047</v>
      </c>
      <c r="AP341" t="s">
        <v>7048</v>
      </c>
      <c r="AQ341" t="s">
        <v>74</v>
      </c>
      <c r="AR341" t="s">
        <v>7049</v>
      </c>
      <c r="AS341" t="s">
        <v>7050</v>
      </c>
      <c r="AT341" t="s">
        <v>4616</v>
      </c>
      <c r="AU341">
        <v>2018</v>
      </c>
      <c r="AV341">
        <v>479</v>
      </c>
      <c r="AW341">
        <v>1</v>
      </c>
      <c r="AX341" t="s">
        <v>74</v>
      </c>
      <c r="AY341" t="s">
        <v>74</v>
      </c>
      <c r="AZ341" t="s">
        <v>74</v>
      </c>
      <c r="BA341" t="s">
        <v>74</v>
      </c>
      <c r="BB341">
        <v>111</v>
      </c>
      <c r="BC341">
        <v>120</v>
      </c>
      <c r="BD341" t="s">
        <v>74</v>
      </c>
      <c r="BE341" t="s">
        <v>7051</v>
      </c>
      <c r="BF341" t="str">
        <f>HYPERLINK("http://dx.doi.org/10.1093/mnras/sty1392","http://dx.doi.org/10.1093/mnras/sty1392")</f>
        <v>http://dx.doi.org/10.1093/mnras/sty1392</v>
      </c>
      <c r="BG341" t="s">
        <v>74</v>
      </c>
      <c r="BH341" t="s">
        <v>74</v>
      </c>
      <c r="BI341">
        <v>10</v>
      </c>
      <c r="BJ341" t="s">
        <v>1301</v>
      </c>
      <c r="BK341" t="s">
        <v>101</v>
      </c>
      <c r="BL341" t="s">
        <v>1301</v>
      </c>
      <c r="BM341" t="s">
        <v>7052</v>
      </c>
      <c r="BN341" t="s">
        <v>74</v>
      </c>
      <c r="BO341" t="s">
        <v>3043</v>
      </c>
      <c r="BP341" t="s">
        <v>74</v>
      </c>
      <c r="BQ341" t="s">
        <v>74</v>
      </c>
      <c r="BR341" t="s">
        <v>104</v>
      </c>
      <c r="BS341" t="s">
        <v>7053</v>
      </c>
      <c r="BT341" t="str">
        <f>HYPERLINK("https%3A%2F%2Fwww.webofscience.com%2Fwos%2Fwoscc%2Ffull-record%2FWOS:000441295800007","View Full Record in Web of Science")</f>
        <v>View Full Record in Web of Science</v>
      </c>
    </row>
    <row r="342" spans="1:72" x14ac:dyDescent="0.15">
      <c r="A342" t="s">
        <v>72</v>
      </c>
      <c r="B342" t="s">
        <v>7054</v>
      </c>
      <c r="C342" t="s">
        <v>74</v>
      </c>
      <c r="D342" t="s">
        <v>74</v>
      </c>
      <c r="E342" t="s">
        <v>74</v>
      </c>
      <c r="F342" t="s">
        <v>7055</v>
      </c>
      <c r="G342" t="s">
        <v>74</v>
      </c>
      <c r="H342" t="s">
        <v>74</v>
      </c>
      <c r="I342" t="s">
        <v>7056</v>
      </c>
      <c r="J342" t="s">
        <v>7057</v>
      </c>
      <c r="K342" t="s">
        <v>74</v>
      </c>
      <c r="L342" t="s">
        <v>74</v>
      </c>
      <c r="M342" t="s">
        <v>78</v>
      </c>
      <c r="N342" t="s">
        <v>2499</v>
      </c>
      <c r="O342" t="s">
        <v>74</v>
      </c>
      <c r="P342" t="s">
        <v>74</v>
      </c>
      <c r="Q342" t="s">
        <v>74</v>
      </c>
      <c r="R342" t="s">
        <v>74</v>
      </c>
      <c r="S342" t="s">
        <v>74</v>
      </c>
      <c r="T342" t="s">
        <v>74</v>
      </c>
      <c r="U342" t="s">
        <v>7058</v>
      </c>
      <c r="V342" t="s">
        <v>7059</v>
      </c>
      <c r="W342" t="s">
        <v>7060</v>
      </c>
      <c r="X342" t="s">
        <v>7061</v>
      </c>
      <c r="Y342" t="s">
        <v>7062</v>
      </c>
      <c r="Z342" t="s">
        <v>7063</v>
      </c>
      <c r="AA342" t="s">
        <v>7064</v>
      </c>
      <c r="AB342" t="s">
        <v>7065</v>
      </c>
      <c r="AC342" t="s">
        <v>74</v>
      </c>
      <c r="AD342" t="s">
        <v>74</v>
      </c>
      <c r="AE342" t="s">
        <v>74</v>
      </c>
      <c r="AF342" t="s">
        <v>74</v>
      </c>
      <c r="AG342">
        <v>13</v>
      </c>
      <c r="AH342">
        <v>11</v>
      </c>
      <c r="AI342">
        <v>12</v>
      </c>
      <c r="AJ342">
        <v>2</v>
      </c>
      <c r="AK342">
        <v>14</v>
      </c>
      <c r="AL342" t="s">
        <v>1159</v>
      </c>
      <c r="AM342" t="s">
        <v>704</v>
      </c>
      <c r="AN342" t="s">
        <v>2728</v>
      </c>
      <c r="AO342" t="s">
        <v>7066</v>
      </c>
      <c r="AP342" t="s">
        <v>74</v>
      </c>
      <c r="AQ342" t="s">
        <v>74</v>
      </c>
      <c r="AR342" t="s">
        <v>7067</v>
      </c>
      <c r="AS342" t="s">
        <v>7068</v>
      </c>
      <c r="AT342" t="s">
        <v>4616</v>
      </c>
      <c r="AU342">
        <v>2018</v>
      </c>
      <c r="AV342">
        <v>2</v>
      </c>
      <c r="AW342">
        <v>9</v>
      </c>
      <c r="AX342" t="s">
        <v>74</v>
      </c>
      <c r="AY342" t="s">
        <v>74</v>
      </c>
      <c r="AZ342" t="s">
        <v>74</v>
      </c>
      <c r="BA342" t="s">
        <v>74</v>
      </c>
      <c r="BB342">
        <v>1348</v>
      </c>
      <c r="BC342">
        <v>1349</v>
      </c>
      <c r="BD342" t="s">
        <v>74</v>
      </c>
      <c r="BE342" t="s">
        <v>7069</v>
      </c>
      <c r="BF342" t="str">
        <f>HYPERLINK("http://dx.doi.org/10.1038/s41559-018-0653-9","http://dx.doi.org/10.1038/s41559-018-0653-9")</f>
        <v>http://dx.doi.org/10.1038/s41559-018-0653-9</v>
      </c>
      <c r="BG342" t="s">
        <v>74</v>
      </c>
      <c r="BH342" t="s">
        <v>74</v>
      </c>
      <c r="BI342">
        <v>2</v>
      </c>
      <c r="BJ342" t="s">
        <v>1499</v>
      </c>
      <c r="BK342" t="s">
        <v>101</v>
      </c>
      <c r="BL342" t="s">
        <v>1500</v>
      </c>
      <c r="BM342" t="s">
        <v>7070</v>
      </c>
      <c r="BN342">
        <v>30127537</v>
      </c>
      <c r="BO342" t="s">
        <v>74</v>
      </c>
      <c r="BP342" t="s">
        <v>74</v>
      </c>
      <c r="BQ342" t="s">
        <v>74</v>
      </c>
      <c r="BR342" t="s">
        <v>104</v>
      </c>
      <c r="BS342" t="s">
        <v>7071</v>
      </c>
      <c r="BT342" t="str">
        <f>HYPERLINK("https%3A%2F%2Fwww.webofscience.com%2Fwos%2Fwoscc%2Ffull-record%2FWOS:000442468000009","View Full Record in Web of Science")</f>
        <v>View Full Record in Web of Science</v>
      </c>
    </row>
    <row r="343" spans="1:72" x14ac:dyDescent="0.15">
      <c r="A343" t="s">
        <v>72</v>
      </c>
      <c r="B343" t="s">
        <v>7072</v>
      </c>
      <c r="C343" t="s">
        <v>74</v>
      </c>
      <c r="D343" t="s">
        <v>74</v>
      </c>
      <c r="E343" t="s">
        <v>74</v>
      </c>
      <c r="F343" t="s">
        <v>7073</v>
      </c>
      <c r="G343" t="s">
        <v>74</v>
      </c>
      <c r="H343" t="s">
        <v>74</v>
      </c>
      <c r="I343" t="s">
        <v>7074</v>
      </c>
      <c r="J343" t="s">
        <v>1147</v>
      </c>
      <c r="K343" t="s">
        <v>74</v>
      </c>
      <c r="L343" t="s">
        <v>74</v>
      </c>
      <c r="M343" t="s">
        <v>78</v>
      </c>
      <c r="N343" t="s">
        <v>79</v>
      </c>
      <c r="O343" t="s">
        <v>74</v>
      </c>
      <c r="P343" t="s">
        <v>74</v>
      </c>
      <c r="Q343" t="s">
        <v>74</v>
      </c>
      <c r="R343" t="s">
        <v>74</v>
      </c>
      <c r="S343" t="s">
        <v>74</v>
      </c>
      <c r="T343" t="s">
        <v>74</v>
      </c>
      <c r="U343" t="s">
        <v>7075</v>
      </c>
      <c r="V343" t="s">
        <v>7076</v>
      </c>
      <c r="W343" t="s">
        <v>7077</v>
      </c>
      <c r="X343" t="s">
        <v>7078</v>
      </c>
      <c r="Y343" t="s">
        <v>7079</v>
      </c>
      <c r="Z343" t="s">
        <v>7080</v>
      </c>
      <c r="AA343" t="s">
        <v>7081</v>
      </c>
      <c r="AB343" t="s">
        <v>7082</v>
      </c>
      <c r="AC343" t="s">
        <v>7083</v>
      </c>
      <c r="AD343" t="s">
        <v>7084</v>
      </c>
      <c r="AE343" t="s">
        <v>7085</v>
      </c>
      <c r="AF343" t="s">
        <v>74</v>
      </c>
      <c r="AG343">
        <v>49</v>
      </c>
      <c r="AH343">
        <v>65</v>
      </c>
      <c r="AI343">
        <v>69</v>
      </c>
      <c r="AJ343">
        <v>0</v>
      </c>
      <c r="AK343">
        <v>42</v>
      </c>
      <c r="AL343" t="s">
        <v>1130</v>
      </c>
      <c r="AM343" t="s">
        <v>1131</v>
      </c>
      <c r="AN343" t="s">
        <v>1132</v>
      </c>
      <c r="AO343" t="s">
        <v>1161</v>
      </c>
      <c r="AP343" t="s">
        <v>1162</v>
      </c>
      <c r="AQ343" t="s">
        <v>74</v>
      </c>
      <c r="AR343" t="s">
        <v>1163</v>
      </c>
      <c r="AS343" t="s">
        <v>1164</v>
      </c>
      <c r="AT343" t="s">
        <v>4616</v>
      </c>
      <c r="AU343">
        <v>2018</v>
      </c>
      <c r="AV343">
        <v>11</v>
      </c>
      <c r="AW343">
        <v>9</v>
      </c>
      <c r="AX343" t="s">
        <v>74</v>
      </c>
      <c r="AY343" t="s">
        <v>74</v>
      </c>
      <c r="AZ343" t="s">
        <v>74</v>
      </c>
      <c r="BA343" t="s">
        <v>74</v>
      </c>
      <c r="BB343">
        <v>650</v>
      </c>
      <c r="BC343" t="s">
        <v>1137</v>
      </c>
      <c r="BD343" t="s">
        <v>74</v>
      </c>
      <c r="BE343" t="s">
        <v>7086</v>
      </c>
      <c r="BF343" t="str">
        <f>HYPERLINK("http://dx.doi.org/10.1038/s41561-018-0186-5","http://dx.doi.org/10.1038/s41561-018-0186-5")</f>
        <v>http://dx.doi.org/10.1038/s41561-018-0186-5</v>
      </c>
      <c r="BG343" t="s">
        <v>74</v>
      </c>
      <c r="BH343" t="s">
        <v>74</v>
      </c>
      <c r="BI343">
        <v>7</v>
      </c>
      <c r="BJ343" t="s">
        <v>182</v>
      </c>
      <c r="BK343" t="s">
        <v>101</v>
      </c>
      <c r="BL343" t="s">
        <v>183</v>
      </c>
      <c r="BM343" t="s">
        <v>5406</v>
      </c>
      <c r="BN343" t="s">
        <v>74</v>
      </c>
      <c r="BO343" t="s">
        <v>535</v>
      </c>
      <c r="BP343" t="s">
        <v>74</v>
      </c>
      <c r="BQ343" t="s">
        <v>74</v>
      </c>
      <c r="BR343" t="s">
        <v>104</v>
      </c>
      <c r="BS343" t="s">
        <v>7087</v>
      </c>
      <c r="BT343" t="str">
        <f>HYPERLINK("https%3A%2F%2Fwww.webofscience.com%2Fwos%2Fwoscc%2Ffull-record%2FWOS:000443302900011","View Full Record in Web of Science")</f>
        <v>View Full Record in Web of Science</v>
      </c>
    </row>
    <row r="344" spans="1:72" x14ac:dyDescent="0.15">
      <c r="A344" t="s">
        <v>72</v>
      </c>
      <c r="B344" t="s">
        <v>7088</v>
      </c>
      <c r="C344" t="s">
        <v>74</v>
      </c>
      <c r="D344" t="s">
        <v>74</v>
      </c>
      <c r="E344" t="s">
        <v>74</v>
      </c>
      <c r="F344" t="s">
        <v>7089</v>
      </c>
      <c r="G344" t="s">
        <v>74</v>
      </c>
      <c r="H344" t="s">
        <v>74</v>
      </c>
      <c r="I344" t="s">
        <v>7090</v>
      </c>
      <c r="J344" t="s">
        <v>5411</v>
      </c>
      <c r="K344" t="s">
        <v>74</v>
      </c>
      <c r="L344" t="s">
        <v>74</v>
      </c>
      <c r="M344" t="s">
        <v>78</v>
      </c>
      <c r="N344" t="s">
        <v>79</v>
      </c>
      <c r="O344" t="s">
        <v>74</v>
      </c>
      <c r="P344" t="s">
        <v>74</v>
      </c>
      <c r="Q344" t="s">
        <v>74</v>
      </c>
      <c r="R344" t="s">
        <v>74</v>
      </c>
      <c r="S344" t="s">
        <v>74</v>
      </c>
      <c r="T344" t="s">
        <v>74</v>
      </c>
      <c r="U344" t="s">
        <v>7091</v>
      </c>
      <c r="V344" t="s">
        <v>7092</v>
      </c>
      <c r="W344" t="s">
        <v>7093</v>
      </c>
      <c r="X344" t="s">
        <v>7094</v>
      </c>
      <c r="Y344" t="s">
        <v>7095</v>
      </c>
      <c r="Z344" t="s">
        <v>7096</v>
      </c>
      <c r="AA344" t="s">
        <v>7097</v>
      </c>
      <c r="AB344" t="s">
        <v>7098</v>
      </c>
      <c r="AC344" t="s">
        <v>7099</v>
      </c>
      <c r="AD344" t="s">
        <v>7100</v>
      </c>
      <c r="AE344" t="s">
        <v>7101</v>
      </c>
      <c r="AF344" t="s">
        <v>74</v>
      </c>
      <c r="AG344">
        <v>68</v>
      </c>
      <c r="AH344">
        <v>33</v>
      </c>
      <c r="AI344">
        <v>34</v>
      </c>
      <c r="AJ344">
        <v>0</v>
      </c>
      <c r="AK344">
        <v>3</v>
      </c>
      <c r="AL344" t="s">
        <v>5418</v>
      </c>
      <c r="AM344" t="s">
        <v>5419</v>
      </c>
      <c r="AN344" t="s">
        <v>5420</v>
      </c>
      <c r="AO344" t="s">
        <v>5421</v>
      </c>
      <c r="AP344" t="s">
        <v>74</v>
      </c>
      <c r="AQ344" t="s">
        <v>74</v>
      </c>
      <c r="AR344" t="s">
        <v>5411</v>
      </c>
      <c r="AS344" t="s">
        <v>157</v>
      </c>
      <c r="AT344" t="s">
        <v>4616</v>
      </c>
      <c r="AU344">
        <v>2018</v>
      </c>
      <c r="AV344">
        <v>31</v>
      </c>
      <c r="AW344">
        <v>3</v>
      </c>
      <c r="AX344" t="s">
        <v>74</v>
      </c>
      <c r="AY344" t="s">
        <v>74</v>
      </c>
      <c r="AZ344" t="s">
        <v>155</v>
      </c>
      <c r="BA344" t="s">
        <v>74</v>
      </c>
      <c r="BB344">
        <v>76</v>
      </c>
      <c r="BC344">
        <v>89</v>
      </c>
      <c r="BD344" t="s">
        <v>74</v>
      </c>
      <c r="BE344" t="s">
        <v>7102</v>
      </c>
      <c r="BF344" t="str">
        <f>HYPERLINK("http://dx.doi.org/10.5670/oceanog.2018.301","http://dx.doi.org/10.5670/oceanog.2018.301")</f>
        <v>http://dx.doi.org/10.5670/oceanog.2018.301</v>
      </c>
      <c r="BG344" t="s">
        <v>74</v>
      </c>
      <c r="BH344" t="s">
        <v>74</v>
      </c>
      <c r="BI344">
        <v>14</v>
      </c>
      <c r="BJ344" t="s">
        <v>157</v>
      </c>
      <c r="BK344" t="s">
        <v>101</v>
      </c>
      <c r="BL344" t="s">
        <v>157</v>
      </c>
      <c r="BM344" t="s">
        <v>5423</v>
      </c>
      <c r="BN344" t="s">
        <v>74</v>
      </c>
      <c r="BO344" t="s">
        <v>7103</v>
      </c>
      <c r="BP344" t="s">
        <v>74</v>
      </c>
      <c r="BQ344" t="s">
        <v>74</v>
      </c>
      <c r="BR344" t="s">
        <v>104</v>
      </c>
      <c r="BS344" t="s">
        <v>7104</v>
      </c>
      <c r="BT344" t="str">
        <f>HYPERLINK("https%3A%2F%2Fwww.webofscience.com%2Fwos%2Fwoscc%2Ffull-record%2FWOS:000452825400012","View Full Record in Web of Science")</f>
        <v>View Full Record in Web of Science</v>
      </c>
    </row>
    <row r="345" spans="1:72" x14ac:dyDescent="0.15">
      <c r="A345" t="s">
        <v>72</v>
      </c>
      <c r="B345" t="s">
        <v>7105</v>
      </c>
      <c r="C345" t="s">
        <v>74</v>
      </c>
      <c r="D345" t="s">
        <v>74</v>
      </c>
      <c r="E345" t="s">
        <v>74</v>
      </c>
      <c r="F345" t="s">
        <v>7106</v>
      </c>
      <c r="G345" t="s">
        <v>74</v>
      </c>
      <c r="H345" t="s">
        <v>74</v>
      </c>
      <c r="I345" t="s">
        <v>7107</v>
      </c>
      <c r="J345" t="s">
        <v>1192</v>
      </c>
      <c r="K345" t="s">
        <v>74</v>
      </c>
      <c r="L345" t="s">
        <v>74</v>
      </c>
      <c r="M345" t="s">
        <v>78</v>
      </c>
      <c r="N345" t="s">
        <v>79</v>
      </c>
      <c r="O345" t="s">
        <v>74</v>
      </c>
      <c r="P345" t="s">
        <v>74</v>
      </c>
      <c r="Q345" t="s">
        <v>74</v>
      </c>
      <c r="R345" t="s">
        <v>74</v>
      </c>
      <c r="S345" t="s">
        <v>74</v>
      </c>
      <c r="T345" t="s">
        <v>7108</v>
      </c>
      <c r="U345" t="s">
        <v>7109</v>
      </c>
      <c r="V345" t="s">
        <v>7110</v>
      </c>
      <c r="W345" t="s">
        <v>7111</v>
      </c>
      <c r="X345" t="s">
        <v>7112</v>
      </c>
      <c r="Y345" t="s">
        <v>7113</v>
      </c>
      <c r="Z345" t="s">
        <v>7114</v>
      </c>
      <c r="AA345" t="s">
        <v>7115</v>
      </c>
      <c r="AB345" t="s">
        <v>7116</v>
      </c>
      <c r="AC345" t="s">
        <v>7117</v>
      </c>
      <c r="AD345" t="s">
        <v>7118</v>
      </c>
      <c r="AE345" t="s">
        <v>7119</v>
      </c>
      <c r="AF345" t="s">
        <v>74</v>
      </c>
      <c r="AG345">
        <v>100</v>
      </c>
      <c r="AH345">
        <v>25</v>
      </c>
      <c r="AI345">
        <v>27</v>
      </c>
      <c r="AJ345">
        <v>0</v>
      </c>
      <c r="AK345">
        <v>31</v>
      </c>
      <c r="AL345" t="s">
        <v>337</v>
      </c>
      <c r="AM345" t="s">
        <v>258</v>
      </c>
      <c r="AN345" t="s">
        <v>387</v>
      </c>
      <c r="AO345" t="s">
        <v>1204</v>
      </c>
      <c r="AP345" t="s">
        <v>1205</v>
      </c>
      <c r="AQ345" t="s">
        <v>74</v>
      </c>
      <c r="AR345" t="s">
        <v>1206</v>
      </c>
      <c r="AS345" t="s">
        <v>1207</v>
      </c>
      <c r="AT345" t="s">
        <v>4616</v>
      </c>
      <c r="AU345">
        <v>2018</v>
      </c>
      <c r="AV345">
        <v>41</v>
      </c>
      <c r="AW345">
        <v>9</v>
      </c>
      <c r="AX345" t="s">
        <v>74</v>
      </c>
      <c r="AY345" t="s">
        <v>74</v>
      </c>
      <c r="AZ345" t="s">
        <v>74</v>
      </c>
      <c r="BA345" t="s">
        <v>74</v>
      </c>
      <c r="BB345">
        <v>1655</v>
      </c>
      <c r="BC345">
        <v>1669</v>
      </c>
      <c r="BD345" t="s">
        <v>74</v>
      </c>
      <c r="BE345" t="s">
        <v>7120</v>
      </c>
      <c r="BF345" t="str">
        <f>HYPERLINK("http://dx.doi.org/10.1007/s00300-018-2306-5","http://dx.doi.org/10.1007/s00300-018-2306-5")</f>
        <v>http://dx.doi.org/10.1007/s00300-018-2306-5</v>
      </c>
      <c r="BG345" t="s">
        <v>74</v>
      </c>
      <c r="BH345" t="s">
        <v>74</v>
      </c>
      <c r="BI345">
        <v>15</v>
      </c>
      <c r="BJ345" t="s">
        <v>1209</v>
      </c>
      <c r="BK345" t="s">
        <v>101</v>
      </c>
      <c r="BL345" t="s">
        <v>1210</v>
      </c>
      <c r="BM345" t="s">
        <v>5456</v>
      </c>
      <c r="BN345" t="s">
        <v>74</v>
      </c>
      <c r="BO345" t="s">
        <v>74</v>
      </c>
      <c r="BP345" t="s">
        <v>74</v>
      </c>
      <c r="BQ345" t="s">
        <v>74</v>
      </c>
      <c r="BR345" t="s">
        <v>104</v>
      </c>
      <c r="BS345" t="s">
        <v>7121</v>
      </c>
      <c r="BT345" t="str">
        <f>HYPERLINK("https%3A%2F%2Fwww.webofscience.com%2Fwos%2Fwoscc%2Ffull-record%2FWOS:000447600600001","View Full Record in Web of Science")</f>
        <v>View Full Record in Web of Science</v>
      </c>
    </row>
    <row r="346" spans="1:72" x14ac:dyDescent="0.15">
      <c r="A346" t="s">
        <v>72</v>
      </c>
      <c r="B346" t="s">
        <v>7122</v>
      </c>
      <c r="C346" t="s">
        <v>74</v>
      </c>
      <c r="D346" t="s">
        <v>74</v>
      </c>
      <c r="E346" t="s">
        <v>74</v>
      </c>
      <c r="F346" t="s">
        <v>7123</v>
      </c>
      <c r="G346" t="s">
        <v>74</v>
      </c>
      <c r="H346" t="s">
        <v>74</v>
      </c>
      <c r="I346" t="s">
        <v>7124</v>
      </c>
      <c r="J346" t="s">
        <v>1192</v>
      </c>
      <c r="K346" t="s">
        <v>74</v>
      </c>
      <c r="L346" t="s">
        <v>74</v>
      </c>
      <c r="M346" t="s">
        <v>78</v>
      </c>
      <c r="N346" t="s">
        <v>79</v>
      </c>
      <c r="O346" t="s">
        <v>74</v>
      </c>
      <c r="P346" t="s">
        <v>74</v>
      </c>
      <c r="Q346" t="s">
        <v>74</v>
      </c>
      <c r="R346" t="s">
        <v>74</v>
      </c>
      <c r="S346" t="s">
        <v>74</v>
      </c>
      <c r="T346" t="s">
        <v>7125</v>
      </c>
      <c r="U346" t="s">
        <v>7126</v>
      </c>
      <c r="V346" t="s">
        <v>7127</v>
      </c>
      <c r="W346" t="s">
        <v>7128</v>
      </c>
      <c r="X346" t="s">
        <v>7129</v>
      </c>
      <c r="Y346" t="s">
        <v>7130</v>
      </c>
      <c r="Z346" t="s">
        <v>7131</v>
      </c>
      <c r="AA346" t="s">
        <v>74</v>
      </c>
      <c r="AB346" t="s">
        <v>7132</v>
      </c>
      <c r="AC346" t="s">
        <v>7133</v>
      </c>
      <c r="AD346" t="s">
        <v>7134</v>
      </c>
      <c r="AE346" t="s">
        <v>7135</v>
      </c>
      <c r="AF346" t="s">
        <v>74</v>
      </c>
      <c r="AG346">
        <v>82</v>
      </c>
      <c r="AH346">
        <v>7</v>
      </c>
      <c r="AI346">
        <v>7</v>
      </c>
      <c r="AJ346">
        <v>0</v>
      </c>
      <c r="AK346">
        <v>9</v>
      </c>
      <c r="AL346" t="s">
        <v>337</v>
      </c>
      <c r="AM346" t="s">
        <v>258</v>
      </c>
      <c r="AN346" t="s">
        <v>387</v>
      </c>
      <c r="AO346" t="s">
        <v>1204</v>
      </c>
      <c r="AP346" t="s">
        <v>1205</v>
      </c>
      <c r="AQ346" t="s">
        <v>74</v>
      </c>
      <c r="AR346" t="s">
        <v>1206</v>
      </c>
      <c r="AS346" t="s">
        <v>1207</v>
      </c>
      <c r="AT346" t="s">
        <v>4616</v>
      </c>
      <c r="AU346">
        <v>2018</v>
      </c>
      <c r="AV346">
        <v>41</v>
      </c>
      <c r="AW346">
        <v>9</v>
      </c>
      <c r="AX346" t="s">
        <v>74</v>
      </c>
      <c r="AY346" t="s">
        <v>74</v>
      </c>
      <c r="AZ346" t="s">
        <v>74</v>
      </c>
      <c r="BA346" t="s">
        <v>74</v>
      </c>
      <c r="BB346">
        <v>1801</v>
      </c>
      <c r="BC346">
        <v>1814</v>
      </c>
      <c r="BD346" t="s">
        <v>74</v>
      </c>
      <c r="BE346" t="s">
        <v>7136</v>
      </c>
      <c r="BF346" t="str">
        <f>HYPERLINK("http://dx.doi.org/10.1007/s00300-018-2320-7","http://dx.doi.org/10.1007/s00300-018-2320-7")</f>
        <v>http://dx.doi.org/10.1007/s00300-018-2320-7</v>
      </c>
      <c r="BG346" t="s">
        <v>74</v>
      </c>
      <c r="BH346" t="s">
        <v>74</v>
      </c>
      <c r="BI346">
        <v>14</v>
      </c>
      <c r="BJ346" t="s">
        <v>1209</v>
      </c>
      <c r="BK346" t="s">
        <v>101</v>
      </c>
      <c r="BL346" t="s">
        <v>1210</v>
      </c>
      <c r="BM346" t="s">
        <v>5456</v>
      </c>
      <c r="BN346" t="s">
        <v>74</v>
      </c>
      <c r="BO346" t="s">
        <v>3263</v>
      </c>
      <c r="BP346" t="s">
        <v>74</v>
      </c>
      <c r="BQ346" t="s">
        <v>74</v>
      </c>
      <c r="BR346" t="s">
        <v>104</v>
      </c>
      <c r="BS346" t="s">
        <v>7137</v>
      </c>
      <c r="BT346" t="str">
        <f>HYPERLINK("https%3A%2F%2Fwww.webofscience.com%2Fwos%2Fwoscc%2Ffull-record%2FWOS:000447600600013","View Full Record in Web of Science")</f>
        <v>View Full Record in Web of Science</v>
      </c>
    </row>
    <row r="347" spans="1:72" x14ac:dyDescent="0.15">
      <c r="A347" t="s">
        <v>72</v>
      </c>
      <c r="B347" t="s">
        <v>7138</v>
      </c>
      <c r="C347" t="s">
        <v>74</v>
      </c>
      <c r="D347" t="s">
        <v>74</v>
      </c>
      <c r="E347" t="s">
        <v>74</v>
      </c>
      <c r="F347" t="s">
        <v>7139</v>
      </c>
      <c r="G347" t="s">
        <v>74</v>
      </c>
      <c r="H347" t="s">
        <v>74</v>
      </c>
      <c r="I347" t="s">
        <v>7140</v>
      </c>
      <c r="J347" t="s">
        <v>1192</v>
      </c>
      <c r="K347" t="s">
        <v>74</v>
      </c>
      <c r="L347" t="s">
        <v>74</v>
      </c>
      <c r="M347" t="s">
        <v>78</v>
      </c>
      <c r="N347" t="s">
        <v>79</v>
      </c>
      <c r="O347" t="s">
        <v>74</v>
      </c>
      <c r="P347" t="s">
        <v>74</v>
      </c>
      <c r="Q347" t="s">
        <v>74</v>
      </c>
      <c r="R347" t="s">
        <v>74</v>
      </c>
      <c r="S347" t="s">
        <v>74</v>
      </c>
      <c r="T347" t="s">
        <v>7141</v>
      </c>
      <c r="U347" t="s">
        <v>7142</v>
      </c>
      <c r="V347" t="s">
        <v>7143</v>
      </c>
      <c r="W347" t="s">
        <v>7144</v>
      </c>
      <c r="X347" t="s">
        <v>7145</v>
      </c>
      <c r="Y347" t="s">
        <v>7146</v>
      </c>
      <c r="Z347" t="s">
        <v>7147</v>
      </c>
      <c r="AA347" t="s">
        <v>7148</v>
      </c>
      <c r="AB347" t="s">
        <v>7149</v>
      </c>
      <c r="AC347" t="s">
        <v>7150</v>
      </c>
      <c r="AD347" t="s">
        <v>7151</v>
      </c>
      <c r="AE347" t="s">
        <v>7152</v>
      </c>
      <c r="AF347" t="s">
        <v>74</v>
      </c>
      <c r="AG347">
        <v>24</v>
      </c>
      <c r="AH347">
        <v>2</v>
      </c>
      <c r="AI347">
        <v>2</v>
      </c>
      <c r="AJ347">
        <v>0</v>
      </c>
      <c r="AK347">
        <v>5</v>
      </c>
      <c r="AL347" t="s">
        <v>337</v>
      </c>
      <c r="AM347" t="s">
        <v>258</v>
      </c>
      <c r="AN347" t="s">
        <v>338</v>
      </c>
      <c r="AO347" t="s">
        <v>1204</v>
      </c>
      <c r="AP347" t="s">
        <v>1205</v>
      </c>
      <c r="AQ347" t="s">
        <v>74</v>
      </c>
      <c r="AR347" t="s">
        <v>1206</v>
      </c>
      <c r="AS347" t="s">
        <v>1207</v>
      </c>
      <c r="AT347" t="s">
        <v>4616</v>
      </c>
      <c r="AU347">
        <v>2018</v>
      </c>
      <c r="AV347">
        <v>41</v>
      </c>
      <c r="AW347">
        <v>9</v>
      </c>
      <c r="AX347" t="s">
        <v>74</v>
      </c>
      <c r="AY347" t="s">
        <v>74</v>
      </c>
      <c r="AZ347" t="s">
        <v>74</v>
      </c>
      <c r="BA347" t="s">
        <v>74</v>
      </c>
      <c r="BB347">
        <v>1907</v>
      </c>
      <c r="BC347">
        <v>1910</v>
      </c>
      <c r="BD347" t="s">
        <v>74</v>
      </c>
      <c r="BE347" t="s">
        <v>7153</v>
      </c>
      <c r="BF347" t="str">
        <f>HYPERLINK("http://dx.doi.org/10.1007/s00300-018-2326-1","http://dx.doi.org/10.1007/s00300-018-2326-1")</f>
        <v>http://dx.doi.org/10.1007/s00300-018-2326-1</v>
      </c>
      <c r="BG347" t="s">
        <v>74</v>
      </c>
      <c r="BH347" t="s">
        <v>74</v>
      </c>
      <c r="BI347">
        <v>4</v>
      </c>
      <c r="BJ347" t="s">
        <v>1209</v>
      </c>
      <c r="BK347" t="s">
        <v>101</v>
      </c>
      <c r="BL347" t="s">
        <v>1210</v>
      </c>
      <c r="BM347" t="s">
        <v>5456</v>
      </c>
      <c r="BN347" t="s">
        <v>74</v>
      </c>
      <c r="BO347" t="s">
        <v>74</v>
      </c>
      <c r="BP347" t="s">
        <v>74</v>
      </c>
      <c r="BQ347" t="s">
        <v>74</v>
      </c>
      <c r="BR347" t="s">
        <v>104</v>
      </c>
      <c r="BS347" t="s">
        <v>7154</v>
      </c>
      <c r="BT347" t="str">
        <f>HYPERLINK("https%3A%2F%2Fwww.webofscience.com%2Fwos%2Fwoscc%2Ffull-record%2FWOS:000447600600022","View Full Record in Web of Science")</f>
        <v>View Full Record in Web of Science</v>
      </c>
    </row>
    <row r="348" spans="1:72" x14ac:dyDescent="0.15">
      <c r="A348" t="s">
        <v>72</v>
      </c>
      <c r="B348" t="s">
        <v>7155</v>
      </c>
      <c r="C348" t="s">
        <v>74</v>
      </c>
      <c r="D348" t="s">
        <v>74</v>
      </c>
      <c r="E348" t="s">
        <v>74</v>
      </c>
      <c r="F348" t="s">
        <v>7156</v>
      </c>
      <c r="G348" t="s">
        <v>74</v>
      </c>
      <c r="H348" t="s">
        <v>74</v>
      </c>
      <c r="I348" t="s">
        <v>7157</v>
      </c>
      <c r="J348" t="s">
        <v>7158</v>
      </c>
      <c r="K348" t="s">
        <v>74</v>
      </c>
      <c r="L348" t="s">
        <v>74</v>
      </c>
      <c r="M348" t="s">
        <v>78</v>
      </c>
      <c r="N348" t="s">
        <v>273</v>
      </c>
      <c r="O348" t="s">
        <v>74</v>
      </c>
      <c r="P348" t="s">
        <v>74</v>
      </c>
      <c r="Q348" t="s">
        <v>74</v>
      </c>
      <c r="R348" t="s">
        <v>74</v>
      </c>
      <c r="S348" t="s">
        <v>74</v>
      </c>
      <c r="T348" t="s">
        <v>7159</v>
      </c>
      <c r="U348" t="s">
        <v>7160</v>
      </c>
      <c r="V348" t="s">
        <v>7161</v>
      </c>
      <c r="W348" t="s">
        <v>7162</v>
      </c>
      <c r="X348" t="s">
        <v>7163</v>
      </c>
      <c r="Y348" t="s">
        <v>7164</v>
      </c>
      <c r="Z348" t="s">
        <v>7165</v>
      </c>
      <c r="AA348" t="s">
        <v>7166</v>
      </c>
      <c r="AB348" t="s">
        <v>7167</v>
      </c>
      <c r="AC348" t="s">
        <v>7168</v>
      </c>
      <c r="AD348" t="s">
        <v>7169</v>
      </c>
      <c r="AE348" t="s">
        <v>7170</v>
      </c>
      <c r="AF348" t="s">
        <v>74</v>
      </c>
      <c r="AG348">
        <v>139</v>
      </c>
      <c r="AH348">
        <v>94</v>
      </c>
      <c r="AI348">
        <v>102</v>
      </c>
      <c r="AJ348">
        <v>0</v>
      </c>
      <c r="AK348">
        <v>9</v>
      </c>
      <c r="AL348" t="s">
        <v>285</v>
      </c>
      <c r="AM348" t="s">
        <v>286</v>
      </c>
      <c r="AN348" t="s">
        <v>287</v>
      </c>
      <c r="AO348" t="s">
        <v>7171</v>
      </c>
      <c r="AP348" t="s">
        <v>7172</v>
      </c>
      <c r="AQ348" t="s">
        <v>74</v>
      </c>
      <c r="AR348" t="s">
        <v>7173</v>
      </c>
      <c r="AS348" t="s">
        <v>7174</v>
      </c>
      <c r="AT348" t="s">
        <v>4616</v>
      </c>
      <c r="AU348">
        <v>2018</v>
      </c>
      <c r="AV348">
        <v>102</v>
      </c>
      <c r="AW348" t="s">
        <v>74</v>
      </c>
      <c r="AX348" t="s">
        <v>74</v>
      </c>
      <c r="AY348" t="s">
        <v>74</v>
      </c>
      <c r="AZ348" t="s">
        <v>74</v>
      </c>
      <c r="BA348" t="s">
        <v>74</v>
      </c>
      <c r="BB348">
        <v>73</v>
      </c>
      <c r="BC348">
        <v>88</v>
      </c>
      <c r="BD348" t="s">
        <v>74</v>
      </c>
      <c r="BE348" t="s">
        <v>7175</v>
      </c>
      <c r="BF348" t="str">
        <f>HYPERLINK("http://dx.doi.org/10.1016/j.ppnp.2018.05.001","http://dx.doi.org/10.1016/j.ppnp.2018.05.001")</f>
        <v>http://dx.doi.org/10.1016/j.ppnp.2018.05.001</v>
      </c>
      <c r="BG348" t="s">
        <v>74</v>
      </c>
      <c r="BH348" t="s">
        <v>74</v>
      </c>
      <c r="BI348">
        <v>16</v>
      </c>
      <c r="BJ348" t="s">
        <v>7176</v>
      </c>
      <c r="BK348" t="s">
        <v>101</v>
      </c>
      <c r="BL348" t="s">
        <v>4895</v>
      </c>
      <c r="BM348" t="s">
        <v>7177</v>
      </c>
      <c r="BN348" t="s">
        <v>74</v>
      </c>
      <c r="BO348" t="s">
        <v>1608</v>
      </c>
      <c r="BP348" t="s">
        <v>74</v>
      </c>
      <c r="BQ348" t="s">
        <v>74</v>
      </c>
      <c r="BR348" t="s">
        <v>104</v>
      </c>
      <c r="BS348" t="s">
        <v>7178</v>
      </c>
      <c r="BT348" t="str">
        <f>HYPERLINK("https%3A%2F%2Fwww.webofscience.com%2Fwos%2Fwoscc%2Ffull-record%2FWOS:000440122400003","View Full Record in Web of Science")</f>
        <v>View Full Record in Web of Science</v>
      </c>
    </row>
    <row r="349" spans="1:72" x14ac:dyDescent="0.15">
      <c r="A349" t="s">
        <v>72</v>
      </c>
      <c r="B349" t="s">
        <v>7179</v>
      </c>
      <c r="C349" t="s">
        <v>74</v>
      </c>
      <c r="D349" t="s">
        <v>74</v>
      </c>
      <c r="E349" t="s">
        <v>74</v>
      </c>
      <c r="F349" t="s">
        <v>7180</v>
      </c>
      <c r="G349" t="s">
        <v>74</v>
      </c>
      <c r="H349" t="s">
        <v>74</v>
      </c>
      <c r="I349" t="s">
        <v>7181</v>
      </c>
      <c r="J349" t="s">
        <v>2804</v>
      </c>
      <c r="K349" t="s">
        <v>74</v>
      </c>
      <c r="L349" t="s">
        <v>74</v>
      </c>
      <c r="M349" t="s">
        <v>78</v>
      </c>
      <c r="N349" t="s">
        <v>273</v>
      </c>
      <c r="O349" t="s">
        <v>74</v>
      </c>
      <c r="P349" t="s">
        <v>74</v>
      </c>
      <c r="Q349" t="s">
        <v>74</v>
      </c>
      <c r="R349" t="s">
        <v>74</v>
      </c>
      <c r="S349" t="s">
        <v>74</v>
      </c>
      <c r="T349" t="s">
        <v>7182</v>
      </c>
      <c r="U349" t="s">
        <v>7183</v>
      </c>
      <c r="V349" t="s">
        <v>7184</v>
      </c>
      <c r="W349" t="s">
        <v>7185</v>
      </c>
      <c r="X349" t="s">
        <v>7186</v>
      </c>
      <c r="Y349" t="s">
        <v>7187</v>
      </c>
      <c r="Z349" t="s">
        <v>7188</v>
      </c>
      <c r="AA349" t="s">
        <v>7189</v>
      </c>
      <c r="AB349" t="s">
        <v>7190</v>
      </c>
      <c r="AC349" t="s">
        <v>7191</v>
      </c>
      <c r="AD349" t="s">
        <v>7191</v>
      </c>
      <c r="AE349" t="s">
        <v>7192</v>
      </c>
      <c r="AF349" t="s">
        <v>74</v>
      </c>
      <c r="AG349">
        <v>144</v>
      </c>
      <c r="AH349">
        <v>38</v>
      </c>
      <c r="AI349">
        <v>39</v>
      </c>
      <c r="AJ349">
        <v>12</v>
      </c>
      <c r="AK349">
        <v>44</v>
      </c>
      <c r="AL349" t="s">
        <v>1053</v>
      </c>
      <c r="AM349" t="s">
        <v>1054</v>
      </c>
      <c r="AN349" t="s">
        <v>1055</v>
      </c>
      <c r="AO349" t="s">
        <v>74</v>
      </c>
      <c r="AP349" t="s">
        <v>2816</v>
      </c>
      <c r="AQ349" t="s">
        <v>74</v>
      </c>
      <c r="AR349" t="s">
        <v>2817</v>
      </c>
      <c r="AS349" t="s">
        <v>2818</v>
      </c>
      <c r="AT349" t="s">
        <v>4616</v>
      </c>
      <c r="AU349">
        <v>2018</v>
      </c>
      <c r="AV349">
        <v>10</v>
      </c>
      <c r="AW349">
        <v>9</v>
      </c>
      <c r="AX349" t="s">
        <v>74</v>
      </c>
      <c r="AY349" t="s">
        <v>74</v>
      </c>
      <c r="AZ349" t="s">
        <v>74</v>
      </c>
      <c r="BA349" t="s">
        <v>74</v>
      </c>
      <c r="BB349" t="s">
        <v>74</v>
      </c>
      <c r="BC349" t="s">
        <v>74</v>
      </c>
      <c r="BD349">
        <v>1445</v>
      </c>
      <c r="BE349" t="s">
        <v>7193</v>
      </c>
      <c r="BF349" t="str">
        <f>HYPERLINK("http://dx.doi.org/10.3390/rs10091445","http://dx.doi.org/10.3390/rs10091445")</f>
        <v>http://dx.doi.org/10.3390/rs10091445</v>
      </c>
      <c r="BG349" t="s">
        <v>74</v>
      </c>
      <c r="BH349" t="s">
        <v>74</v>
      </c>
      <c r="BI349">
        <v>28</v>
      </c>
      <c r="BJ349" t="s">
        <v>2820</v>
      </c>
      <c r="BK349" t="s">
        <v>101</v>
      </c>
      <c r="BL349" t="s">
        <v>2821</v>
      </c>
      <c r="BM349" t="s">
        <v>5583</v>
      </c>
      <c r="BN349" t="s">
        <v>74</v>
      </c>
      <c r="BO349" t="s">
        <v>4388</v>
      </c>
      <c r="BP349" t="s">
        <v>74</v>
      </c>
      <c r="BQ349" t="s">
        <v>74</v>
      </c>
      <c r="BR349" t="s">
        <v>104</v>
      </c>
      <c r="BS349" t="s">
        <v>7194</v>
      </c>
      <c r="BT349" t="str">
        <f>HYPERLINK("https%3A%2F%2Fwww.webofscience.com%2Fwos%2Fwoscc%2Ffull-record%2FWOS:000449993800125","View Full Record in Web of Science")</f>
        <v>View Full Record in Web of Science</v>
      </c>
    </row>
    <row r="350" spans="1:72" x14ac:dyDescent="0.15">
      <c r="A350" t="s">
        <v>72</v>
      </c>
      <c r="B350" t="s">
        <v>7195</v>
      </c>
      <c r="C350" t="s">
        <v>74</v>
      </c>
      <c r="D350" t="s">
        <v>74</v>
      </c>
      <c r="E350" t="s">
        <v>74</v>
      </c>
      <c r="F350" t="s">
        <v>7196</v>
      </c>
      <c r="G350" t="s">
        <v>74</v>
      </c>
      <c r="H350" t="s">
        <v>74</v>
      </c>
      <c r="I350" t="s">
        <v>7197</v>
      </c>
      <c r="J350" t="s">
        <v>2804</v>
      </c>
      <c r="K350" t="s">
        <v>74</v>
      </c>
      <c r="L350" t="s">
        <v>74</v>
      </c>
      <c r="M350" t="s">
        <v>78</v>
      </c>
      <c r="N350" t="s">
        <v>79</v>
      </c>
      <c r="O350" t="s">
        <v>74</v>
      </c>
      <c r="P350" t="s">
        <v>74</v>
      </c>
      <c r="Q350" t="s">
        <v>74</v>
      </c>
      <c r="R350" t="s">
        <v>74</v>
      </c>
      <c r="S350" t="s">
        <v>74</v>
      </c>
      <c r="T350" t="s">
        <v>7198</v>
      </c>
      <c r="U350" t="s">
        <v>7199</v>
      </c>
      <c r="V350" t="s">
        <v>7200</v>
      </c>
      <c r="W350" t="s">
        <v>7201</v>
      </c>
      <c r="X350" t="s">
        <v>7202</v>
      </c>
      <c r="Y350" t="s">
        <v>7203</v>
      </c>
      <c r="Z350" t="s">
        <v>7204</v>
      </c>
      <c r="AA350" t="s">
        <v>7205</v>
      </c>
      <c r="AB350" t="s">
        <v>7206</v>
      </c>
      <c r="AC350" t="s">
        <v>7207</v>
      </c>
      <c r="AD350" t="s">
        <v>7208</v>
      </c>
      <c r="AE350" t="s">
        <v>7209</v>
      </c>
      <c r="AF350" t="s">
        <v>74</v>
      </c>
      <c r="AG350">
        <v>28</v>
      </c>
      <c r="AH350">
        <v>9</v>
      </c>
      <c r="AI350">
        <v>12</v>
      </c>
      <c r="AJ350">
        <v>2</v>
      </c>
      <c r="AK350">
        <v>19</v>
      </c>
      <c r="AL350" t="s">
        <v>1053</v>
      </c>
      <c r="AM350" t="s">
        <v>1054</v>
      </c>
      <c r="AN350" t="s">
        <v>1055</v>
      </c>
      <c r="AO350" t="s">
        <v>74</v>
      </c>
      <c r="AP350" t="s">
        <v>2816</v>
      </c>
      <c r="AQ350" t="s">
        <v>74</v>
      </c>
      <c r="AR350" t="s">
        <v>2817</v>
      </c>
      <c r="AS350" t="s">
        <v>2818</v>
      </c>
      <c r="AT350" t="s">
        <v>4616</v>
      </c>
      <c r="AU350">
        <v>2018</v>
      </c>
      <c r="AV350">
        <v>10</v>
      </c>
      <c r="AW350">
        <v>9</v>
      </c>
      <c r="AX350" t="s">
        <v>74</v>
      </c>
      <c r="AY350" t="s">
        <v>74</v>
      </c>
      <c r="AZ350" t="s">
        <v>74</v>
      </c>
      <c r="BA350" t="s">
        <v>74</v>
      </c>
      <c r="BB350" t="s">
        <v>74</v>
      </c>
      <c r="BC350" t="s">
        <v>74</v>
      </c>
      <c r="BD350">
        <v>1442</v>
      </c>
      <c r="BE350" t="s">
        <v>7210</v>
      </c>
      <c r="BF350" t="str">
        <f>HYPERLINK("http://dx.doi.org/10.3390/rs10091442","http://dx.doi.org/10.3390/rs10091442")</f>
        <v>http://dx.doi.org/10.3390/rs10091442</v>
      </c>
      <c r="BG350" t="s">
        <v>74</v>
      </c>
      <c r="BH350" t="s">
        <v>74</v>
      </c>
      <c r="BI350">
        <v>17</v>
      </c>
      <c r="BJ350" t="s">
        <v>2820</v>
      </c>
      <c r="BK350" t="s">
        <v>101</v>
      </c>
      <c r="BL350" t="s">
        <v>2821</v>
      </c>
      <c r="BM350" t="s">
        <v>5583</v>
      </c>
      <c r="BN350" t="s">
        <v>74</v>
      </c>
      <c r="BO350" t="s">
        <v>2647</v>
      </c>
      <c r="BP350" t="s">
        <v>74</v>
      </c>
      <c r="BQ350" t="s">
        <v>74</v>
      </c>
      <c r="BR350" t="s">
        <v>104</v>
      </c>
      <c r="BS350" t="s">
        <v>7211</v>
      </c>
      <c r="BT350" t="str">
        <f>HYPERLINK("https%3A%2F%2Fwww.webofscience.com%2Fwos%2Fwoscc%2Ffull-record%2FWOS:000449993800122","View Full Record in Web of Science")</f>
        <v>View Full Record in Web of Science</v>
      </c>
    </row>
    <row r="351" spans="1:72" x14ac:dyDescent="0.15">
      <c r="A351" t="s">
        <v>72</v>
      </c>
      <c r="B351" t="s">
        <v>7212</v>
      </c>
      <c r="C351" t="s">
        <v>74</v>
      </c>
      <c r="D351" t="s">
        <v>74</v>
      </c>
      <c r="E351" t="s">
        <v>74</v>
      </c>
      <c r="F351" t="s">
        <v>7213</v>
      </c>
      <c r="G351" t="s">
        <v>74</v>
      </c>
      <c r="H351" t="s">
        <v>74</v>
      </c>
      <c r="I351" t="s">
        <v>7214</v>
      </c>
      <c r="J351" t="s">
        <v>4011</v>
      </c>
      <c r="K351" t="s">
        <v>74</v>
      </c>
      <c r="L351" t="s">
        <v>74</v>
      </c>
      <c r="M351" t="s">
        <v>78</v>
      </c>
      <c r="N351" t="s">
        <v>133</v>
      </c>
      <c r="O351" t="s">
        <v>7215</v>
      </c>
      <c r="P351" t="s">
        <v>7216</v>
      </c>
      <c r="Q351" t="s">
        <v>7217</v>
      </c>
      <c r="R351" t="s">
        <v>74</v>
      </c>
      <c r="S351" t="s">
        <v>74</v>
      </c>
      <c r="T351" t="s">
        <v>7218</v>
      </c>
      <c r="U351" t="s">
        <v>7219</v>
      </c>
      <c r="V351" t="s">
        <v>7220</v>
      </c>
      <c r="W351" t="s">
        <v>7221</v>
      </c>
      <c r="X351" t="s">
        <v>7222</v>
      </c>
      <c r="Y351" t="s">
        <v>7223</v>
      </c>
      <c r="Z351" t="s">
        <v>7224</v>
      </c>
      <c r="AA351" t="s">
        <v>7225</v>
      </c>
      <c r="AB351" t="s">
        <v>7226</v>
      </c>
      <c r="AC351" t="s">
        <v>7227</v>
      </c>
      <c r="AD351" t="s">
        <v>2502</v>
      </c>
      <c r="AE351" t="s">
        <v>74</v>
      </c>
      <c r="AF351" t="s">
        <v>74</v>
      </c>
      <c r="AG351">
        <v>51</v>
      </c>
      <c r="AH351">
        <v>2</v>
      </c>
      <c r="AI351">
        <v>2</v>
      </c>
      <c r="AJ351">
        <v>0</v>
      </c>
      <c r="AK351">
        <v>8</v>
      </c>
      <c r="AL351" t="s">
        <v>149</v>
      </c>
      <c r="AM351" t="s">
        <v>93</v>
      </c>
      <c r="AN351" t="s">
        <v>150</v>
      </c>
      <c r="AO351" t="s">
        <v>4022</v>
      </c>
      <c r="AP351" t="s">
        <v>4023</v>
      </c>
      <c r="AQ351" t="s">
        <v>74</v>
      </c>
      <c r="AR351" t="s">
        <v>4024</v>
      </c>
      <c r="AS351" t="s">
        <v>4025</v>
      </c>
      <c r="AT351" t="s">
        <v>4851</v>
      </c>
      <c r="AU351">
        <v>2018</v>
      </c>
      <c r="AV351">
        <v>236</v>
      </c>
      <c r="AW351" t="s">
        <v>74</v>
      </c>
      <c r="AX351" t="s">
        <v>74</v>
      </c>
      <c r="AY351" t="s">
        <v>74</v>
      </c>
      <c r="AZ351" t="s">
        <v>155</v>
      </c>
      <c r="BA351" t="s">
        <v>74</v>
      </c>
      <c r="BB351">
        <v>384</v>
      </c>
      <c r="BC351">
        <v>398</v>
      </c>
      <c r="BD351" t="s">
        <v>74</v>
      </c>
      <c r="BE351" t="s">
        <v>7228</v>
      </c>
      <c r="BF351" t="str">
        <f>HYPERLINK("http://dx.doi.org/10.1016/j.gca.2018.03.013","http://dx.doi.org/10.1016/j.gca.2018.03.013")</f>
        <v>http://dx.doi.org/10.1016/j.gca.2018.03.013</v>
      </c>
      <c r="BG351" t="s">
        <v>74</v>
      </c>
      <c r="BH351" t="s">
        <v>74</v>
      </c>
      <c r="BI351">
        <v>15</v>
      </c>
      <c r="BJ351" t="s">
        <v>484</v>
      </c>
      <c r="BK351" t="s">
        <v>158</v>
      </c>
      <c r="BL351" t="s">
        <v>484</v>
      </c>
      <c r="BM351" t="s">
        <v>7229</v>
      </c>
      <c r="BN351" t="s">
        <v>74</v>
      </c>
      <c r="BO351" t="s">
        <v>211</v>
      </c>
      <c r="BP351" t="s">
        <v>74</v>
      </c>
      <c r="BQ351" t="s">
        <v>74</v>
      </c>
      <c r="BR351" t="s">
        <v>104</v>
      </c>
      <c r="BS351" t="s">
        <v>7230</v>
      </c>
      <c r="BT351" t="str">
        <f>HYPERLINK("https%3A%2F%2Fwww.webofscience.com%2Fwos%2Fwoscc%2Ffull-record%2FWOS:000441892600023","View Full Record in Web of Science")</f>
        <v>View Full Record in Web of Science</v>
      </c>
    </row>
    <row r="352" spans="1:72" x14ac:dyDescent="0.15">
      <c r="A352" t="s">
        <v>72</v>
      </c>
      <c r="B352" t="s">
        <v>7231</v>
      </c>
      <c r="C352" t="s">
        <v>74</v>
      </c>
      <c r="D352" t="s">
        <v>74</v>
      </c>
      <c r="E352" t="s">
        <v>74</v>
      </c>
      <c r="F352" t="s">
        <v>7232</v>
      </c>
      <c r="G352" t="s">
        <v>74</v>
      </c>
      <c r="H352" t="s">
        <v>74</v>
      </c>
      <c r="I352" t="s">
        <v>7233</v>
      </c>
      <c r="J352" t="s">
        <v>2750</v>
      </c>
      <c r="K352" t="s">
        <v>74</v>
      </c>
      <c r="L352" t="s">
        <v>74</v>
      </c>
      <c r="M352" t="s">
        <v>78</v>
      </c>
      <c r="N352" t="s">
        <v>79</v>
      </c>
      <c r="O352" t="s">
        <v>74</v>
      </c>
      <c r="P352" t="s">
        <v>74</v>
      </c>
      <c r="Q352" t="s">
        <v>74</v>
      </c>
      <c r="R352" t="s">
        <v>74</v>
      </c>
      <c r="S352" t="s">
        <v>74</v>
      </c>
      <c r="T352" t="s">
        <v>74</v>
      </c>
      <c r="U352" t="s">
        <v>7234</v>
      </c>
      <c r="V352" t="s">
        <v>7235</v>
      </c>
      <c r="W352" t="s">
        <v>7236</v>
      </c>
      <c r="X352" t="s">
        <v>7237</v>
      </c>
      <c r="Y352" t="s">
        <v>7238</v>
      </c>
      <c r="Z352" t="s">
        <v>7239</v>
      </c>
      <c r="AA352" t="s">
        <v>7240</v>
      </c>
      <c r="AB352" t="s">
        <v>7241</v>
      </c>
      <c r="AC352" t="s">
        <v>7242</v>
      </c>
      <c r="AD352" t="s">
        <v>7243</v>
      </c>
      <c r="AE352" t="s">
        <v>7244</v>
      </c>
      <c r="AF352" t="s">
        <v>74</v>
      </c>
      <c r="AG352">
        <v>62</v>
      </c>
      <c r="AH352">
        <v>52</v>
      </c>
      <c r="AI352">
        <v>54</v>
      </c>
      <c r="AJ352">
        <v>2</v>
      </c>
      <c r="AK352">
        <v>11</v>
      </c>
      <c r="AL352" t="s">
        <v>201</v>
      </c>
      <c r="AM352" t="s">
        <v>93</v>
      </c>
      <c r="AN352" t="s">
        <v>202</v>
      </c>
      <c r="AO352" t="s">
        <v>2760</v>
      </c>
      <c r="AP352" t="s">
        <v>2761</v>
      </c>
      <c r="AQ352" t="s">
        <v>74</v>
      </c>
      <c r="AR352" t="s">
        <v>2762</v>
      </c>
      <c r="AS352" t="s">
        <v>2763</v>
      </c>
      <c r="AT352" t="s">
        <v>4616</v>
      </c>
      <c r="AU352">
        <v>2018</v>
      </c>
      <c r="AV352">
        <v>129</v>
      </c>
      <c r="AW352" t="s">
        <v>74</v>
      </c>
      <c r="AX352" t="s">
        <v>74</v>
      </c>
      <c r="AY352" t="s">
        <v>74</v>
      </c>
      <c r="AZ352" t="s">
        <v>74</v>
      </c>
      <c r="BA352" t="s">
        <v>74</v>
      </c>
      <c r="BB352">
        <v>58</v>
      </c>
      <c r="BC352">
        <v>74</v>
      </c>
      <c r="BD352" t="s">
        <v>74</v>
      </c>
      <c r="BE352" t="s">
        <v>7245</v>
      </c>
      <c r="BF352" t="str">
        <f>HYPERLINK("http://dx.doi.org/10.1016/j.ocemod.2018.07.007","http://dx.doi.org/10.1016/j.ocemod.2018.07.007")</f>
        <v>http://dx.doi.org/10.1016/j.ocemod.2018.07.007</v>
      </c>
      <c r="BG352" t="s">
        <v>74</v>
      </c>
      <c r="BH352" t="s">
        <v>74</v>
      </c>
      <c r="BI352">
        <v>17</v>
      </c>
      <c r="BJ352" t="s">
        <v>2765</v>
      </c>
      <c r="BK352" t="s">
        <v>101</v>
      </c>
      <c r="BL352" t="s">
        <v>2765</v>
      </c>
      <c r="BM352" t="s">
        <v>7246</v>
      </c>
      <c r="BN352" t="s">
        <v>74</v>
      </c>
      <c r="BO352" t="s">
        <v>74</v>
      </c>
      <c r="BP352" t="s">
        <v>74</v>
      </c>
      <c r="BQ352" t="s">
        <v>74</v>
      </c>
      <c r="BR352" t="s">
        <v>104</v>
      </c>
      <c r="BS352" t="s">
        <v>7247</v>
      </c>
      <c r="BT352" t="str">
        <f>HYPERLINK("https%3A%2F%2Fwww.webofscience.com%2Fwos%2Fwoscc%2Ffull-record%2FWOS:000441289300004","View Full Record in Web of Science")</f>
        <v>View Full Record in Web of Science</v>
      </c>
    </row>
    <row r="353" spans="1:72" x14ac:dyDescent="0.15">
      <c r="A353" t="s">
        <v>72</v>
      </c>
      <c r="B353" t="s">
        <v>7248</v>
      </c>
      <c r="C353" t="s">
        <v>74</v>
      </c>
      <c r="D353" t="s">
        <v>74</v>
      </c>
      <c r="E353" t="s">
        <v>74</v>
      </c>
      <c r="F353" t="s">
        <v>7249</v>
      </c>
      <c r="G353" t="s">
        <v>74</v>
      </c>
      <c r="H353" t="s">
        <v>74</v>
      </c>
      <c r="I353" t="s">
        <v>7250</v>
      </c>
      <c r="J353" t="s">
        <v>7251</v>
      </c>
      <c r="K353" t="s">
        <v>74</v>
      </c>
      <c r="L353" t="s">
        <v>74</v>
      </c>
      <c r="M353" t="s">
        <v>78</v>
      </c>
      <c r="N353" t="s">
        <v>79</v>
      </c>
      <c r="O353" t="s">
        <v>74</v>
      </c>
      <c r="P353" t="s">
        <v>74</v>
      </c>
      <c r="Q353" t="s">
        <v>74</v>
      </c>
      <c r="R353" t="s">
        <v>74</v>
      </c>
      <c r="S353" t="s">
        <v>74</v>
      </c>
      <c r="T353" t="s">
        <v>7252</v>
      </c>
      <c r="U353" t="s">
        <v>7253</v>
      </c>
      <c r="V353" t="s">
        <v>7254</v>
      </c>
      <c r="W353" t="s">
        <v>7255</v>
      </c>
      <c r="X353" t="s">
        <v>7256</v>
      </c>
      <c r="Y353" t="s">
        <v>7257</v>
      </c>
      <c r="Z353" t="s">
        <v>7258</v>
      </c>
      <c r="AA353" t="s">
        <v>7259</v>
      </c>
      <c r="AB353" t="s">
        <v>7260</v>
      </c>
      <c r="AC353" t="s">
        <v>7261</v>
      </c>
      <c r="AD353" t="s">
        <v>7262</v>
      </c>
      <c r="AE353" t="s">
        <v>7263</v>
      </c>
      <c r="AF353" t="s">
        <v>74</v>
      </c>
      <c r="AG353">
        <v>57</v>
      </c>
      <c r="AH353">
        <v>11</v>
      </c>
      <c r="AI353">
        <v>11</v>
      </c>
      <c r="AJ353">
        <v>0</v>
      </c>
      <c r="AK353">
        <v>16</v>
      </c>
      <c r="AL353" t="s">
        <v>337</v>
      </c>
      <c r="AM353" t="s">
        <v>912</v>
      </c>
      <c r="AN353" t="s">
        <v>913</v>
      </c>
      <c r="AO353" t="s">
        <v>7264</v>
      </c>
      <c r="AP353" t="s">
        <v>7265</v>
      </c>
      <c r="AQ353" t="s">
        <v>74</v>
      </c>
      <c r="AR353" t="s">
        <v>7266</v>
      </c>
      <c r="AS353" t="s">
        <v>7267</v>
      </c>
      <c r="AT353" t="s">
        <v>4616</v>
      </c>
      <c r="AU353">
        <v>2018</v>
      </c>
      <c r="AV353">
        <v>20</v>
      </c>
      <c r="AW353">
        <v>9</v>
      </c>
      <c r="AX353" t="s">
        <v>74</v>
      </c>
      <c r="AY353" t="s">
        <v>74</v>
      </c>
      <c r="AZ353" t="s">
        <v>74</v>
      </c>
      <c r="BA353" t="s">
        <v>74</v>
      </c>
      <c r="BB353">
        <v>2623</v>
      </c>
      <c r="BC353">
        <v>2633</v>
      </c>
      <c r="BD353" t="s">
        <v>74</v>
      </c>
      <c r="BE353" t="s">
        <v>7268</v>
      </c>
      <c r="BF353" t="str">
        <f>HYPERLINK("http://dx.doi.org/10.1007/s10530-018-1722-3","http://dx.doi.org/10.1007/s10530-018-1722-3")</f>
        <v>http://dx.doi.org/10.1007/s10530-018-1722-3</v>
      </c>
      <c r="BG353" t="s">
        <v>74</v>
      </c>
      <c r="BH353" t="s">
        <v>74</v>
      </c>
      <c r="BI353">
        <v>11</v>
      </c>
      <c r="BJ353" t="s">
        <v>1209</v>
      </c>
      <c r="BK353" t="s">
        <v>101</v>
      </c>
      <c r="BL353" t="s">
        <v>1210</v>
      </c>
      <c r="BM353" t="s">
        <v>7269</v>
      </c>
      <c r="BN353" t="s">
        <v>74</v>
      </c>
      <c r="BO353" t="s">
        <v>74</v>
      </c>
      <c r="BP353" t="s">
        <v>74</v>
      </c>
      <c r="BQ353" t="s">
        <v>74</v>
      </c>
      <c r="BR353" t="s">
        <v>104</v>
      </c>
      <c r="BS353" t="s">
        <v>7270</v>
      </c>
      <c r="BT353" t="str">
        <f>HYPERLINK("https%3A%2F%2Fwww.webofscience.com%2Fwos%2Fwoscc%2Ffull-record%2FWOS:000441112500022","View Full Record in Web of Science")</f>
        <v>View Full Record in Web of Science</v>
      </c>
    </row>
    <row r="354" spans="1:72" x14ac:dyDescent="0.15">
      <c r="A354" t="s">
        <v>72</v>
      </c>
      <c r="B354" t="s">
        <v>7271</v>
      </c>
      <c r="C354" t="s">
        <v>74</v>
      </c>
      <c r="D354" t="s">
        <v>74</v>
      </c>
      <c r="E354" t="s">
        <v>74</v>
      </c>
      <c r="F354" t="s">
        <v>7272</v>
      </c>
      <c r="G354" t="s">
        <v>74</v>
      </c>
      <c r="H354" t="s">
        <v>74</v>
      </c>
      <c r="I354" t="s">
        <v>7273</v>
      </c>
      <c r="J354" t="s">
        <v>5180</v>
      </c>
      <c r="K354" t="s">
        <v>74</v>
      </c>
      <c r="L354" t="s">
        <v>74</v>
      </c>
      <c r="M354" t="s">
        <v>78</v>
      </c>
      <c r="N354" t="s">
        <v>79</v>
      </c>
      <c r="O354" t="s">
        <v>74</v>
      </c>
      <c r="P354" t="s">
        <v>74</v>
      </c>
      <c r="Q354" t="s">
        <v>74</v>
      </c>
      <c r="R354" t="s">
        <v>74</v>
      </c>
      <c r="S354" t="s">
        <v>74</v>
      </c>
      <c r="T354" t="s">
        <v>7274</v>
      </c>
      <c r="U354" t="s">
        <v>7275</v>
      </c>
      <c r="V354" t="s">
        <v>7276</v>
      </c>
      <c r="W354" t="s">
        <v>7277</v>
      </c>
      <c r="X354" t="s">
        <v>278</v>
      </c>
      <c r="Y354" t="s">
        <v>7278</v>
      </c>
      <c r="Z354" t="s">
        <v>7279</v>
      </c>
      <c r="AA354" t="s">
        <v>7280</v>
      </c>
      <c r="AB354" t="s">
        <v>7281</v>
      </c>
      <c r="AC354" t="s">
        <v>74</v>
      </c>
      <c r="AD354" t="s">
        <v>74</v>
      </c>
      <c r="AE354" t="s">
        <v>74</v>
      </c>
      <c r="AF354" t="s">
        <v>74</v>
      </c>
      <c r="AG354">
        <v>42</v>
      </c>
      <c r="AH354">
        <v>7</v>
      </c>
      <c r="AI354">
        <v>7</v>
      </c>
      <c r="AJ354">
        <v>0</v>
      </c>
      <c r="AK354">
        <v>27</v>
      </c>
      <c r="AL354" t="s">
        <v>758</v>
      </c>
      <c r="AM354" t="s">
        <v>759</v>
      </c>
      <c r="AN354" t="s">
        <v>760</v>
      </c>
      <c r="AO354" t="s">
        <v>5193</v>
      </c>
      <c r="AP354" t="s">
        <v>5194</v>
      </c>
      <c r="AQ354" t="s">
        <v>74</v>
      </c>
      <c r="AR354" t="s">
        <v>5195</v>
      </c>
      <c r="AS354" t="s">
        <v>5196</v>
      </c>
      <c r="AT354" t="s">
        <v>4616</v>
      </c>
      <c r="AU354">
        <v>2018</v>
      </c>
      <c r="AV354">
        <v>41</v>
      </c>
      <c r="AW354">
        <v>9</v>
      </c>
      <c r="AX354" t="s">
        <v>74</v>
      </c>
      <c r="AY354" t="s">
        <v>74</v>
      </c>
      <c r="AZ354" t="s">
        <v>74</v>
      </c>
      <c r="BA354" t="s">
        <v>74</v>
      </c>
      <c r="BB354">
        <v>1421</v>
      </c>
      <c r="BC354">
        <v>1428</v>
      </c>
      <c r="BD354" t="s">
        <v>74</v>
      </c>
      <c r="BE354" t="s">
        <v>7282</v>
      </c>
      <c r="BF354" t="str">
        <f>HYPERLINK("http://dx.doi.org/10.1111/jfd.12839","http://dx.doi.org/10.1111/jfd.12839")</f>
        <v>http://dx.doi.org/10.1111/jfd.12839</v>
      </c>
      <c r="BG354" t="s">
        <v>74</v>
      </c>
      <c r="BH354" t="s">
        <v>74</v>
      </c>
      <c r="BI354">
        <v>8</v>
      </c>
      <c r="BJ354" t="s">
        <v>5198</v>
      </c>
      <c r="BK354" t="s">
        <v>101</v>
      </c>
      <c r="BL354" t="s">
        <v>5198</v>
      </c>
      <c r="BM354" t="s">
        <v>5199</v>
      </c>
      <c r="BN354">
        <v>29926930</v>
      </c>
      <c r="BO354" t="s">
        <v>211</v>
      </c>
      <c r="BP354" t="s">
        <v>74</v>
      </c>
      <c r="BQ354" t="s">
        <v>74</v>
      </c>
      <c r="BR354" t="s">
        <v>104</v>
      </c>
      <c r="BS354" t="s">
        <v>7283</v>
      </c>
      <c r="BT354" t="str">
        <f>HYPERLINK("https%3A%2F%2Fwww.webofscience.com%2Fwos%2Fwoscc%2Ffull-record%2FWOS:000441247300011","View Full Record in Web of Science")</f>
        <v>View Full Record in Web of Science</v>
      </c>
    </row>
    <row r="355" spans="1:72" x14ac:dyDescent="0.15">
      <c r="A355" t="s">
        <v>72</v>
      </c>
      <c r="B355" t="s">
        <v>7284</v>
      </c>
      <c r="C355" t="s">
        <v>74</v>
      </c>
      <c r="D355" t="s">
        <v>74</v>
      </c>
      <c r="E355" t="s">
        <v>74</v>
      </c>
      <c r="F355" t="s">
        <v>7285</v>
      </c>
      <c r="G355" t="s">
        <v>74</v>
      </c>
      <c r="H355" t="s">
        <v>74</v>
      </c>
      <c r="I355" t="s">
        <v>7286</v>
      </c>
      <c r="J355" t="s">
        <v>7287</v>
      </c>
      <c r="K355" t="s">
        <v>74</v>
      </c>
      <c r="L355" t="s">
        <v>74</v>
      </c>
      <c r="M355" t="s">
        <v>78</v>
      </c>
      <c r="N355" t="s">
        <v>79</v>
      </c>
      <c r="O355" t="s">
        <v>74</v>
      </c>
      <c r="P355" t="s">
        <v>74</v>
      </c>
      <c r="Q355" t="s">
        <v>74</v>
      </c>
      <c r="R355" t="s">
        <v>74</v>
      </c>
      <c r="S355" t="s">
        <v>74</v>
      </c>
      <c r="T355" t="s">
        <v>7288</v>
      </c>
      <c r="U355" t="s">
        <v>7289</v>
      </c>
      <c r="V355" t="s">
        <v>7290</v>
      </c>
      <c r="W355" t="s">
        <v>7291</v>
      </c>
      <c r="X355" t="s">
        <v>7292</v>
      </c>
      <c r="Y355" t="s">
        <v>7293</v>
      </c>
      <c r="Z355" t="s">
        <v>7294</v>
      </c>
      <c r="AA355" t="s">
        <v>7295</v>
      </c>
      <c r="AB355" t="s">
        <v>7296</v>
      </c>
      <c r="AC355" t="s">
        <v>7297</v>
      </c>
      <c r="AD355" t="s">
        <v>7298</v>
      </c>
      <c r="AE355" t="s">
        <v>7299</v>
      </c>
      <c r="AF355" t="s">
        <v>74</v>
      </c>
      <c r="AG355">
        <v>55</v>
      </c>
      <c r="AH355">
        <v>17</v>
      </c>
      <c r="AI355">
        <v>17</v>
      </c>
      <c r="AJ355">
        <v>0</v>
      </c>
      <c r="AK355">
        <v>4</v>
      </c>
      <c r="AL355" t="s">
        <v>430</v>
      </c>
      <c r="AM355" t="s">
        <v>286</v>
      </c>
      <c r="AN355" t="s">
        <v>431</v>
      </c>
      <c r="AO355" t="s">
        <v>7300</v>
      </c>
      <c r="AP355" t="s">
        <v>7301</v>
      </c>
      <c r="AQ355" t="s">
        <v>74</v>
      </c>
      <c r="AR355" t="s">
        <v>7302</v>
      </c>
      <c r="AS355" t="s">
        <v>7303</v>
      </c>
      <c r="AT355" t="s">
        <v>4616</v>
      </c>
      <c r="AU355">
        <v>2018</v>
      </c>
      <c r="AV355">
        <v>314</v>
      </c>
      <c r="AW355" t="s">
        <v>74</v>
      </c>
      <c r="AX355" t="s">
        <v>74</v>
      </c>
      <c r="AY355" t="s">
        <v>74</v>
      </c>
      <c r="AZ355" t="s">
        <v>74</v>
      </c>
      <c r="BA355" t="s">
        <v>74</v>
      </c>
      <c r="BB355">
        <v>28</v>
      </c>
      <c r="BC355">
        <v>40</v>
      </c>
      <c r="BD355" t="s">
        <v>74</v>
      </c>
      <c r="BE355" t="s">
        <v>7304</v>
      </c>
      <c r="BF355" t="str">
        <f>HYPERLINK("http://dx.doi.org/10.1016/j.precamres.2018.05.026","http://dx.doi.org/10.1016/j.precamres.2018.05.026")</f>
        <v>http://dx.doi.org/10.1016/j.precamres.2018.05.026</v>
      </c>
      <c r="BG355" t="s">
        <v>74</v>
      </c>
      <c r="BH355" t="s">
        <v>74</v>
      </c>
      <c r="BI355">
        <v>13</v>
      </c>
      <c r="BJ355" t="s">
        <v>182</v>
      </c>
      <c r="BK355" t="s">
        <v>101</v>
      </c>
      <c r="BL355" t="s">
        <v>183</v>
      </c>
      <c r="BM355" t="s">
        <v>7305</v>
      </c>
      <c r="BN355" t="s">
        <v>74</v>
      </c>
      <c r="BO355" t="s">
        <v>74</v>
      </c>
      <c r="BP355" t="s">
        <v>74</v>
      </c>
      <c r="BQ355" t="s">
        <v>74</v>
      </c>
      <c r="BR355" t="s">
        <v>104</v>
      </c>
      <c r="BS355" t="s">
        <v>7306</v>
      </c>
      <c r="BT355" t="str">
        <f>HYPERLINK("https%3A%2F%2Fwww.webofscience.com%2Fwos%2Fwoscc%2Ffull-record%2FWOS:000440959700002","View Full Record in Web of Science")</f>
        <v>View Full Record in Web of Science</v>
      </c>
    </row>
    <row r="356" spans="1:72" x14ac:dyDescent="0.15">
      <c r="A356" t="s">
        <v>72</v>
      </c>
      <c r="B356" t="s">
        <v>7307</v>
      </c>
      <c r="C356" t="s">
        <v>74</v>
      </c>
      <c r="D356" t="s">
        <v>74</v>
      </c>
      <c r="E356" t="s">
        <v>74</v>
      </c>
      <c r="F356" t="s">
        <v>7308</v>
      </c>
      <c r="G356" t="s">
        <v>74</v>
      </c>
      <c r="H356" t="s">
        <v>74</v>
      </c>
      <c r="I356" t="s">
        <v>7309</v>
      </c>
      <c r="J356" t="s">
        <v>7287</v>
      </c>
      <c r="K356" t="s">
        <v>74</v>
      </c>
      <c r="L356" t="s">
        <v>74</v>
      </c>
      <c r="M356" t="s">
        <v>78</v>
      </c>
      <c r="N356" t="s">
        <v>79</v>
      </c>
      <c r="O356" t="s">
        <v>74</v>
      </c>
      <c r="P356" t="s">
        <v>74</v>
      </c>
      <c r="Q356" t="s">
        <v>74</v>
      </c>
      <c r="R356" t="s">
        <v>74</v>
      </c>
      <c r="S356" t="s">
        <v>74</v>
      </c>
      <c r="T356" t="s">
        <v>7310</v>
      </c>
      <c r="U356" t="s">
        <v>7311</v>
      </c>
      <c r="V356" t="s">
        <v>7312</v>
      </c>
      <c r="W356" t="s">
        <v>7313</v>
      </c>
      <c r="X356" t="s">
        <v>7314</v>
      </c>
      <c r="Y356" t="s">
        <v>7315</v>
      </c>
      <c r="Z356" t="s">
        <v>7316</v>
      </c>
      <c r="AA356" t="s">
        <v>7317</v>
      </c>
      <c r="AB356" t="s">
        <v>7318</v>
      </c>
      <c r="AC356" t="s">
        <v>7319</v>
      </c>
      <c r="AD356" t="s">
        <v>7320</v>
      </c>
      <c r="AE356" t="s">
        <v>7321</v>
      </c>
      <c r="AF356" t="s">
        <v>74</v>
      </c>
      <c r="AG356">
        <v>127</v>
      </c>
      <c r="AH356">
        <v>7</v>
      </c>
      <c r="AI356">
        <v>8</v>
      </c>
      <c r="AJ356">
        <v>1</v>
      </c>
      <c r="AK356">
        <v>7</v>
      </c>
      <c r="AL356" t="s">
        <v>430</v>
      </c>
      <c r="AM356" t="s">
        <v>286</v>
      </c>
      <c r="AN356" t="s">
        <v>431</v>
      </c>
      <c r="AO356" t="s">
        <v>7300</v>
      </c>
      <c r="AP356" t="s">
        <v>7301</v>
      </c>
      <c r="AQ356" t="s">
        <v>74</v>
      </c>
      <c r="AR356" t="s">
        <v>7302</v>
      </c>
      <c r="AS356" t="s">
        <v>7303</v>
      </c>
      <c r="AT356" t="s">
        <v>4616</v>
      </c>
      <c r="AU356">
        <v>2018</v>
      </c>
      <c r="AV356">
        <v>314</v>
      </c>
      <c r="AW356" t="s">
        <v>74</v>
      </c>
      <c r="AX356" t="s">
        <v>74</v>
      </c>
      <c r="AY356" t="s">
        <v>74</v>
      </c>
      <c r="AZ356" t="s">
        <v>74</v>
      </c>
      <c r="BA356" t="s">
        <v>74</v>
      </c>
      <c r="BB356">
        <v>194</v>
      </c>
      <c r="BC356">
        <v>220</v>
      </c>
      <c r="BD356" t="s">
        <v>74</v>
      </c>
      <c r="BE356" t="s">
        <v>7322</v>
      </c>
      <c r="BF356" t="str">
        <f>HYPERLINK("http://dx.doi.org/10.1016/j.precamres.2018.06.006","http://dx.doi.org/10.1016/j.precamres.2018.06.006")</f>
        <v>http://dx.doi.org/10.1016/j.precamres.2018.06.006</v>
      </c>
      <c r="BG356" t="s">
        <v>74</v>
      </c>
      <c r="BH356" t="s">
        <v>74</v>
      </c>
      <c r="BI356">
        <v>27</v>
      </c>
      <c r="BJ356" t="s">
        <v>182</v>
      </c>
      <c r="BK356" t="s">
        <v>101</v>
      </c>
      <c r="BL356" t="s">
        <v>183</v>
      </c>
      <c r="BM356" t="s">
        <v>7305</v>
      </c>
      <c r="BN356" t="s">
        <v>74</v>
      </c>
      <c r="BO356" t="s">
        <v>74</v>
      </c>
      <c r="BP356" t="s">
        <v>74</v>
      </c>
      <c r="BQ356" t="s">
        <v>74</v>
      </c>
      <c r="BR356" t="s">
        <v>104</v>
      </c>
      <c r="BS356" t="s">
        <v>7323</v>
      </c>
      <c r="BT356" t="str">
        <f>HYPERLINK("https%3A%2F%2Fwww.webofscience.com%2Fwos%2Fwoscc%2Ffull-record%2FWOS:000440959700011","View Full Record in Web of Science")</f>
        <v>View Full Record in Web of Science</v>
      </c>
    </row>
    <row r="357" spans="1:72" x14ac:dyDescent="0.15">
      <c r="A357" t="s">
        <v>72</v>
      </c>
      <c r="B357" t="s">
        <v>7324</v>
      </c>
      <c r="C357" t="s">
        <v>74</v>
      </c>
      <c r="D357" t="s">
        <v>74</v>
      </c>
      <c r="E357" t="s">
        <v>74</v>
      </c>
      <c r="F357" t="s">
        <v>7325</v>
      </c>
      <c r="G357" t="s">
        <v>74</v>
      </c>
      <c r="H357" t="s">
        <v>74</v>
      </c>
      <c r="I357" t="s">
        <v>7326</v>
      </c>
      <c r="J357" t="s">
        <v>7327</v>
      </c>
      <c r="K357" t="s">
        <v>74</v>
      </c>
      <c r="L357" t="s">
        <v>74</v>
      </c>
      <c r="M357" t="s">
        <v>78</v>
      </c>
      <c r="N357" t="s">
        <v>79</v>
      </c>
      <c r="O357" t="s">
        <v>74</v>
      </c>
      <c r="P357" t="s">
        <v>74</v>
      </c>
      <c r="Q357" t="s">
        <v>74</v>
      </c>
      <c r="R357" t="s">
        <v>74</v>
      </c>
      <c r="S357" t="s">
        <v>74</v>
      </c>
      <c r="T357" t="s">
        <v>7328</v>
      </c>
      <c r="U357" t="s">
        <v>7329</v>
      </c>
      <c r="V357" t="s">
        <v>7330</v>
      </c>
      <c r="W357" t="s">
        <v>7331</v>
      </c>
      <c r="X357" t="s">
        <v>7332</v>
      </c>
      <c r="Y357" t="s">
        <v>7333</v>
      </c>
      <c r="Z357" t="s">
        <v>7334</v>
      </c>
      <c r="AA357" t="s">
        <v>7335</v>
      </c>
      <c r="AB357" t="s">
        <v>74</v>
      </c>
      <c r="AC357" t="s">
        <v>7336</v>
      </c>
      <c r="AD357" t="s">
        <v>7337</v>
      </c>
      <c r="AE357" t="s">
        <v>7338</v>
      </c>
      <c r="AF357" t="s">
        <v>74</v>
      </c>
      <c r="AG357">
        <v>38</v>
      </c>
      <c r="AH357">
        <v>4</v>
      </c>
      <c r="AI357">
        <v>5</v>
      </c>
      <c r="AJ357">
        <v>0</v>
      </c>
      <c r="AK357">
        <v>29</v>
      </c>
      <c r="AL357" t="s">
        <v>430</v>
      </c>
      <c r="AM357" t="s">
        <v>286</v>
      </c>
      <c r="AN357" t="s">
        <v>431</v>
      </c>
      <c r="AO357" t="s">
        <v>7339</v>
      </c>
      <c r="AP357" t="s">
        <v>7340</v>
      </c>
      <c r="AQ357" t="s">
        <v>74</v>
      </c>
      <c r="AR357" t="s">
        <v>7341</v>
      </c>
      <c r="AS357" t="s">
        <v>7342</v>
      </c>
      <c r="AT357" t="s">
        <v>4616</v>
      </c>
      <c r="AU357">
        <v>2018</v>
      </c>
      <c r="AV357">
        <v>116</v>
      </c>
      <c r="AW357" t="s">
        <v>74</v>
      </c>
      <c r="AX357" t="s">
        <v>74</v>
      </c>
      <c r="AY357" t="s">
        <v>74</v>
      </c>
      <c r="AZ357" t="s">
        <v>74</v>
      </c>
      <c r="BA357" t="s">
        <v>74</v>
      </c>
      <c r="BB357">
        <v>100</v>
      </c>
      <c r="BC357">
        <v>105</v>
      </c>
      <c r="BD357" t="s">
        <v>74</v>
      </c>
      <c r="BE357" t="s">
        <v>7343</v>
      </c>
      <c r="BF357" t="str">
        <f>HYPERLINK("http://dx.doi.org/10.1016/j.ijbiomac.2018.05.017","http://dx.doi.org/10.1016/j.ijbiomac.2018.05.017")</f>
        <v>http://dx.doi.org/10.1016/j.ijbiomac.2018.05.017</v>
      </c>
      <c r="BG357" t="s">
        <v>74</v>
      </c>
      <c r="BH357" t="s">
        <v>74</v>
      </c>
      <c r="BI357">
        <v>6</v>
      </c>
      <c r="BJ357" t="s">
        <v>7344</v>
      </c>
      <c r="BK357" t="s">
        <v>101</v>
      </c>
      <c r="BL357" t="s">
        <v>7345</v>
      </c>
      <c r="BM357" t="s">
        <v>7346</v>
      </c>
      <c r="BN357">
        <v>29733934</v>
      </c>
      <c r="BO357" t="s">
        <v>74</v>
      </c>
      <c r="BP357" t="s">
        <v>74</v>
      </c>
      <c r="BQ357" t="s">
        <v>74</v>
      </c>
      <c r="BR357" t="s">
        <v>104</v>
      </c>
      <c r="BS357" t="s">
        <v>7347</v>
      </c>
      <c r="BT357" t="str">
        <f>HYPERLINK("https%3A%2F%2Fwww.webofscience.com%2Fwos%2Fwoscc%2Ffull-record%2FWOS:000440120500013","View Full Record in Web of Science")</f>
        <v>View Full Record in Web of Science</v>
      </c>
    </row>
    <row r="358" spans="1:72" x14ac:dyDescent="0.15">
      <c r="A358" t="s">
        <v>72</v>
      </c>
      <c r="B358" t="s">
        <v>7348</v>
      </c>
      <c r="C358" t="s">
        <v>74</v>
      </c>
      <c r="D358" t="s">
        <v>74</v>
      </c>
      <c r="E358" t="s">
        <v>74</v>
      </c>
      <c r="F358" t="s">
        <v>7349</v>
      </c>
      <c r="G358" t="s">
        <v>74</v>
      </c>
      <c r="H358" t="s">
        <v>74</v>
      </c>
      <c r="I358" t="s">
        <v>7350</v>
      </c>
      <c r="J358" t="s">
        <v>466</v>
      </c>
      <c r="K358" t="s">
        <v>74</v>
      </c>
      <c r="L358" t="s">
        <v>74</v>
      </c>
      <c r="M358" t="s">
        <v>78</v>
      </c>
      <c r="N358" t="s">
        <v>79</v>
      </c>
      <c r="O358" t="s">
        <v>74</v>
      </c>
      <c r="P358" t="s">
        <v>74</v>
      </c>
      <c r="Q358" t="s">
        <v>74</v>
      </c>
      <c r="R358" t="s">
        <v>74</v>
      </c>
      <c r="S358" t="s">
        <v>74</v>
      </c>
      <c r="T358" t="s">
        <v>7351</v>
      </c>
      <c r="U358" t="s">
        <v>7352</v>
      </c>
      <c r="V358" t="s">
        <v>7353</v>
      </c>
      <c r="W358" t="s">
        <v>7354</v>
      </c>
      <c r="X358" t="s">
        <v>7355</v>
      </c>
      <c r="Y358" t="s">
        <v>7356</v>
      </c>
      <c r="Z358" t="s">
        <v>7357</v>
      </c>
      <c r="AA358" t="s">
        <v>7358</v>
      </c>
      <c r="AB358" t="s">
        <v>7359</v>
      </c>
      <c r="AC358" t="s">
        <v>7360</v>
      </c>
      <c r="AD358" t="s">
        <v>7361</v>
      </c>
      <c r="AE358" t="s">
        <v>7362</v>
      </c>
      <c r="AF358" t="s">
        <v>74</v>
      </c>
      <c r="AG358">
        <v>70</v>
      </c>
      <c r="AH358">
        <v>6</v>
      </c>
      <c r="AI358">
        <v>10</v>
      </c>
      <c r="AJ358">
        <v>0</v>
      </c>
      <c r="AK358">
        <v>12</v>
      </c>
      <c r="AL358" t="s">
        <v>430</v>
      </c>
      <c r="AM358" t="s">
        <v>286</v>
      </c>
      <c r="AN358" t="s">
        <v>431</v>
      </c>
      <c r="AO358" t="s">
        <v>479</v>
      </c>
      <c r="AP358" t="s">
        <v>480</v>
      </c>
      <c r="AQ358" t="s">
        <v>74</v>
      </c>
      <c r="AR358" t="s">
        <v>481</v>
      </c>
      <c r="AS358" t="s">
        <v>482</v>
      </c>
      <c r="AT358" t="s">
        <v>4851</v>
      </c>
      <c r="AU358">
        <v>2018</v>
      </c>
      <c r="AV358">
        <v>497</v>
      </c>
      <c r="AW358" t="s">
        <v>74</v>
      </c>
      <c r="AX358" t="s">
        <v>74</v>
      </c>
      <c r="AY358" t="s">
        <v>74</v>
      </c>
      <c r="AZ358" t="s">
        <v>74</v>
      </c>
      <c r="BA358" t="s">
        <v>74</v>
      </c>
      <c r="BB358">
        <v>113</v>
      </c>
      <c r="BC358">
        <v>122</v>
      </c>
      <c r="BD358" t="s">
        <v>74</v>
      </c>
      <c r="BE358" t="s">
        <v>7363</v>
      </c>
      <c r="BF358" t="str">
        <f>HYPERLINK("http://dx.doi.org/10.1016/j.epsl.2018.06.014","http://dx.doi.org/10.1016/j.epsl.2018.06.014")</f>
        <v>http://dx.doi.org/10.1016/j.epsl.2018.06.014</v>
      </c>
      <c r="BG358" t="s">
        <v>74</v>
      </c>
      <c r="BH358" t="s">
        <v>74</v>
      </c>
      <c r="BI358">
        <v>10</v>
      </c>
      <c r="BJ358" t="s">
        <v>484</v>
      </c>
      <c r="BK358" t="s">
        <v>101</v>
      </c>
      <c r="BL358" t="s">
        <v>484</v>
      </c>
      <c r="BM358" t="s">
        <v>7364</v>
      </c>
      <c r="BN358" t="s">
        <v>74</v>
      </c>
      <c r="BO358" t="s">
        <v>2417</v>
      </c>
      <c r="BP358" t="s">
        <v>74</v>
      </c>
      <c r="BQ358" t="s">
        <v>74</v>
      </c>
      <c r="BR358" t="s">
        <v>104</v>
      </c>
      <c r="BS358" t="s">
        <v>7365</v>
      </c>
      <c r="BT358" t="str">
        <f>HYPERLINK("https%3A%2F%2Fwww.webofscience.com%2Fwos%2Fwoscc%2Ffull-record%2FWOS:000440529100012","View Full Record in Web of Science")</f>
        <v>View Full Record in Web of Science</v>
      </c>
    </row>
    <row r="359" spans="1:72" x14ac:dyDescent="0.15">
      <c r="A359" t="s">
        <v>72</v>
      </c>
      <c r="B359" t="s">
        <v>7366</v>
      </c>
      <c r="C359" t="s">
        <v>74</v>
      </c>
      <c r="D359" t="s">
        <v>74</v>
      </c>
      <c r="E359" t="s">
        <v>74</v>
      </c>
      <c r="F359" t="s">
        <v>7367</v>
      </c>
      <c r="G359" t="s">
        <v>74</v>
      </c>
      <c r="H359" t="s">
        <v>74</v>
      </c>
      <c r="I359" t="s">
        <v>7368</v>
      </c>
      <c r="J359" t="s">
        <v>773</v>
      </c>
      <c r="K359" t="s">
        <v>74</v>
      </c>
      <c r="L359" t="s">
        <v>74</v>
      </c>
      <c r="M359" t="s">
        <v>78</v>
      </c>
      <c r="N359" t="s">
        <v>79</v>
      </c>
      <c r="O359" t="s">
        <v>74</v>
      </c>
      <c r="P359" t="s">
        <v>74</v>
      </c>
      <c r="Q359" t="s">
        <v>74</v>
      </c>
      <c r="R359" t="s">
        <v>74</v>
      </c>
      <c r="S359" t="s">
        <v>74</v>
      </c>
      <c r="T359" t="s">
        <v>7369</v>
      </c>
      <c r="U359" t="s">
        <v>7370</v>
      </c>
      <c r="V359" t="s">
        <v>7371</v>
      </c>
      <c r="W359" t="s">
        <v>7372</v>
      </c>
      <c r="X359" t="s">
        <v>7373</v>
      </c>
      <c r="Y359" t="s">
        <v>7374</v>
      </c>
      <c r="Z359" t="s">
        <v>7375</v>
      </c>
      <c r="AA359" t="s">
        <v>7376</v>
      </c>
      <c r="AB359" t="s">
        <v>7377</v>
      </c>
      <c r="AC359" t="s">
        <v>7378</v>
      </c>
      <c r="AD359" t="s">
        <v>7379</v>
      </c>
      <c r="AE359" t="s">
        <v>7380</v>
      </c>
      <c r="AF359" t="s">
        <v>74</v>
      </c>
      <c r="AG359">
        <v>77</v>
      </c>
      <c r="AH359">
        <v>24</v>
      </c>
      <c r="AI359">
        <v>24</v>
      </c>
      <c r="AJ359">
        <v>0</v>
      </c>
      <c r="AK359">
        <v>10</v>
      </c>
      <c r="AL359" t="s">
        <v>785</v>
      </c>
      <c r="AM359" t="s">
        <v>786</v>
      </c>
      <c r="AN359" t="s">
        <v>787</v>
      </c>
      <c r="AO359" t="s">
        <v>788</v>
      </c>
      <c r="AP359" t="s">
        <v>789</v>
      </c>
      <c r="AQ359" t="s">
        <v>74</v>
      </c>
      <c r="AR359" t="s">
        <v>790</v>
      </c>
      <c r="AS359" t="s">
        <v>791</v>
      </c>
      <c r="AT359" t="s">
        <v>4616</v>
      </c>
      <c r="AU359">
        <v>2018</v>
      </c>
      <c r="AV359">
        <v>31</v>
      </c>
      <c r="AW359">
        <v>18</v>
      </c>
      <c r="AX359" t="s">
        <v>74</v>
      </c>
      <c r="AY359" t="s">
        <v>74</v>
      </c>
      <c r="AZ359" t="s">
        <v>74</v>
      </c>
      <c r="BA359" t="s">
        <v>74</v>
      </c>
      <c r="BB359">
        <v>7313</v>
      </c>
      <c r="BC359">
        <v>7336</v>
      </c>
      <c r="BD359" t="s">
        <v>74</v>
      </c>
      <c r="BE359" t="s">
        <v>7381</v>
      </c>
      <c r="BF359" t="str">
        <f>HYPERLINK("http://dx.doi.org/10.1175/JCLI-D-17-0592.1","http://dx.doi.org/10.1175/JCLI-D-17-0592.1")</f>
        <v>http://dx.doi.org/10.1175/JCLI-D-17-0592.1</v>
      </c>
      <c r="BG359" t="s">
        <v>74</v>
      </c>
      <c r="BH359" t="s">
        <v>74</v>
      </c>
      <c r="BI359">
        <v>24</v>
      </c>
      <c r="BJ359" t="s">
        <v>369</v>
      </c>
      <c r="BK359" t="s">
        <v>101</v>
      </c>
      <c r="BL359" t="s">
        <v>369</v>
      </c>
      <c r="BM359" t="s">
        <v>5175</v>
      </c>
      <c r="BN359" t="s">
        <v>74</v>
      </c>
      <c r="BO359" t="s">
        <v>486</v>
      </c>
      <c r="BP359" t="s">
        <v>74</v>
      </c>
      <c r="BQ359" t="s">
        <v>74</v>
      </c>
      <c r="BR359" t="s">
        <v>104</v>
      </c>
      <c r="BS359" t="s">
        <v>7382</v>
      </c>
      <c r="BT359" t="str">
        <f>HYPERLINK("https%3A%2F%2Fwww.webofscience.com%2Fwos%2Fwoscc%2Ffull-record%2FWOS:000440402800009","View Full Record in Web of Science")</f>
        <v>View Full Record in Web of Science</v>
      </c>
    </row>
    <row r="360" spans="1:72" x14ac:dyDescent="0.15">
      <c r="A360" t="s">
        <v>72</v>
      </c>
      <c r="B360" t="s">
        <v>7383</v>
      </c>
      <c r="C360" t="s">
        <v>74</v>
      </c>
      <c r="D360" t="s">
        <v>74</v>
      </c>
      <c r="E360" t="s">
        <v>74</v>
      </c>
      <c r="F360" t="s">
        <v>7384</v>
      </c>
      <c r="G360" t="s">
        <v>74</v>
      </c>
      <c r="H360" t="s">
        <v>74</v>
      </c>
      <c r="I360" t="s">
        <v>7385</v>
      </c>
      <c r="J360" t="s">
        <v>1529</v>
      </c>
      <c r="K360" t="s">
        <v>74</v>
      </c>
      <c r="L360" t="s">
        <v>74</v>
      </c>
      <c r="M360" t="s">
        <v>78</v>
      </c>
      <c r="N360" t="s">
        <v>79</v>
      </c>
      <c r="O360" t="s">
        <v>74</v>
      </c>
      <c r="P360" t="s">
        <v>74</v>
      </c>
      <c r="Q360" t="s">
        <v>74</v>
      </c>
      <c r="R360" t="s">
        <v>74</v>
      </c>
      <c r="S360" t="s">
        <v>74</v>
      </c>
      <c r="T360" t="s">
        <v>7386</v>
      </c>
      <c r="U360" t="s">
        <v>7387</v>
      </c>
      <c r="V360" t="s">
        <v>7388</v>
      </c>
      <c r="W360" t="s">
        <v>7389</v>
      </c>
      <c r="X360" t="s">
        <v>7390</v>
      </c>
      <c r="Y360" t="s">
        <v>7391</v>
      </c>
      <c r="Z360" t="s">
        <v>7392</v>
      </c>
      <c r="AA360" t="s">
        <v>7393</v>
      </c>
      <c r="AB360" t="s">
        <v>7394</v>
      </c>
      <c r="AC360" t="s">
        <v>7395</v>
      </c>
      <c r="AD360" t="s">
        <v>7396</v>
      </c>
      <c r="AE360" t="s">
        <v>7397</v>
      </c>
      <c r="AF360" t="s">
        <v>74</v>
      </c>
      <c r="AG360">
        <v>54</v>
      </c>
      <c r="AH360">
        <v>22</v>
      </c>
      <c r="AI360">
        <v>23</v>
      </c>
      <c r="AJ360">
        <v>0</v>
      </c>
      <c r="AK360">
        <v>30</v>
      </c>
      <c r="AL360" t="s">
        <v>92</v>
      </c>
      <c r="AM360" t="s">
        <v>93</v>
      </c>
      <c r="AN360" t="s">
        <v>94</v>
      </c>
      <c r="AO360" t="s">
        <v>1536</v>
      </c>
      <c r="AP360" t="s">
        <v>1537</v>
      </c>
      <c r="AQ360" t="s">
        <v>74</v>
      </c>
      <c r="AR360" t="s">
        <v>1538</v>
      </c>
      <c r="AS360" t="s">
        <v>1539</v>
      </c>
      <c r="AT360" t="s">
        <v>4616</v>
      </c>
      <c r="AU360">
        <v>2018</v>
      </c>
      <c r="AV360">
        <v>214</v>
      </c>
      <c r="AW360">
        <v>3</v>
      </c>
      <c r="AX360" t="s">
        <v>74</v>
      </c>
      <c r="AY360" t="s">
        <v>74</v>
      </c>
      <c r="AZ360" t="s">
        <v>74</v>
      </c>
      <c r="BA360" t="s">
        <v>74</v>
      </c>
      <c r="BB360">
        <v>1652</v>
      </c>
      <c r="BC360">
        <v>1664</v>
      </c>
      <c r="BD360" t="s">
        <v>74</v>
      </c>
      <c r="BE360" t="s">
        <v>7398</v>
      </c>
      <c r="BF360" t="str">
        <f>HYPERLINK("http://dx.doi.org/10.1093/gji/ggy217","http://dx.doi.org/10.1093/gji/ggy217")</f>
        <v>http://dx.doi.org/10.1093/gji/ggy217</v>
      </c>
      <c r="BG360" t="s">
        <v>74</v>
      </c>
      <c r="BH360" t="s">
        <v>74</v>
      </c>
      <c r="BI360">
        <v>13</v>
      </c>
      <c r="BJ360" t="s">
        <v>484</v>
      </c>
      <c r="BK360" t="s">
        <v>101</v>
      </c>
      <c r="BL360" t="s">
        <v>484</v>
      </c>
      <c r="BM360" t="s">
        <v>7399</v>
      </c>
      <c r="BN360" t="s">
        <v>74</v>
      </c>
      <c r="BO360" t="s">
        <v>74</v>
      </c>
      <c r="BP360" t="s">
        <v>74</v>
      </c>
      <c r="BQ360" t="s">
        <v>74</v>
      </c>
      <c r="BR360" t="s">
        <v>104</v>
      </c>
      <c r="BS360" t="s">
        <v>7400</v>
      </c>
      <c r="BT360" t="str">
        <f>HYPERLINK("https%3A%2F%2Fwww.webofscience.com%2Fwos%2Fwoscc%2Ffull-record%2FWOS:000439648000009","View Full Record in Web of Science")</f>
        <v>View Full Record in Web of Science</v>
      </c>
    </row>
    <row r="361" spans="1:72" x14ac:dyDescent="0.15">
      <c r="A361" t="s">
        <v>72</v>
      </c>
      <c r="B361" t="s">
        <v>7401</v>
      </c>
      <c r="C361" t="s">
        <v>74</v>
      </c>
      <c r="D361" t="s">
        <v>74</v>
      </c>
      <c r="E361" t="s">
        <v>74</v>
      </c>
      <c r="F361" t="s">
        <v>7402</v>
      </c>
      <c r="G361" t="s">
        <v>74</v>
      </c>
      <c r="H361" t="s">
        <v>74</v>
      </c>
      <c r="I361" t="s">
        <v>7403</v>
      </c>
      <c r="J361" t="s">
        <v>1529</v>
      </c>
      <c r="K361" t="s">
        <v>74</v>
      </c>
      <c r="L361" t="s">
        <v>74</v>
      </c>
      <c r="M361" t="s">
        <v>78</v>
      </c>
      <c r="N361" t="s">
        <v>79</v>
      </c>
      <c r="O361" t="s">
        <v>74</v>
      </c>
      <c r="P361" t="s">
        <v>74</v>
      </c>
      <c r="Q361" t="s">
        <v>74</v>
      </c>
      <c r="R361" t="s">
        <v>74</v>
      </c>
      <c r="S361" t="s">
        <v>74</v>
      </c>
      <c r="T361" t="s">
        <v>7404</v>
      </c>
      <c r="U361" t="s">
        <v>7405</v>
      </c>
      <c r="V361" t="s">
        <v>7406</v>
      </c>
      <c r="W361" t="s">
        <v>7407</v>
      </c>
      <c r="X361" t="s">
        <v>7408</v>
      </c>
      <c r="Y361" t="s">
        <v>7409</v>
      </c>
      <c r="Z361" t="s">
        <v>7410</v>
      </c>
      <c r="AA361" t="s">
        <v>7411</v>
      </c>
      <c r="AB361" t="s">
        <v>7412</v>
      </c>
      <c r="AC361" t="s">
        <v>7413</v>
      </c>
      <c r="AD361" t="s">
        <v>7414</v>
      </c>
      <c r="AE361" t="s">
        <v>7415</v>
      </c>
      <c r="AF361" t="s">
        <v>74</v>
      </c>
      <c r="AG361">
        <v>43</v>
      </c>
      <c r="AH361">
        <v>31</v>
      </c>
      <c r="AI361">
        <v>34</v>
      </c>
      <c r="AJ361">
        <v>0</v>
      </c>
      <c r="AK361">
        <v>25</v>
      </c>
      <c r="AL361" t="s">
        <v>92</v>
      </c>
      <c r="AM361" t="s">
        <v>93</v>
      </c>
      <c r="AN361" t="s">
        <v>94</v>
      </c>
      <c r="AO361" t="s">
        <v>1536</v>
      </c>
      <c r="AP361" t="s">
        <v>1537</v>
      </c>
      <c r="AQ361" t="s">
        <v>74</v>
      </c>
      <c r="AR361" t="s">
        <v>1538</v>
      </c>
      <c r="AS361" t="s">
        <v>1539</v>
      </c>
      <c r="AT361" t="s">
        <v>4616</v>
      </c>
      <c r="AU361">
        <v>2018</v>
      </c>
      <c r="AV361">
        <v>214</v>
      </c>
      <c r="AW361">
        <v>3</v>
      </c>
      <c r="AX361" t="s">
        <v>74</v>
      </c>
      <c r="AY361" t="s">
        <v>74</v>
      </c>
      <c r="AZ361" t="s">
        <v>74</v>
      </c>
      <c r="BA361" t="s">
        <v>74</v>
      </c>
      <c r="BB361">
        <v>2164</v>
      </c>
      <c r="BC361">
        <v>2176</v>
      </c>
      <c r="BD361" t="s">
        <v>74</v>
      </c>
      <c r="BE361" t="s">
        <v>7416</v>
      </c>
      <c r="BF361" t="str">
        <f>HYPERLINK("http://dx.doi.org/10.1093/gji/ggy235","http://dx.doi.org/10.1093/gji/ggy235")</f>
        <v>http://dx.doi.org/10.1093/gji/ggy235</v>
      </c>
      <c r="BG361" t="s">
        <v>74</v>
      </c>
      <c r="BH361" t="s">
        <v>74</v>
      </c>
      <c r="BI361">
        <v>13</v>
      </c>
      <c r="BJ361" t="s">
        <v>484</v>
      </c>
      <c r="BK361" t="s">
        <v>101</v>
      </c>
      <c r="BL361" t="s">
        <v>484</v>
      </c>
      <c r="BM361" t="s">
        <v>7399</v>
      </c>
      <c r="BN361" t="s">
        <v>74</v>
      </c>
      <c r="BO361" t="s">
        <v>7417</v>
      </c>
      <c r="BP361" t="s">
        <v>74</v>
      </c>
      <c r="BQ361" t="s">
        <v>74</v>
      </c>
      <c r="BR361" t="s">
        <v>104</v>
      </c>
      <c r="BS361" t="s">
        <v>7418</v>
      </c>
      <c r="BT361" t="str">
        <f>HYPERLINK("https%3A%2F%2Fwww.webofscience.com%2Fwos%2Fwoscc%2Ffull-record%2FWOS:000439648000041","View Full Record in Web of Science")</f>
        <v>View Full Record in Web of Science</v>
      </c>
    </row>
    <row r="362" spans="1:72" x14ac:dyDescent="0.15">
      <c r="A362" t="s">
        <v>72</v>
      </c>
      <c r="B362" t="s">
        <v>7419</v>
      </c>
      <c r="C362" t="s">
        <v>74</v>
      </c>
      <c r="D362" t="s">
        <v>74</v>
      </c>
      <c r="E362" t="s">
        <v>74</v>
      </c>
      <c r="F362" t="s">
        <v>7420</v>
      </c>
      <c r="G362" t="s">
        <v>74</v>
      </c>
      <c r="H362" t="s">
        <v>74</v>
      </c>
      <c r="I362" t="s">
        <v>7421</v>
      </c>
      <c r="J362" t="s">
        <v>4315</v>
      </c>
      <c r="K362" t="s">
        <v>74</v>
      </c>
      <c r="L362" t="s">
        <v>74</v>
      </c>
      <c r="M362" t="s">
        <v>78</v>
      </c>
      <c r="N362" t="s">
        <v>79</v>
      </c>
      <c r="O362" t="s">
        <v>74</v>
      </c>
      <c r="P362" t="s">
        <v>74</v>
      </c>
      <c r="Q362" t="s">
        <v>74</v>
      </c>
      <c r="R362" t="s">
        <v>74</v>
      </c>
      <c r="S362" t="s">
        <v>74</v>
      </c>
      <c r="T362" t="s">
        <v>7422</v>
      </c>
      <c r="U362" t="s">
        <v>7423</v>
      </c>
      <c r="V362" t="s">
        <v>7424</v>
      </c>
      <c r="W362" t="s">
        <v>7425</v>
      </c>
      <c r="X362" t="s">
        <v>7426</v>
      </c>
      <c r="Y362" t="s">
        <v>7427</v>
      </c>
      <c r="Z362" t="s">
        <v>7428</v>
      </c>
      <c r="AA362" t="s">
        <v>74</v>
      </c>
      <c r="AB362" t="s">
        <v>7429</v>
      </c>
      <c r="AC362" t="s">
        <v>7430</v>
      </c>
      <c r="AD362" t="s">
        <v>7431</v>
      </c>
      <c r="AE362" t="s">
        <v>7432</v>
      </c>
      <c r="AF362" t="s">
        <v>74</v>
      </c>
      <c r="AG362">
        <v>25</v>
      </c>
      <c r="AH362">
        <v>2</v>
      </c>
      <c r="AI362">
        <v>3</v>
      </c>
      <c r="AJ362">
        <v>0</v>
      </c>
      <c r="AK362">
        <v>7</v>
      </c>
      <c r="AL362" t="s">
        <v>4328</v>
      </c>
      <c r="AM362" t="s">
        <v>4329</v>
      </c>
      <c r="AN362" t="s">
        <v>4330</v>
      </c>
      <c r="AO362" t="s">
        <v>4331</v>
      </c>
      <c r="AP362" t="s">
        <v>4332</v>
      </c>
      <c r="AQ362" t="s">
        <v>74</v>
      </c>
      <c r="AR362" t="s">
        <v>4315</v>
      </c>
      <c r="AS362" t="s">
        <v>4333</v>
      </c>
      <c r="AT362" t="s">
        <v>7433</v>
      </c>
      <c r="AU362">
        <v>2018</v>
      </c>
      <c r="AV362">
        <v>4466</v>
      </c>
      <c r="AW362">
        <v>1</v>
      </c>
      <c r="AX362" t="s">
        <v>74</v>
      </c>
      <c r="AY362" t="s">
        <v>74</v>
      </c>
      <c r="AZ362" t="s">
        <v>74</v>
      </c>
      <c r="BA362" t="s">
        <v>74</v>
      </c>
      <c r="BB362">
        <v>197</v>
      </c>
      <c r="BC362">
        <v>204</v>
      </c>
      <c r="BD362" t="s">
        <v>74</v>
      </c>
      <c r="BE362" t="s">
        <v>7434</v>
      </c>
      <c r="BF362" t="str">
        <f>HYPERLINK("http://dx.doi.org/10.11646/zootaxa.4466.1.15","http://dx.doi.org/10.11646/zootaxa.4466.1.15")</f>
        <v>http://dx.doi.org/10.11646/zootaxa.4466.1.15</v>
      </c>
      <c r="BG362" t="s">
        <v>74</v>
      </c>
      <c r="BH362" t="s">
        <v>74</v>
      </c>
      <c r="BI362">
        <v>8</v>
      </c>
      <c r="BJ362" t="s">
        <v>2343</v>
      </c>
      <c r="BK362" t="s">
        <v>101</v>
      </c>
      <c r="BL362" t="s">
        <v>2343</v>
      </c>
      <c r="BM362" t="s">
        <v>7435</v>
      </c>
      <c r="BN362">
        <v>30313447</v>
      </c>
      <c r="BO362" t="s">
        <v>74</v>
      </c>
      <c r="BP362" t="s">
        <v>74</v>
      </c>
      <c r="BQ362" t="s">
        <v>74</v>
      </c>
      <c r="BR362" t="s">
        <v>104</v>
      </c>
      <c r="BS362" t="s">
        <v>7436</v>
      </c>
      <c r="BT362" t="str">
        <f>HYPERLINK("https%3A%2F%2Fwww.webofscience.com%2Fwos%2Fwoscc%2Ffull-record%2FWOS:000443110800013","View Full Record in Web of Science")</f>
        <v>View Full Record in Web of Science</v>
      </c>
    </row>
    <row r="363" spans="1:72" x14ac:dyDescent="0.15">
      <c r="A363" t="s">
        <v>72</v>
      </c>
      <c r="B363" t="s">
        <v>7437</v>
      </c>
      <c r="C363" t="s">
        <v>74</v>
      </c>
      <c r="D363" t="s">
        <v>74</v>
      </c>
      <c r="E363" t="s">
        <v>74</v>
      </c>
      <c r="F363" t="s">
        <v>7438</v>
      </c>
      <c r="G363" t="s">
        <v>74</v>
      </c>
      <c r="H363" t="s">
        <v>74</v>
      </c>
      <c r="I363" t="s">
        <v>7439</v>
      </c>
      <c r="J363" t="s">
        <v>7440</v>
      </c>
      <c r="K363" t="s">
        <v>74</v>
      </c>
      <c r="L363" t="s">
        <v>74</v>
      </c>
      <c r="M363" t="s">
        <v>78</v>
      </c>
      <c r="N363" t="s">
        <v>52</v>
      </c>
      <c r="O363" t="s">
        <v>7441</v>
      </c>
      <c r="P363" t="s">
        <v>7442</v>
      </c>
      <c r="Q363" t="s">
        <v>7443</v>
      </c>
      <c r="R363" t="s">
        <v>74</v>
      </c>
      <c r="S363" t="s">
        <v>74</v>
      </c>
      <c r="T363" t="s">
        <v>74</v>
      </c>
      <c r="U363" t="s">
        <v>74</v>
      </c>
      <c r="V363" t="s">
        <v>74</v>
      </c>
      <c r="W363" t="s">
        <v>7444</v>
      </c>
      <c r="X363" t="s">
        <v>7445</v>
      </c>
      <c r="Y363" t="s">
        <v>74</v>
      </c>
      <c r="Z363" t="s">
        <v>7446</v>
      </c>
      <c r="AA363" t="s">
        <v>7447</v>
      </c>
      <c r="AB363" t="s">
        <v>7448</v>
      </c>
      <c r="AC363" t="s">
        <v>7449</v>
      </c>
      <c r="AD363" t="s">
        <v>7450</v>
      </c>
      <c r="AE363" t="s">
        <v>7451</v>
      </c>
      <c r="AF363" t="s">
        <v>74</v>
      </c>
      <c r="AG363">
        <v>0</v>
      </c>
      <c r="AH363">
        <v>1</v>
      </c>
      <c r="AI363">
        <v>1</v>
      </c>
      <c r="AJ363">
        <v>0</v>
      </c>
      <c r="AK363">
        <v>2</v>
      </c>
      <c r="AL363" t="s">
        <v>430</v>
      </c>
      <c r="AM363" t="s">
        <v>286</v>
      </c>
      <c r="AN363" t="s">
        <v>431</v>
      </c>
      <c r="AO363" t="s">
        <v>7452</v>
      </c>
      <c r="AP363" t="s">
        <v>7453</v>
      </c>
      <c r="AQ363" t="s">
        <v>74</v>
      </c>
      <c r="AR363" t="s">
        <v>7454</v>
      </c>
      <c r="AS363" t="s">
        <v>7455</v>
      </c>
      <c r="AT363" t="s">
        <v>7456</v>
      </c>
      <c r="AU363">
        <v>2018</v>
      </c>
      <c r="AV363">
        <v>280</v>
      </c>
      <c r="AW363" t="s">
        <v>74</v>
      </c>
      <c r="AX363" t="s">
        <v>74</v>
      </c>
      <c r="AY363" t="s">
        <v>7457</v>
      </c>
      <c r="AZ363" t="s">
        <v>74</v>
      </c>
      <c r="BA363" t="s">
        <v>74</v>
      </c>
      <c r="BB363" t="s">
        <v>7458</v>
      </c>
      <c r="BC363" t="s">
        <v>7458</v>
      </c>
      <c r="BD363" t="s">
        <v>74</v>
      </c>
      <c r="BE363" t="s">
        <v>7459</v>
      </c>
      <c r="BF363" t="str">
        <f>HYPERLINK("http://dx.doi.org/10.1016/j.jbiotec.2018.06.054","http://dx.doi.org/10.1016/j.jbiotec.2018.06.054")</f>
        <v>http://dx.doi.org/10.1016/j.jbiotec.2018.06.054</v>
      </c>
      <c r="BG363" t="s">
        <v>74</v>
      </c>
      <c r="BH363" t="s">
        <v>74</v>
      </c>
      <c r="BI363">
        <v>1</v>
      </c>
      <c r="BJ363" t="s">
        <v>7460</v>
      </c>
      <c r="BK363" t="s">
        <v>158</v>
      </c>
      <c r="BL363" t="s">
        <v>7460</v>
      </c>
      <c r="BM363" t="s">
        <v>7461</v>
      </c>
      <c r="BN363" t="s">
        <v>74</v>
      </c>
      <c r="BO363" t="s">
        <v>74</v>
      </c>
      <c r="BP363" t="s">
        <v>74</v>
      </c>
      <c r="BQ363" t="s">
        <v>74</v>
      </c>
      <c r="BR363" t="s">
        <v>104</v>
      </c>
      <c r="BS363" t="s">
        <v>7462</v>
      </c>
      <c r="BT363" t="str">
        <f>HYPERLINK("https%3A%2F%2Fwww.webofscience.com%2Fwos%2Fwoscc%2Ffull-record%2FWOS:000454825900052","View Full Record in Web of Science")</f>
        <v>View Full Record in Web of Science</v>
      </c>
    </row>
    <row r="364" spans="1:72" x14ac:dyDescent="0.15">
      <c r="A364" t="s">
        <v>72</v>
      </c>
      <c r="B364" t="s">
        <v>7463</v>
      </c>
      <c r="C364" t="s">
        <v>74</v>
      </c>
      <c r="D364" t="s">
        <v>74</v>
      </c>
      <c r="E364" t="s">
        <v>74</v>
      </c>
      <c r="F364" t="s">
        <v>7464</v>
      </c>
      <c r="G364" t="s">
        <v>74</v>
      </c>
      <c r="H364" t="s">
        <v>74</v>
      </c>
      <c r="I364" t="s">
        <v>7465</v>
      </c>
      <c r="J364" t="s">
        <v>7466</v>
      </c>
      <c r="K364" t="s">
        <v>74</v>
      </c>
      <c r="L364" t="s">
        <v>74</v>
      </c>
      <c r="M364" t="s">
        <v>78</v>
      </c>
      <c r="N364" t="s">
        <v>79</v>
      </c>
      <c r="O364" t="s">
        <v>74</v>
      </c>
      <c r="P364" t="s">
        <v>74</v>
      </c>
      <c r="Q364" t="s">
        <v>74</v>
      </c>
      <c r="R364" t="s">
        <v>74</v>
      </c>
      <c r="S364" t="s">
        <v>74</v>
      </c>
      <c r="T364" t="s">
        <v>7467</v>
      </c>
      <c r="U364" t="s">
        <v>74</v>
      </c>
      <c r="V364" t="s">
        <v>7468</v>
      </c>
      <c r="W364" t="s">
        <v>7469</v>
      </c>
      <c r="X364" t="s">
        <v>7470</v>
      </c>
      <c r="Y364" t="s">
        <v>7471</v>
      </c>
      <c r="Z364" t="s">
        <v>7472</v>
      </c>
      <c r="AA364" t="s">
        <v>7473</v>
      </c>
      <c r="AB364" t="s">
        <v>7474</v>
      </c>
      <c r="AC364" t="s">
        <v>7475</v>
      </c>
      <c r="AD364" t="s">
        <v>7476</v>
      </c>
      <c r="AE364" t="s">
        <v>7477</v>
      </c>
      <c r="AF364" t="s">
        <v>74</v>
      </c>
      <c r="AG364">
        <v>9</v>
      </c>
      <c r="AH364">
        <v>4</v>
      </c>
      <c r="AI364">
        <v>4</v>
      </c>
      <c r="AJ364">
        <v>1</v>
      </c>
      <c r="AK364">
        <v>10</v>
      </c>
      <c r="AL364" t="s">
        <v>7478</v>
      </c>
      <c r="AM364" t="s">
        <v>4765</v>
      </c>
      <c r="AN364" t="s">
        <v>7479</v>
      </c>
      <c r="AO364" t="s">
        <v>7480</v>
      </c>
      <c r="AP364" t="s">
        <v>7481</v>
      </c>
      <c r="AQ364" t="s">
        <v>74</v>
      </c>
      <c r="AR364" t="s">
        <v>7482</v>
      </c>
      <c r="AS364" t="s">
        <v>7483</v>
      </c>
      <c r="AT364" t="s">
        <v>7456</v>
      </c>
      <c r="AU364">
        <v>2018</v>
      </c>
      <c r="AV364">
        <v>51</v>
      </c>
      <c r="AW364" t="s">
        <v>74</v>
      </c>
      <c r="AX364" t="s">
        <v>74</v>
      </c>
      <c r="AY364" t="s">
        <v>74</v>
      </c>
      <c r="AZ364" t="s">
        <v>74</v>
      </c>
      <c r="BA364" t="s">
        <v>74</v>
      </c>
      <c r="BB364" t="s">
        <v>74</v>
      </c>
      <c r="BC364" t="s">
        <v>74</v>
      </c>
      <c r="BD364">
        <v>29</v>
      </c>
      <c r="BE364" t="s">
        <v>7484</v>
      </c>
      <c r="BF364" t="str">
        <f>HYPERLINK("http://dx.doi.org/10.1186/s40659-018-0178-3","http://dx.doi.org/10.1186/s40659-018-0178-3")</f>
        <v>http://dx.doi.org/10.1186/s40659-018-0178-3</v>
      </c>
      <c r="BG364" t="s">
        <v>74</v>
      </c>
      <c r="BH364" t="s">
        <v>74</v>
      </c>
      <c r="BI364">
        <v>7</v>
      </c>
      <c r="BJ364" t="s">
        <v>7485</v>
      </c>
      <c r="BK364" t="s">
        <v>101</v>
      </c>
      <c r="BL364" t="s">
        <v>7486</v>
      </c>
      <c r="BM364" t="s">
        <v>7487</v>
      </c>
      <c r="BN364">
        <v>30165896</v>
      </c>
      <c r="BO364" t="s">
        <v>439</v>
      </c>
      <c r="BP364" t="s">
        <v>74</v>
      </c>
      <c r="BQ364" t="s">
        <v>74</v>
      </c>
      <c r="BR364" t="s">
        <v>104</v>
      </c>
      <c r="BS364" t="s">
        <v>7488</v>
      </c>
      <c r="BT364" t="str">
        <f>HYPERLINK("https%3A%2F%2Fwww.webofscience.com%2Fwos%2Fwoscc%2Ffull-record%2FWOS:000443121000001","View Full Record in Web of Science")</f>
        <v>View Full Record in Web of Science</v>
      </c>
    </row>
    <row r="365" spans="1:72" x14ac:dyDescent="0.15">
      <c r="A365" t="s">
        <v>72</v>
      </c>
      <c r="B365" t="s">
        <v>7489</v>
      </c>
      <c r="C365" t="s">
        <v>74</v>
      </c>
      <c r="D365" t="s">
        <v>74</v>
      </c>
      <c r="E365" t="s">
        <v>74</v>
      </c>
      <c r="F365" t="s">
        <v>7490</v>
      </c>
      <c r="G365" t="s">
        <v>74</v>
      </c>
      <c r="H365" t="s">
        <v>74</v>
      </c>
      <c r="I365" t="s">
        <v>7491</v>
      </c>
      <c r="J365" t="s">
        <v>3268</v>
      </c>
      <c r="K365" t="s">
        <v>74</v>
      </c>
      <c r="L365" t="s">
        <v>74</v>
      </c>
      <c r="M365" t="s">
        <v>78</v>
      </c>
      <c r="N365" t="s">
        <v>79</v>
      </c>
      <c r="O365" t="s">
        <v>74</v>
      </c>
      <c r="P365" t="s">
        <v>74</v>
      </c>
      <c r="Q365" t="s">
        <v>74</v>
      </c>
      <c r="R365" t="s">
        <v>74</v>
      </c>
      <c r="S365" t="s">
        <v>74</v>
      </c>
      <c r="T365" t="s">
        <v>74</v>
      </c>
      <c r="U365" t="s">
        <v>7492</v>
      </c>
      <c r="V365" t="s">
        <v>7493</v>
      </c>
      <c r="W365" t="s">
        <v>7494</v>
      </c>
      <c r="X365" t="s">
        <v>7495</v>
      </c>
      <c r="Y365" t="s">
        <v>7496</v>
      </c>
      <c r="Z365" t="s">
        <v>7497</v>
      </c>
      <c r="AA365" t="s">
        <v>7498</v>
      </c>
      <c r="AB365" t="s">
        <v>7499</v>
      </c>
      <c r="AC365" t="s">
        <v>7500</v>
      </c>
      <c r="AD365" t="s">
        <v>7501</v>
      </c>
      <c r="AE365" t="s">
        <v>7502</v>
      </c>
      <c r="AF365" t="s">
        <v>74</v>
      </c>
      <c r="AG365">
        <v>71</v>
      </c>
      <c r="AH365">
        <v>43</v>
      </c>
      <c r="AI365">
        <v>47</v>
      </c>
      <c r="AJ365">
        <v>3</v>
      </c>
      <c r="AK365">
        <v>18</v>
      </c>
      <c r="AL365" t="s">
        <v>1159</v>
      </c>
      <c r="AM365" t="s">
        <v>704</v>
      </c>
      <c r="AN365" t="s">
        <v>2728</v>
      </c>
      <c r="AO365" t="s">
        <v>3280</v>
      </c>
      <c r="AP365" t="s">
        <v>74</v>
      </c>
      <c r="AQ365" t="s">
        <v>74</v>
      </c>
      <c r="AR365" t="s">
        <v>3281</v>
      </c>
      <c r="AS365" t="s">
        <v>3282</v>
      </c>
      <c r="AT365" t="s">
        <v>7456</v>
      </c>
      <c r="AU365">
        <v>2018</v>
      </c>
      <c r="AV365">
        <v>9</v>
      </c>
      <c r="AW365" t="s">
        <v>74</v>
      </c>
      <c r="AX365" t="s">
        <v>74</v>
      </c>
      <c r="AY365" t="s">
        <v>74</v>
      </c>
      <c r="AZ365" t="s">
        <v>74</v>
      </c>
      <c r="BA365" t="s">
        <v>74</v>
      </c>
      <c r="BB365" t="s">
        <v>74</v>
      </c>
      <c r="BC365" t="s">
        <v>74</v>
      </c>
      <c r="BD365">
        <v>3537</v>
      </c>
      <c r="BE365" t="s">
        <v>7503</v>
      </c>
      <c r="BF365" t="str">
        <f>HYPERLINK("http://dx.doi.org/10.1038/s41467-018-05430-y","http://dx.doi.org/10.1038/s41467-018-05430-y")</f>
        <v>http://dx.doi.org/10.1038/s41467-018-05430-y</v>
      </c>
      <c r="BG365" t="s">
        <v>74</v>
      </c>
      <c r="BH365" t="s">
        <v>74</v>
      </c>
      <c r="BI365">
        <v>10</v>
      </c>
      <c r="BJ365" t="s">
        <v>436</v>
      </c>
      <c r="BK365" t="s">
        <v>101</v>
      </c>
      <c r="BL365" t="s">
        <v>437</v>
      </c>
      <c r="BM365" t="s">
        <v>7504</v>
      </c>
      <c r="BN365">
        <v>30166550</v>
      </c>
      <c r="BO365" t="s">
        <v>1502</v>
      </c>
      <c r="BP365" t="s">
        <v>74</v>
      </c>
      <c r="BQ365" t="s">
        <v>74</v>
      </c>
      <c r="BR365" t="s">
        <v>104</v>
      </c>
      <c r="BS365" t="s">
        <v>7505</v>
      </c>
      <c r="BT365" t="str">
        <f>HYPERLINK("https%3A%2F%2Fwww.webofscience.com%2Fwos%2Fwoscc%2Ffull-record%2FWOS:000443155400001","View Full Record in Web of Science")</f>
        <v>View Full Record in Web of Science</v>
      </c>
    </row>
    <row r="366" spans="1:72" x14ac:dyDescent="0.15">
      <c r="A366" t="s">
        <v>72</v>
      </c>
      <c r="B366" t="s">
        <v>7506</v>
      </c>
      <c r="C366" t="s">
        <v>74</v>
      </c>
      <c r="D366" t="s">
        <v>74</v>
      </c>
      <c r="E366" t="s">
        <v>74</v>
      </c>
      <c r="F366" t="s">
        <v>7507</v>
      </c>
      <c r="G366" t="s">
        <v>74</v>
      </c>
      <c r="H366" t="s">
        <v>74</v>
      </c>
      <c r="I366" t="s">
        <v>7508</v>
      </c>
      <c r="J366" t="s">
        <v>3588</v>
      </c>
      <c r="K366" t="s">
        <v>74</v>
      </c>
      <c r="L366" t="s">
        <v>74</v>
      </c>
      <c r="M366" t="s">
        <v>78</v>
      </c>
      <c r="N366" t="s">
        <v>79</v>
      </c>
      <c r="O366" t="s">
        <v>74</v>
      </c>
      <c r="P366" t="s">
        <v>74</v>
      </c>
      <c r="Q366" t="s">
        <v>74</v>
      </c>
      <c r="R366" t="s">
        <v>74</v>
      </c>
      <c r="S366" t="s">
        <v>74</v>
      </c>
      <c r="T366" t="s">
        <v>74</v>
      </c>
      <c r="U366" t="s">
        <v>7509</v>
      </c>
      <c r="V366" t="s">
        <v>7510</v>
      </c>
      <c r="W366" t="s">
        <v>7511</v>
      </c>
      <c r="X366" t="s">
        <v>7512</v>
      </c>
      <c r="Y366" t="s">
        <v>7513</v>
      </c>
      <c r="Z366" t="s">
        <v>7514</v>
      </c>
      <c r="AA366" t="s">
        <v>7515</v>
      </c>
      <c r="AB366" t="s">
        <v>7516</v>
      </c>
      <c r="AC366" t="s">
        <v>7517</v>
      </c>
      <c r="AD366" t="s">
        <v>7517</v>
      </c>
      <c r="AE366" t="s">
        <v>7518</v>
      </c>
      <c r="AF366" t="s">
        <v>74</v>
      </c>
      <c r="AG366">
        <v>78</v>
      </c>
      <c r="AH366">
        <v>13</v>
      </c>
      <c r="AI366">
        <v>13</v>
      </c>
      <c r="AJ366">
        <v>3</v>
      </c>
      <c r="AK366">
        <v>16</v>
      </c>
      <c r="AL366" t="s">
        <v>3599</v>
      </c>
      <c r="AM366" t="s">
        <v>3600</v>
      </c>
      <c r="AN366" t="s">
        <v>3601</v>
      </c>
      <c r="AO366" t="s">
        <v>3602</v>
      </c>
      <c r="AP366" t="s">
        <v>74</v>
      </c>
      <c r="AQ366" t="s">
        <v>74</v>
      </c>
      <c r="AR366" t="s">
        <v>3588</v>
      </c>
      <c r="AS366" t="s">
        <v>3603</v>
      </c>
      <c r="AT366" t="s">
        <v>7519</v>
      </c>
      <c r="AU366">
        <v>2018</v>
      </c>
      <c r="AV366">
        <v>13</v>
      </c>
      <c r="AW366">
        <v>8</v>
      </c>
      <c r="AX366" t="s">
        <v>74</v>
      </c>
      <c r="AY366" t="s">
        <v>74</v>
      </c>
      <c r="AZ366" t="s">
        <v>74</v>
      </c>
      <c r="BA366" t="s">
        <v>74</v>
      </c>
      <c r="BB366" t="s">
        <v>74</v>
      </c>
      <c r="BC366" t="s">
        <v>74</v>
      </c>
      <c r="BD366" t="s">
        <v>7520</v>
      </c>
      <c r="BE366" t="s">
        <v>7521</v>
      </c>
      <c r="BF366" t="str">
        <f>HYPERLINK("http://dx.doi.org/10.1371/journal.pone.0198688","http://dx.doi.org/10.1371/journal.pone.0198688")</f>
        <v>http://dx.doi.org/10.1371/journal.pone.0198688</v>
      </c>
      <c r="BG366" t="s">
        <v>74</v>
      </c>
      <c r="BH366" t="s">
        <v>74</v>
      </c>
      <c r="BI366">
        <v>20</v>
      </c>
      <c r="BJ366" t="s">
        <v>436</v>
      </c>
      <c r="BK366" t="s">
        <v>101</v>
      </c>
      <c r="BL366" t="s">
        <v>437</v>
      </c>
      <c r="BM366" t="s">
        <v>7522</v>
      </c>
      <c r="BN366">
        <v>30157174</v>
      </c>
      <c r="BO366" t="s">
        <v>4310</v>
      </c>
      <c r="BP366" t="s">
        <v>74</v>
      </c>
      <c r="BQ366" t="s">
        <v>74</v>
      </c>
      <c r="BR366" t="s">
        <v>104</v>
      </c>
      <c r="BS366" t="s">
        <v>7523</v>
      </c>
      <c r="BT366" t="str">
        <f>HYPERLINK("https%3A%2F%2Fwww.webofscience.com%2Fwos%2Fwoscc%2Ffull-record%2FWOS:000443071400002","View Full Record in Web of Science")</f>
        <v>View Full Record in Web of Science</v>
      </c>
    </row>
    <row r="367" spans="1:72" x14ac:dyDescent="0.15">
      <c r="A367" t="s">
        <v>72</v>
      </c>
      <c r="B367" t="s">
        <v>7524</v>
      </c>
      <c r="C367" t="s">
        <v>74</v>
      </c>
      <c r="D367" t="s">
        <v>74</v>
      </c>
      <c r="E367" t="s">
        <v>74</v>
      </c>
      <c r="F367" t="s">
        <v>7525</v>
      </c>
      <c r="G367" t="s">
        <v>74</v>
      </c>
      <c r="H367" t="s">
        <v>74</v>
      </c>
      <c r="I367" t="s">
        <v>7526</v>
      </c>
      <c r="J367" t="s">
        <v>3089</v>
      </c>
      <c r="K367" t="s">
        <v>74</v>
      </c>
      <c r="L367" t="s">
        <v>74</v>
      </c>
      <c r="M367" t="s">
        <v>78</v>
      </c>
      <c r="N367" t="s">
        <v>79</v>
      </c>
      <c r="O367" t="s">
        <v>74</v>
      </c>
      <c r="P367" t="s">
        <v>74</v>
      </c>
      <c r="Q367" t="s">
        <v>74</v>
      </c>
      <c r="R367" t="s">
        <v>74</v>
      </c>
      <c r="S367" t="s">
        <v>74</v>
      </c>
      <c r="T367" t="s">
        <v>7527</v>
      </c>
      <c r="U367" t="s">
        <v>7528</v>
      </c>
      <c r="V367" t="s">
        <v>7529</v>
      </c>
      <c r="W367" t="s">
        <v>7530</v>
      </c>
      <c r="X367" t="s">
        <v>7531</v>
      </c>
      <c r="Y367" t="s">
        <v>7532</v>
      </c>
      <c r="Z367" t="s">
        <v>7533</v>
      </c>
      <c r="AA367" t="s">
        <v>74</v>
      </c>
      <c r="AB367" t="s">
        <v>7534</v>
      </c>
      <c r="AC367" t="s">
        <v>7535</v>
      </c>
      <c r="AD367" t="s">
        <v>7536</v>
      </c>
      <c r="AE367" t="s">
        <v>7537</v>
      </c>
      <c r="AF367" t="s">
        <v>74</v>
      </c>
      <c r="AG367">
        <v>38</v>
      </c>
      <c r="AH367">
        <v>13</v>
      </c>
      <c r="AI367">
        <v>14</v>
      </c>
      <c r="AJ367">
        <v>3</v>
      </c>
      <c r="AK367">
        <v>17</v>
      </c>
      <c r="AL367" t="s">
        <v>503</v>
      </c>
      <c r="AM367" t="s">
        <v>504</v>
      </c>
      <c r="AN367" t="s">
        <v>505</v>
      </c>
      <c r="AO367" t="s">
        <v>3100</v>
      </c>
      <c r="AP367" t="s">
        <v>3101</v>
      </c>
      <c r="AQ367" t="s">
        <v>74</v>
      </c>
      <c r="AR367" t="s">
        <v>3102</v>
      </c>
      <c r="AS367" t="s">
        <v>3103</v>
      </c>
      <c r="AT367" t="s">
        <v>7538</v>
      </c>
      <c r="AU367">
        <v>2018</v>
      </c>
      <c r="AV367">
        <v>45</v>
      </c>
      <c r="AW367">
        <v>16</v>
      </c>
      <c r="AX367" t="s">
        <v>74</v>
      </c>
      <c r="AY367" t="s">
        <v>74</v>
      </c>
      <c r="AZ367" t="s">
        <v>74</v>
      </c>
      <c r="BA367" t="s">
        <v>74</v>
      </c>
      <c r="BB367">
        <v>8352</v>
      </c>
      <c r="BC367">
        <v>8362</v>
      </c>
      <c r="BD367" t="s">
        <v>74</v>
      </c>
      <c r="BE367" t="s">
        <v>7539</v>
      </c>
      <c r="BF367" t="str">
        <f>HYPERLINK("http://dx.doi.org/10.1029/2018GL077869","http://dx.doi.org/10.1029/2018GL077869")</f>
        <v>http://dx.doi.org/10.1029/2018GL077869</v>
      </c>
      <c r="BG367" t="s">
        <v>74</v>
      </c>
      <c r="BH367" t="s">
        <v>74</v>
      </c>
      <c r="BI367">
        <v>11</v>
      </c>
      <c r="BJ367" t="s">
        <v>182</v>
      </c>
      <c r="BK367" t="s">
        <v>101</v>
      </c>
      <c r="BL367" t="s">
        <v>183</v>
      </c>
      <c r="BM367" t="s">
        <v>7540</v>
      </c>
      <c r="BN367" t="s">
        <v>74</v>
      </c>
      <c r="BO367" t="s">
        <v>7541</v>
      </c>
      <c r="BP367" t="s">
        <v>74</v>
      </c>
      <c r="BQ367" t="s">
        <v>74</v>
      </c>
      <c r="BR367" t="s">
        <v>104</v>
      </c>
      <c r="BS367" t="s">
        <v>7542</v>
      </c>
      <c r="BT367" t="str">
        <f>HYPERLINK("https%3A%2F%2Fwww.webofscience.com%2Fwos%2Fwoscc%2Ffull-record%2FWOS:000445612500053","View Full Record in Web of Science")</f>
        <v>View Full Record in Web of Science</v>
      </c>
    </row>
    <row r="368" spans="1:72" x14ac:dyDescent="0.15">
      <c r="A368" t="s">
        <v>72</v>
      </c>
      <c r="B368" t="s">
        <v>7543</v>
      </c>
      <c r="C368" t="s">
        <v>74</v>
      </c>
      <c r="D368" t="s">
        <v>74</v>
      </c>
      <c r="E368" t="s">
        <v>74</v>
      </c>
      <c r="F368" t="s">
        <v>7544</v>
      </c>
      <c r="G368" t="s">
        <v>74</v>
      </c>
      <c r="H368" t="s">
        <v>74</v>
      </c>
      <c r="I368" t="s">
        <v>7545</v>
      </c>
      <c r="J368" t="s">
        <v>3089</v>
      </c>
      <c r="K368" t="s">
        <v>74</v>
      </c>
      <c r="L368" t="s">
        <v>74</v>
      </c>
      <c r="M368" t="s">
        <v>78</v>
      </c>
      <c r="N368" t="s">
        <v>79</v>
      </c>
      <c r="O368" t="s">
        <v>74</v>
      </c>
      <c r="P368" t="s">
        <v>74</v>
      </c>
      <c r="Q368" t="s">
        <v>74</v>
      </c>
      <c r="R368" t="s">
        <v>74</v>
      </c>
      <c r="S368" t="s">
        <v>74</v>
      </c>
      <c r="T368" t="s">
        <v>7546</v>
      </c>
      <c r="U368" t="s">
        <v>7547</v>
      </c>
      <c r="V368" t="s">
        <v>7548</v>
      </c>
      <c r="W368" t="s">
        <v>7549</v>
      </c>
      <c r="X368" t="s">
        <v>7550</v>
      </c>
      <c r="Y368" t="s">
        <v>7551</v>
      </c>
      <c r="Z368" t="s">
        <v>7552</v>
      </c>
      <c r="AA368" t="s">
        <v>7553</v>
      </c>
      <c r="AB368" t="s">
        <v>7554</v>
      </c>
      <c r="AC368" t="s">
        <v>7555</v>
      </c>
      <c r="AD368" t="s">
        <v>7556</v>
      </c>
      <c r="AE368" t="s">
        <v>7557</v>
      </c>
      <c r="AF368" t="s">
        <v>74</v>
      </c>
      <c r="AG368">
        <v>38</v>
      </c>
      <c r="AH368">
        <v>25</v>
      </c>
      <c r="AI368">
        <v>26</v>
      </c>
      <c r="AJ368">
        <v>0</v>
      </c>
      <c r="AK368">
        <v>8</v>
      </c>
      <c r="AL368" t="s">
        <v>503</v>
      </c>
      <c r="AM368" t="s">
        <v>504</v>
      </c>
      <c r="AN368" t="s">
        <v>505</v>
      </c>
      <c r="AO368" t="s">
        <v>3100</v>
      </c>
      <c r="AP368" t="s">
        <v>3101</v>
      </c>
      <c r="AQ368" t="s">
        <v>74</v>
      </c>
      <c r="AR368" t="s">
        <v>3102</v>
      </c>
      <c r="AS368" t="s">
        <v>3103</v>
      </c>
      <c r="AT368" t="s">
        <v>7538</v>
      </c>
      <c r="AU368">
        <v>2018</v>
      </c>
      <c r="AV368">
        <v>45</v>
      </c>
      <c r="AW368">
        <v>16</v>
      </c>
      <c r="AX368" t="s">
        <v>74</v>
      </c>
      <c r="AY368" t="s">
        <v>74</v>
      </c>
      <c r="AZ368" t="s">
        <v>74</v>
      </c>
      <c r="BA368" t="s">
        <v>74</v>
      </c>
      <c r="BB368">
        <v>8399</v>
      </c>
      <c r="BC368">
        <v>8406</v>
      </c>
      <c r="BD368" t="s">
        <v>74</v>
      </c>
      <c r="BE368" t="s">
        <v>7558</v>
      </c>
      <c r="BF368" t="str">
        <f>HYPERLINK("http://dx.doi.org/10.1029/2018GL079174","http://dx.doi.org/10.1029/2018GL079174")</f>
        <v>http://dx.doi.org/10.1029/2018GL079174</v>
      </c>
      <c r="BG368" t="s">
        <v>74</v>
      </c>
      <c r="BH368" t="s">
        <v>74</v>
      </c>
      <c r="BI368">
        <v>8</v>
      </c>
      <c r="BJ368" t="s">
        <v>182</v>
      </c>
      <c r="BK368" t="s">
        <v>101</v>
      </c>
      <c r="BL368" t="s">
        <v>183</v>
      </c>
      <c r="BM368" t="s">
        <v>7540</v>
      </c>
      <c r="BN368" t="s">
        <v>74</v>
      </c>
      <c r="BO368" t="s">
        <v>712</v>
      </c>
      <c r="BP368" t="s">
        <v>74</v>
      </c>
      <c r="BQ368" t="s">
        <v>74</v>
      </c>
      <c r="BR368" t="s">
        <v>104</v>
      </c>
      <c r="BS368" t="s">
        <v>7559</v>
      </c>
      <c r="BT368" t="str">
        <f>HYPERLINK("https%3A%2F%2Fwww.webofscience.com%2Fwos%2Fwoscc%2Ffull-record%2FWOS:000445612500058","View Full Record in Web of Science")</f>
        <v>View Full Record in Web of Science</v>
      </c>
    </row>
    <row r="369" spans="1:72" x14ac:dyDescent="0.15">
      <c r="A369" t="s">
        <v>72</v>
      </c>
      <c r="B369" t="s">
        <v>7560</v>
      </c>
      <c r="C369" t="s">
        <v>74</v>
      </c>
      <c r="D369" t="s">
        <v>74</v>
      </c>
      <c r="E369" t="s">
        <v>74</v>
      </c>
      <c r="F369" t="s">
        <v>7561</v>
      </c>
      <c r="G369" t="s">
        <v>74</v>
      </c>
      <c r="H369" t="s">
        <v>74</v>
      </c>
      <c r="I369" t="s">
        <v>7562</v>
      </c>
      <c r="J369" t="s">
        <v>3089</v>
      </c>
      <c r="K369" t="s">
        <v>74</v>
      </c>
      <c r="L369" t="s">
        <v>74</v>
      </c>
      <c r="M369" t="s">
        <v>78</v>
      </c>
      <c r="N369" t="s">
        <v>79</v>
      </c>
      <c r="O369" t="s">
        <v>74</v>
      </c>
      <c r="P369" t="s">
        <v>74</v>
      </c>
      <c r="Q369" t="s">
        <v>74</v>
      </c>
      <c r="R369" t="s">
        <v>74</v>
      </c>
      <c r="S369" t="s">
        <v>74</v>
      </c>
      <c r="T369" t="s">
        <v>7563</v>
      </c>
      <c r="U369" t="s">
        <v>7564</v>
      </c>
      <c r="V369" t="s">
        <v>7565</v>
      </c>
      <c r="W369" t="s">
        <v>7566</v>
      </c>
      <c r="X369" t="s">
        <v>7567</v>
      </c>
      <c r="Y369" t="s">
        <v>7568</v>
      </c>
      <c r="Z369" t="s">
        <v>7569</v>
      </c>
      <c r="AA369" t="s">
        <v>7570</v>
      </c>
      <c r="AB369" t="s">
        <v>7571</v>
      </c>
      <c r="AC369" t="s">
        <v>7572</v>
      </c>
      <c r="AD369" t="s">
        <v>7573</v>
      </c>
      <c r="AE369" t="s">
        <v>7574</v>
      </c>
      <c r="AF369" t="s">
        <v>74</v>
      </c>
      <c r="AG369">
        <v>41</v>
      </c>
      <c r="AH369">
        <v>2</v>
      </c>
      <c r="AI369">
        <v>2</v>
      </c>
      <c r="AJ369">
        <v>1</v>
      </c>
      <c r="AK369">
        <v>6</v>
      </c>
      <c r="AL369" t="s">
        <v>503</v>
      </c>
      <c r="AM369" t="s">
        <v>504</v>
      </c>
      <c r="AN369" t="s">
        <v>505</v>
      </c>
      <c r="AO369" t="s">
        <v>3100</v>
      </c>
      <c r="AP369" t="s">
        <v>3101</v>
      </c>
      <c r="AQ369" t="s">
        <v>74</v>
      </c>
      <c r="AR369" t="s">
        <v>3102</v>
      </c>
      <c r="AS369" t="s">
        <v>3103</v>
      </c>
      <c r="AT369" t="s">
        <v>7538</v>
      </c>
      <c r="AU369">
        <v>2018</v>
      </c>
      <c r="AV369">
        <v>45</v>
      </c>
      <c r="AW369">
        <v>16</v>
      </c>
      <c r="AX369" t="s">
        <v>74</v>
      </c>
      <c r="AY369" t="s">
        <v>74</v>
      </c>
      <c r="AZ369" t="s">
        <v>74</v>
      </c>
      <c r="BA369" t="s">
        <v>74</v>
      </c>
      <c r="BB369">
        <v>7942</v>
      </c>
      <c r="BC369">
        <v>7950</v>
      </c>
      <c r="BD369" t="s">
        <v>74</v>
      </c>
      <c r="BE369" t="s">
        <v>7575</v>
      </c>
      <c r="BF369" t="str">
        <f>HYPERLINK("http://dx.doi.org/10.1029/2018GL078825","http://dx.doi.org/10.1029/2018GL078825")</f>
        <v>http://dx.doi.org/10.1029/2018GL078825</v>
      </c>
      <c r="BG369" t="s">
        <v>74</v>
      </c>
      <c r="BH369" t="s">
        <v>74</v>
      </c>
      <c r="BI369">
        <v>9</v>
      </c>
      <c r="BJ369" t="s">
        <v>182</v>
      </c>
      <c r="BK369" t="s">
        <v>101</v>
      </c>
      <c r="BL369" t="s">
        <v>183</v>
      </c>
      <c r="BM369" t="s">
        <v>7540</v>
      </c>
      <c r="BN369" t="s">
        <v>74</v>
      </c>
      <c r="BO369" t="s">
        <v>712</v>
      </c>
      <c r="BP369" t="s">
        <v>74</v>
      </c>
      <c r="BQ369" t="s">
        <v>74</v>
      </c>
      <c r="BR369" t="s">
        <v>104</v>
      </c>
      <c r="BS369" t="s">
        <v>7576</v>
      </c>
      <c r="BT369" t="str">
        <f>HYPERLINK("https%3A%2F%2Fwww.webofscience.com%2Fwos%2Fwoscc%2Ffull-record%2FWOS:000445612500007","View Full Record in Web of Science")</f>
        <v>View Full Record in Web of Science</v>
      </c>
    </row>
    <row r="370" spans="1:72" x14ac:dyDescent="0.15">
      <c r="A370" t="s">
        <v>72</v>
      </c>
      <c r="B370" t="s">
        <v>7577</v>
      </c>
      <c r="C370" t="s">
        <v>74</v>
      </c>
      <c r="D370" t="s">
        <v>74</v>
      </c>
      <c r="E370" t="s">
        <v>74</v>
      </c>
      <c r="F370" t="s">
        <v>7578</v>
      </c>
      <c r="G370" t="s">
        <v>74</v>
      </c>
      <c r="H370" t="s">
        <v>74</v>
      </c>
      <c r="I370" t="s">
        <v>7579</v>
      </c>
      <c r="J370" t="s">
        <v>3089</v>
      </c>
      <c r="K370" t="s">
        <v>74</v>
      </c>
      <c r="L370" t="s">
        <v>74</v>
      </c>
      <c r="M370" t="s">
        <v>78</v>
      </c>
      <c r="N370" t="s">
        <v>79</v>
      </c>
      <c r="O370" t="s">
        <v>74</v>
      </c>
      <c r="P370" t="s">
        <v>74</v>
      </c>
      <c r="Q370" t="s">
        <v>74</v>
      </c>
      <c r="R370" t="s">
        <v>74</v>
      </c>
      <c r="S370" t="s">
        <v>74</v>
      </c>
      <c r="T370" t="s">
        <v>74</v>
      </c>
      <c r="U370" t="s">
        <v>7580</v>
      </c>
      <c r="V370" t="s">
        <v>7581</v>
      </c>
      <c r="W370" t="s">
        <v>7582</v>
      </c>
      <c r="X370" t="s">
        <v>7583</v>
      </c>
      <c r="Y370" t="s">
        <v>7584</v>
      </c>
      <c r="Z370" t="s">
        <v>7585</v>
      </c>
      <c r="AA370" t="s">
        <v>7586</v>
      </c>
      <c r="AB370" t="s">
        <v>7587</v>
      </c>
      <c r="AC370" t="s">
        <v>7588</v>
      </c>
      <c r="AD370" t="s">
        <v>7589</v>
      </c>
      <c r="AE370" t="s">
        <v>7590</v>
      </c>
      <c r="AF370" t="s">
        <v>74</v>
      </c>
      <c r="AG370">
        <v>68</v>
      </c>
      <c r="AH370">
        <v>64</v>
      </c>
      <c r="AI370">
        <v>69</v>
      </c>
      <c r="AJ370">
        <v>4</v>
      </c>
      <c r="AK370">
        <v>26</v>
      </c>
      <c r="AL370" t="s">
        <v>503</v>
      </c>
      <c r="AM370" t="s">
        <v>504</v>
      </c>
      <c r="AN370" t="s">
        <v>505</v>
      </c>
      <c r="AO370" t="s">
        <v>3100</v>
      </c>
      <c r="AP370" t="s">
        <v>3101</v>
      </c>
      <c r="AQ370" t="s">
        <v>74</v>
      </c>
      <c r="AR370" t="s">
        <v>3102</v>
      </c>
      <c r="AS370" t="s">
        <v>3103</v>
      </c>
      <c r="AT370" t="s">
        <v>7538</v>
      </c>
      <c r="AU370">
        <v>2018</v>
      </c>
      <c r="AV370">
        <v>45</v>
      </c>
      <c r="AW370">
        <v>16</v>
      </c>
      <c r="AX370" t="s">
        <v>74</v>
      </c>
      <c r="AY370" t="s">
        <v>74</v>
      </c>
      <c r="AZ370" t="s">
        <v>74</v>
      </c>
      <c r="BA370" t="s">
        <v>74</v>
      </c>
      <c r="BB370">
        <v>8214</v>
      </c>
      <c r="BC370">
        <v>8222</v>
      </c>
      <c r="BD370" t="s">
        <v>74</v>
      </c>
      <c r="BE370" t="s">
        <v>7591</v>
      </c>
      <c r="BF370" t="str">
        <f>HYPERLINK("http://dx.doi.org/10.1029/2018GL078289","http://dx.doi.org/10.1029/2018GL078289")</f>
        <v>http://dx.doi.org/10.1029/2018GL078289</v>
      </c>
      <c r="BG370" t="s">
        <v>74</v>
      </c>
      <c r="BH370" t="s">
        <v>74</v>
      </c>
      <c r="BI370">
        <v>9</v>
      </c>
      <c r="BJ370" t="s">
        <v>182</v>
      </c>
      <c r="BK370" t="s">
        <v>101</v>
      </c>
      <c r="BL370" t="s">
        <v>183</v>
      </c>
      <c r="BM370" t="s">
        <v>7540</v>
      </c>
      <c r="BN370" t="s">
        <v>74</v>
      </c>
      <c r="BO370" t="s">
        <v>7592</v>
      </c>
      <c r="BP370" t="s">
        <v>74</v>
      </c>
      <c r="BQ370" t="s">
        <v>74</v>
      </c>
      <c r="BR370" t="s">
        <v>104</v>
      </c>
      <c r="BS370" t="s">
        <v>7593</v>
      </c>
      <c r="BT370" t="str">
        <f>HYPERLINK("https%3A%2F%2Fwww.webofscience.com%2Fwos%2Fwoscc%2Ffull-record%2FWOS:000445612500039","View Full Record in Web of Science")</f>
        <v>View Full Record in Web of Science</v>
      </c>
    </row>
    <row r="371" spans="1:72" x14ac:dyDescent="0.15">
      <c r="A371" t="s">
        <v>72</v>
      </c>
      <c r="B371" t="s">
        <v>7594</v>
      </c>
      <c r="C371" t="s">
        <v>74</v>
      </c>
      <c r="D371" t="s">
        <v>74</v>
      </c>
      <c r="E371" t="s">
        <v>74</v>
      </c>
      <c r="F371" t="s">
        <v>7595</v>
      </c>
      <c r="G371" t="s">
        <v>74</v>
      </c>
      <c r="H371" t="s">
        <v>74</v>
      </c>
      <c r="I371" t="s">
        <v>7596</v>
      </c>
      <c r="J371" t="s">
        <v>3089</v>
      </c>
      <c r="K371" t="s">
        <v>74</v>
      </c>
      <c r="L371" t="s">
        <v>74</v>
      </c>
      <c r="M371" t="s">
        <v>78</v>
      </c>
      <c r="N371" t="s">
        <v>79</v>
      </c>
      <c r="O371" t="s">
        <v>74</v>
      </c>
      <c r="P371" t="s">
        <v>74</v>
      </c>
      <c r="Q371" t="s">
        <v>74</v>
      </c>
      <c r="R371" t="s">
        <v>74</v>
      </c>
      <c r="S371" t="s">
        <v>74</v>
      </c>
      <c r="T371" t="s">
        <v>7597</v>
      </c>
      <c r="U371" t="s">
        <v>7598</v>
      </c>
      <c r="V371" t="s">
        <v>7599</v>
      </c>
      <c r="W371" t="s">
        <v>7600</v>
      </c>
      <c r="X371" t="s">
        <v>7601</v>
      </c>
      <c r="Y371" t="s">
        <v>7602</v>
      </c>
      <c r="Z371" t="s">
        <v>7603</v>
      </c>
      <c r="AA371" t="s">
        <v>7604</v>
      </c>
      <c r="AB371" t="s">
        <v>7605</v>
      </c>
      <c r="AC371" t="s">
        <v>7606</v>
      </c>
      <c r="AD371" t="s">
        <v>7607</v>
      </c>
      <c r="AE371" t="s">
        <v>7608</v>
      </c>
      <c r="AF371" t="s">
        <v>74</v>
      </c>
      <c r="AG371">
        <v>43</v>
      </c>
      <c r="AH371">
        <v>15</v>
      </c>
      <c r="AI371">
        <v>15</v>
      </c>
      <c r="AJ371">
        <v>1</v>
      </c>
      <c r="AK371">
        <v>12</v>
      </c>
      <c r="AL371" t="s">
        <v>503</v>
      </c>
      <c r="AM371" t="s">
        <v>504</v>
      </c>
      <c r="AN371" t="s">
        <v>505</v>
      </c>
      <c r="AO371" t="s">
        <v>3100</v>
      </c>
      <c r="AP371" t="s">
        <v>3101</v>
      </c>
      <c r="AQ371" t="s">
        <v>74</v>
      </c>
      <c r="AR371" t="s">
        <v>3102</v>
      </c>
      <c r="AS371" t="s">
        <v>3103</v>
      </c>
      <c r="AT371" t="s">
        <v>7538</v>
      </c>
      <c r="AU371">
        <v>2018</v>
      </c>
      <c r="AV371">
        <v>45</v>
      </c>
      <c r="AW371">
        <v>16</v>
      </c>
      <c r="AX371" t="s">
        <v>74</v>
      </c>
      <c r="AY371" t="s">
        <v>74</v>
      </c>
      <c r="AZ371" t="s">
        <v>74</v>
      </c>
      <c r="BA371" t="s">
        <v>74</v>
      </c>
      <c r="BB371">
        <v>8455</v>
      </c>
      <c r="BC371">
        <v>8461</v>
      </c>
      <c r="BD371" t="s">
        <v>74</v>
      </c>
      <c r="BE371" t="s">
        <v>7609</v>
      </c>
      <c r="BF371" t="str">
        <f>HYPERLINK("http://dx.doi.org/10.1029/2018GL079706","http://dx.doi.org/10.1029/2018GL079706")</f>
        <v>http://dx.doi.org/10.1029/2018GL079706</v>
      </c>
      <c r="BG371" t="s">
        <v>74</v>
      </c>
      <c r="BH371" t="s">
        <v>74</v>
      </c>
      <c r="BI371">
        <v>7</v>
      </c>
      <c r="BJ371" t="s">
        <v>182</v>
      </c>
      <c r="BK371" t="s">
        <v>101</v>
      </c>
      <c r="BL371" t="s">
        <v>183</v>
      </c>
      <c r="BM371" t="s">
        <v>7540</v>
      </c>
      <c r="BN371" t="s">
        <v>74</v>
      </c>
      <c r="BO371" t="s">
        <v>2417</v>
      </c>
      <c r="BP371" t="s">
        <v>74</v>
      </c>
      <c r="BQ371" t="s">
        <v>74</v>
      </c>
      <c r="BR371" t="s">
        <v>104</v>
      </c>
      <c r="BS371" t="s">
        <v>7610</v>
      </c>
      <c r="BT371" t="str">
        <f>HYPERLINK("https%3A%2F%2Fwww.webofscience.com%2Fwos%2Fwoscc%2Ffull-record%2FWOS:000445612500064","View Full Record in Web of Science")</f>
        <v>View Full Record in Web of Science</v>
      </c>
    </row>
    <row r="372" spans="1:72" x14ac:dyDescent="0.15">
      <c r="A372" t="s">
        <v>72</v>
      </c>
      <c r="B372" t="s">
        <v>7611</v>
      </c>
      <c r="C372" t="s">
        <v>74</v>
      </c>
      <c r="D372" t="s">
        <v>74</v>
      </c>
      <c r="E372" t="s">
        <v>74</v>
      </c>
      <c r="F372" t="s">
        <v>7612</v>
      </c>
      <c r="G372" t="s">
        <v>74</v>
      </c>
      <c r="H372" t="s">
        <v>74</v>
      </c>
      <c r="I372" t="s">
        <v>7613</v>
      </c>
      <c r="J372" t="s">
        <v>3089</v>
      </c>
      <c r="K372" t="s">
        <v>74</v>
      </c>
      <c r="L372" t="s">
        <v>74</v>
      </c>
      <c r="M372" t="s">
        <v>78</v>
      </c>
      <c r="N372" t="s">
        <v>79</v>
      </c>
      <c r="O372" t="s">
        <v>74</v>
      </c>
      <c r="P372" t="s">
        <v>74</v>
      </c>
      <c r="Q372" t="s">
        <v>74</v>
      </c>
      <c r="R372" t="s">
        <v>74</v>
      </c>
      <c r="S372" t="s">
        <v>74</v>
      </c>
      <c r="T372" t="s">
        <v>74</v>
      </c>
      <c r="U372" t="s">
        <v>7614</v>
      </c>
      <c r="V372" t="s">
        <v>7615</v>
      </c>
      <c r="W372" t="s">
        <v>7616</v>
      </c>
      <c r="X372" t="s">
        <v>7617</v>
      </c>
      <c r="Y372" t="s">
        <v>7618</v>
      </c>
      <c r="Z372" t="s">
        <v>7619</v>
      </c>
      <c r="AA372" t="s">
        <v>74</v>
      </c>
      <c r="AB372" t="s">
        <v>7620</v>
      </c>
      <c r="AC372" t="s">
        <v>7621</v>
      </c>
      <c r="AD372" t="s">
        <v>7622</v>
      </c>
      <c r="AE372" t="s">
        <v>7623</v>
      </c>
      <c r="AF372" t="s">
        <v>74</v>
      </c>
      <c r="AG372">
        <v>25</v>
      </c>
      <c r="AH372">
        <v>20</v>
      </c>
      <c r="AI372">
        <v>20</v>
      </c>
      <c r="AJ372">
        <v>1</v>
      </c>
      <c r="AK372">
        <v>5</v>
      </c>
      <c r="AL372" t="s">
        <v>503</v>
      </c>
      <c r="AM372" t="s">
        <v>504</v>
      </c>
      <c r="AN372" t="s">
        <v>505</v>
      </c>
      <c r="AO372" t="s">
        <v>3100</v>
      </c>
      <c r="AP372" t="s">
        <v>3101</v>
      </c>
      <c r="AQ372" t="s">
        <v>74</v>
      </c>
      <c r="AR372" t="s">
        <v>3102</v>
      </c>
      <c r="AS372" t="s">
        <v>3103</v>
      </c>
      <c r="AT372" t="s">
        <v>7538</v>
      </c>
      <c r="AU372">
        <v>2018</v>
      </c>
      <c r="AV372">
        <v>45</v>
      </c>
      <c r="AW372">
        <v>16</v>
      </c>
      <c r="AX372" t="s">
        <v>74</v>
      </c>
      <c r="AY372" t="s">
        <v>74</v>
      </c>
      <c r="AZ372" t="s">
        <v>74</v>
      </c>
      <c r="BA372" t="s">
        <v>74</v>
      </c>
      <c r="BB372">
        <v>8612</v>
      </c>
      <c r="BC372">
        <v>8618</v>
      </c>
      <c r="BD372" t="s">
        <v>74</v>
      </c>
      <c r="BE372" t="s">
        <v>7624</v>
      </c>
      <c r="BF372" t="str">
        <f>HYPERLINK("http://dx.doi.org/10.1029/2018GL078981","http://dx.doi.org/10.1029/2018GL078981")</f>
        <v>http://dx.doi.org/10.1029/2018GL078981</v>
      </c>
      <c r="BG372" t="s">
        <v>74</v>
      </c>
      <c r="BH372" t="s">
        <v>74</v>
      </c>
      <c r="BI372">
        <v>7</v>
      </c>
      <c r="BJ372" t="s">
        <v>182</v>
      </c>
      <c r="BK372" t="s">
        <v>101</v>
      </c>
      <c r="BL372" t="s">
        <v>183</v>
      </c>
      <c r="BM372" t="s">
        <v>7540</v>
      </c>
      <c r="BN372" t="s">
        <v>74</v>
      </c>
      <c r="BO372" t="s">
        <v>1477</v>
      </c>
      <c r="BP372" t="s">
        <v>74</v>
      </c>
      <c r="BQ372" t="s">
        <v>74</v>
      </c>
      <c r="BR372" t="s">
        <v>104</v>
      </c>
      <c r="BS372" t="s">
        <v>7625</v>
      </c>
      <c r="BT372" t="str">
        <f>HYPERLINK("https%3A%2F%2Fwww.webofscience.com%2Fwos%2Fwoscc%2Ffull-record%2FWOS:000445612500081","View Full Record in Web of Science")</f>
        <v>View Full Record in Web of Science</v>
      </c>
    </row>
    <row r="373" spans="1:72" x14ac:dyDescent="0.15">
      <c r="A373" t="s">
        <v>72</v>
      </c>
      <c r="B373" t="s">
        <v>7626</v>
      </c>
      <c r="C373" t="s">
        <v>74</v>
      </c>
      <c r="D373" t="s">
        <v>74</v>
      </c>
      <c r="E373" t="s">
        <v>74</v>
      </c>
      <c r="F373" t="s">
        <v>7627</v>
      </c>
      <c r="G373" t="s">
        <v>74</v>
      </c>
      <c r="H373" t="s">
        <v>74</v>
      </c>
      <c r="I373" t="s">
        <v>7628</v>
      </c>
      <c r="J373" t="s">
        <v>3089</v>
      </c>
      <c r="K373" t="s">
        <v>74</v>
      </c>
      <c r="L373" t="s">
        <v>74</v>
      </c>
      <c r="M373" t="s">
        <v>78</v>
      </c>
      <c r="N373" t="s">
        <v>79</v>
      </c>
      <c r="O373" t="s">
        <v>74</v>
      </c>
      <c r="P373" t="s">
        <v>74</v>
      </c>
      <c r="Q373" t="s">
        <v>74</v>
      </c>
      <c r="R373" t="s">
        <v>74</v>
      </c>
      <c r="S373" t="s">
        <v>74</v>
      </c>
      <c r="T373" t="s">
        <v>7629</v>
      </c>
      <c r="U373" t="s">
        <v>7630</v>
      </c>
      <c r="V373" t="s">
        <v>7631</v>
      </c>
      <c r="W373" t="s">
        <v>7632</v>
      </c>
      <c r="X373" t="s">
        <v>7633</v>
      </c>
      <c r="Y373" t="s">
        <v>7634</v>
      </c>
      <c r="Z373" t="s">
        <v>7635</v>
      </c>
      <c r="AA373" t="s">
        <v>74</v>
      </c>
      <c r="AB373" t="s">
        <v>7636</v>
      </c>
      <c r="AC373" t="s">
        <v>7637</v>
      </c>
      <c r="AD373" t="s">
        <v>7638</v>
      </c>
      <c r="AE373" t="s">
        <v>7639</v>
      </c>
      <c r="AF373" t="s">
        <v>74</v>
      </c>
      <c r="AG373">
        <v>38</v>
      </c>
      <c r="AH373">
        <v>5</v>
      </c>
      <c r="AI373">
        <v>5</v>
      </c>
      <c r="AJ373">
        <v>0</v>
      </c>
      <c r="AK373">
        <v>17</v>
      </c>
      <c r="AL373" t="s">
        <v>503</v>
      </c>
      <c r="AM373" t="s">
        <v>504</v>
      </c>
      <c r="AN373" t="s">
        <v>505</v>
      </c>
      <c r="AO373" t="s">
        <v>3100</v>
      </c>
      <c r="AP373" t="s">
        <v>3101</v>
      </c>
      <c r="AQ373" t="s">
        <v>74</v>
      </c>
      <c r="AR373" t="s">
        <v>3102</v>
      </c>
      <c r="AS373" t="s">
        <v>3103</v>
      </c>
      <c r="AT373" t="s">
        <v>7538</v>
      </c>
      <c r="AU373">
        <v>2018</v>
      </c>
      <c r="AV373">
        <v>45</v>
      </c>
      <c r="AW373">
        <v>16</v>
      </c>
      <c r="AX373" t="s">
        <v>74</v>
      </c>
      <c r="AY373" t="s">
        <v>74</v>
      </c>
      <c r="AZ373" t="s">
        <v>74</v>
      </c>
      <c r="BA373" t="s">
        <v>74</v>
      </c>
      <c r="BB373">
        <v>8673</v>
      </c>
      <c r="BC373">
        <v>8680</v>
      </c>
      <c r="BD373" t="s">
        <v>74</v>
      </c>
      <c r="BE373" t="s">
        <v>7640</v>
      </c>
      <c r="BF373" t="str">
        <f>HYPERLINK("http://dx.doi.org/10.1029/2018GL078659","http://dx.doi.org/10.1029/2018GL078659")</f>
        <v>http://dx.doi.org/10.1029/2018GL078659</v>
      </c>
      <c r="BG373" t="s">
        <v>74</v>
      </c>
      <c r="BH373" t="s">
        <v>74</v>
      </c>
      <c r="BI373">
        <v>8</v>
      </c>
      <c r="BJ373" t="s">
        <v>182</v>
      </c>
      <c r="BK373" t="s">
        <v>101</v>
      </c>
      <c r="BL373" t="s">
        <v>183</v>
      </c>
      <c r="BM373" t="s">
        <v>7540</v>
      </c>
      <c r="BN373" t="s">
        <v>74</v>
      </c>
      <c r="BO373" t="s">
        <v>835</v>
      </c>
      <c r="BP373" t="s">
        <v>74</v>
      </c>
      <c r="BQ373" t="s">
        <v>74</v>
      </c>
      <c r="BR373" t="s">
        <v>104</v>
      </c>
      <c r="BS373" t="s">
        <v>7641</v>
      </c>
      <c r="BT373" t="str">
        <f>HYPERLINK("https%3A%2F%2Fwww.webofscience.com%2Fwos%2Fwoscc%2Ffull-record%2FWOS:000445612500088","View Full Record in Web of Science")</f>
        <v>View Full Record in Web of Science</v>
      </c>
    </row>
    <row r="374" spans="1:72" x14ac:dyDescent="0.15">
      <c r="A374" t="s">
        <v>72</v>
      </c>
      <c r="B374" t="s">
        <v>7642</v>
      </c>
      <c r="C374" t="s">
        <v>74</v>
      </c>
      <c r="D374" t="s">
        <v>74</v>
      </c>
      <c r="E374" t="s">
        <v>74</v>
      </c>
      <c r="F374" t="s">
        <v>7643</v>
      </c>
      <c r="G374" t="s">
        <v>74</v>
      </c>
      <c r="H374" t="s">
        <v>74</v>
      </c>
      <c r="I374" t="s">
        <v>7644</v>
      </c>
      <c r="J374" t="s">
        <v>7645</v>
      </c>
      <c r="K374" t="s">
        <v>74</v>
      </c>
      <c r="L374" t="s">
        <v>74</v>
      </c>
      <c r="M374" t="s">
        <v>78</v>
      </c>
      <c r="N374" t="s">
        <v>79</v>
      </c>
      <c r="O374" t="s">
        <v>74</v>
      </c>
      <c r="P374" t="s">
        <v>74</v>
      </c>
      <c r="Q374" t="s">
        <v>74</v>
      </c>
      <c r="R374" t="s">
        <v>74</v>
      </c>
      <c r="S374" t="s">
        <v>74</v>
      </c>
      <c r="T374" t="s">
        <v>7646</v>
      </c>
      <c r="U374" t="s">
        <v>7647</v>
      </c>
      <c r="V374" t="s">
        <v>7648</v>
      </c>
      <c r="W374" t="s">
        <v>7649</v>
      </c>
      <c r="X374" t="s">
        <v>7650</v>
      </c>
      <c r="Y374" t="s">
        <v>7651</v>
      </c>
      <c r="Z374" t="s">
        <v>7652</v>
      </c>
      <c r="AA374" t="s">
        <v>7653</v>
      </c>
      <c r="AB374" t="s">
        <v>7654</v>
      </c>
      <c r="AC374" t="s">
        <v>7655</v>
      </c>
      <c r="AD374" t="s">
        <v>7656</v>
      </c>
      <c r="AE374" t="s">
        <v>7657</v>
      </c>
      <c r="AF374" t="s">
        <v>74</v>
      </c>
      <c r="AG374">
        <v>89</v>
      </c>
      <c r="AH374">
        <v>31</v>
      </c>
      <c r="AI374">
        <v>35</v>
      </c>
      <c r="AJ374">
        <v>6</v>
      </c>
      <c r="AK374">
        <v>53</v>
      </c>
      <c r="AL374" t="s">
        <v>3174</v>
      </c>
      <c r="AM374" t="s">
        <v>3175</v>
      </c>
      <c r="AN374" t="s">
        <v>3176</v>
      </c>
      <c r="AO374" t="s">
        <v>7658</v>
      </c>
      <c r="AP374" t="s">
        <v>74</v>
      </c>
      <c r="AQ374" t="s">
        <v>74</v>
      </c>
      <c r="AR374" t="s">
        <v>7659</v>
      </c>
      <c r="AS374" t="s">
        <v>7660</v>
      </c>
      <c r="AT374" t="s">
        <v>7538</v>
      </c>
      <c r="AU374">
        <v>2018</v>
      </c>
      <c r="AV374">
        <v>9</v>
      </c>
      <c r="AW374" t="s">
        <v>74</v>
      </c>
      <c r="AX374" t="s">
        <v>74</v>
      </c>
      <c r="AY374" t="s">
        <v>74</v>
      </c>
      <c r="AZ374" t="s">
        <v>74</v>
      </c>
      <c r="BA374" t="s">
        <v>74</v>
      </c>
      <c r="BB374" t="s">
        <v>74</v>
      </c>
      <c r="BC374" t="s">
        <v>74</v>
      </c>
      <c r="BD374">
        <v>2023</v>
      </c>
      <c r="BE374" t="s">
        <v>7661</v>
      </c>
      <c r="BF374" t="str">
        <f>HYPERLINK("http://dx.doi.org/10.3389/fmicb.2018.02023","http://dx.doi.org/10.3389/fmicb.2018.02023")</f>
        <v>http://dx.doi.org/10.3389/fmicb.2018.02023</v>
      </c>
      <c r="BG374" t="s">
        <v>74</v>
      </c>
      <c r="BH374" t="s">
        <v>74</v>
      </c>
      <c r="BI374">
        <v>13</v>
      </c>
      <c r="BJ374" t="s">
        <v>344</v>
      </c>
      <c r="BK374" t="s">
        <v>101</v>
      </c>
      <c r="BL374" t="s">
        <v>344</v>
      </c>
      <c r="BM374" t="s">
        <v>7662</v>
      </c>
      <c r="BN374">
        <v>30210485</v>
      </c>
      <c r="BO374" t="s">
        <v>1502</v>
      </c>
      <c r="BP374" t="s">
        <v>74</v>
      </c>
      <c r="BQ374" t="s">
        <v>74</v>
      </c>
      <c r="BR374" t="s">
        <v>104</v>
      </c>
      <c r="BS374" t="s">
        <v>7663</v>
      </c>
      <c r="BT374" t="str">
        <f>HYPERLINK("https%3A%2F%2Fwww.webofscience.com%2Fwos%2Fwoscc%2Ffull-record%2FWOS:000442869000001","View Full Record in Web of Science")</f>
        <v>View Full Record in Web of Science</v>
      </c>
    </row>
    <row r="375" spans="1:72" x14ac:dyDescent="0.15">
      <c r="A375" t="s">
        <v>72</v>
      </c>
      <c r="B375" t="s">
        <v>7664</v>
      </c>
      <c r="C375" t="s">
        <v>74</v>
      </c>
      <c r="D375" t="s">
        <v>74</v>
      </c>
      <c r="E375" t="s">
        <v>74</v>
      </c>
      <c r="F375" t="s">
        <v>7665</v>
      </c>
      <c r="G375" t="s">
        <v>74</v>
      </c>
      <c r="H375" t="s">
        <v>74</v>
      </c>
      <c r="I375" t="s">
        <v>7666</v>
      </c>
      <c r="J375" t="s">
        <v>3089</v>
      </c>
      <c r="K375" t="s">
        <v>74</v>
      </c>
      <c r="L375" t="s">
        <v>74</v>
      </c>
      <c r="M375" t="s">
        <v>78</v>
      </c>
      <c r="N375" t="s">
        <v>79</v>
      </c>
      <c r="O375" t="s">
        <v>74</v>
      </c>
      <c r="P375" t="s">
        <v>74</v>
      </c>
      <c r="Q375" t="s">
        <v>74</v>
      </c>
      <c r="R375" t="s">
        <v>74</v>
      </c>
      <c r="S375" t="s">
        <v>74</v>
      </c>
      <c r="T375" t="s">
        <v>7667</v>
      </c>
      <c r="U375" t="s">
        <v>7668</v>
      </c>
      <c r="V375" t="s">
        <v>7669</v>
      </c>
      <c r="W375" t="s">
        <v>7670</v>
      </c>
      <c r="X375" t="s">
        <v>7671</v>
      </c>
      <c r="Y375" t="s">
        <v>7672</v>
      </c>
      <c r="Z375" t="s">
        <v>7673</v>
      </c>
      <c r="AA375" t="s">
        <v>7674</v>
      </c>
      <c r="AB375" t="s">
        <v>7675</v>
      </c>
      <c r="AC375" t="s">
        <v>7676</v>
      </c>
      <c r="AD375" t="s">
        <v>7677</v>
      </c>
      <c r="AE375" t="s">
        <v>7678</v>
      </c>
      <c r="AF375" t="s">
        <v>74</v>
      </c>
      <c r="AG375">
        <v>29</v>
      </c>
      <c r="AH375">
        <v>9</v>
      </c>
      <c r="AI375">
        <v>9</v>
      </c>
      <c r="AJ375">
        <v>0</v>
      </c>
      <c r="AK375">
        <v>18</v>
      </c>
      <c r="AL375" t="s">
        <v>503</v>
      </c>
      <c r="AM375" t="s">
        <v>504</v>
      </c>
      <c r="AN375" t="s">
        <v>505</v>
      </c>
      <c r="AO375" t="s">
        <v>3100</v>
      </c>
      <c r="AP375" t="s">
        <v>3101</v>
      </c>
      <c r="AQ375" t="s">
        <v>74</v>
      </c>
      <c r="AR375" t="s">
        <v>3102</v>
      </c>
      <c r="AS375" t="s">
        <v>3103</v>
      </c>
      <c r="AT375" t="s">
        <v>7538</v>
      </c>
      <c r="AU375">
        <v>2018</v>
      </c>
      <c r="AV375">
        <v>45</v>
      </c>
      <c r="AW375">
        <v>16</v>
      </c>
      <c r="AX375" t="s">
        <v>74</v>
      </c>
      <c r="AY375" t="s">
        <v>74</v>
      </c>
      <c r="AZ375" t="s">
        <v>74</v>
      </c>
      <c r="BA375" t="s">
        <v>74</v>
      </c>
      <c r="BB375">
        <v>8304</v>
      </c>
      <c r="BC375">
        <v>8313</v>
      </c>
      <c r="BD375" t="s">
        <v>74</v>
      </c>
      <c r="BE375" t="s">
        <v>7679</v>
      </c>
      <c r="BF375" t="str">
        <f>HYPERLINK("http://dx.doi.org/10.1029/2018GL078077","http://dx.doi.org/10.1029/2018GL078077")</f>
        <v>http://dx.doi.org/10.1029/2018GL078077</v>
      </c>
      <c r="BG375" t="s">
        <v>74</v>
      </c>
      <c r="BH375" t="s">
        <v>74</v>
      </c>
      <c r="BI375">
        <v>10</v>
      </c>
      <c r="BJ375" t="s">
        <v>182</v>
      </c>
      <c r="BK375" t="s">
        <v>101</v>
      </c>
      <c r="BL375" t="s">
        <v>183</v>
      </c>
      <c r="BM375" t="s">
        <v>7540</v>
      </c>
      <c r="BN375" t="s">
        <v>74</v>
      </c>
      <c r="BO375" t="s">
        <v>7680</v>
      </c>
      <c r="BP375" t="s">
        <v>74</v>
      </c>
      <c r="BQ375" t="s">
        <v>74</v>
      </c>
      <c r="BR375" t="s">
        <v>104</v>
      </c>
      <c r="BS375" t="s">
        <v>7681</v>
      </c>
      <c r="BT375" t="str">
        <f>HYPERLINK("https%3A%2F%2Fwww.webofscience.com%2Fwos%2Fwoscc%2Ffull-record%2FWOS:000445612500048","View Full Record in Web of Science")</f>
        <v>View Full Record in Web of Science</v>
      </c>
    </row>
    <row r="376" spans="1:72" x14ac:dyDescent="0.15">
      <c r="A376" t="s">
        <v>72</v>
      </c>
      <c r="B376" t="s">
        <v>7682</v>
      </c>
      <c r="C376" t="s">
        <v>74</v>
      </c>
      <c r="D376" t="s">
        <v>74</v>
      </c>
      <c r="E376" t="s">
        <v>74</v>
      </c>
      <c r="F376" t="s">
        <v>7683</v>
      </c>
      <c r="G376" t="s">
        <v>74</v>
      </c>
      <c r="H376" t="s">
        <v>74</v>
      </c>
      <c r="I376" t="s">
        <v>7684</v>
      </c>
      <c r="J376" t="s">
        <v>4509</v>
      </c>
      <c r="K376" t="s">
        <v>74</v>
      </c>
      <c r="L376" t="s">
        <v>74</v>
      </c>
      <c r="M376" t="s">
        <v>78</v>
      </c>
      <c r="N376" t="s">
        <v>79</v>
      </c>
      <c r="O376" t="s">
        <v>74</v>
      </c>
      <c r="P376" t="s">
        <v>74</v>
      </c>
      <c r="Q376" t="s">
        <v>74</v>
      </c>
      <c r="R376" t="s">
        <v>74</v>
      </c>
      <c r="S376" t="s">
        <v>74</v>
      </c>
      <c r="T376" t="s">
        <v>7685</v>
      </c>
      <c r="U376" t="s">
        <v>7686</v>
      </c>
      <c r="V376" t="s">
        <v>7687</v>
      </c>
      <c r="W376" t="s">
        <v>7688</v>
      </c>
      <c r="X376" t="s">
        <v>7689</v>
      </c>
      <c r="Y376" t="s">
        <v>7690</v>
      </c>
      <c r="Z376" t="s">
        <v>7691</v>
      </c>
      <c r="AA376" t="s">
        <v>7692</v>
      </c>
      <c r="AB376" t="s">
        <v>7693</v>
      </c>
      <c r="AC376" t="s">
        <v>7694</v>
      </c>
      <c r="AD376" t="s">
        <v>7695</v>
      </c>
      <c r="AE376" t="s">
        <v>7696</v>
      </c>
      <c r="AF376" t="s">
        <v>74</v>
      </c>
      <c r="AG376">
        <v>72</v>
      </c>
      <c r="AH376">
        <v>71</v>
      </c>
      <c r="AI376">
        <v>72</v>
      </c>
      <c r="AJ376">
        <v>3</v>
      </c>
      <c r="AK376">
        <v>55</v>
      </c>
      <c r="AL376" t="s">
        <v>4517</v>
      </c>
      <c r="AM376" t="s">
        <v>504</v>
      </c>
      <c r="AN376" t="s">
        <v>4518</v>
      </c>
      <c r="AO376" t="s">
        <v>4519</v>
      </c>
      <c r="AP376" t="s">
        <v>74</v>
      </c>
      <c r="AQ376" t="s">
        <v>74</v>
      </c>
      <c r="AR376" t="s">
        <v>4520</v>
      </c>
      <c r="AS376" t="s">
        <v>4521</v>
      </c>
      <c r="AT376" t="s">
        <v>7538</v>
      </c>
      <c r="AU376">
        <v>2018</v>
      </c>
      <c r="AV376">
        <v>115</v>
      </c>
      <c r="AW376">
        <v>35</v>
      </c>
      <c r="AX376" t="s">
        <v>74</v>
      </c>
      <c r="AY376" t="s">
        <v>74</v>
      </c>
      <c r="AZ376" t="s">
        <v>74</v>
      </c>
      <c r="BA376" t="s">
        <v>74</v>
      </c>
      <c r="BB376" t="s">
        <v>7697</v>
      </c>
      <c r="BC376" t="s">
        <v>7698</v>
      </c>
      <c r="BD376" t="s">
        <v>74</v>
      </c>
      <c r="BE376" t="s">
        <v>7699</v>
      </c>
      <c r="BF376" t="str">
        <f>HYPERLINK("http://dx.doi.org/10.1073/pnas.1719335115","http://dx.doi.org/10.1073/pnas.1719335115")</f>
        <v>http://dx.doi.org/10.1073/pnas.1719335115</v>
      </c>
      <c r="BG376" t="s">
        <v>74</v>
      </c>
      <c r="BH376" t="s">
        <v>74</v>
      </c>
      <c r="BI376">
        <v>10</v>
      </c>
      <c r="BJ376" t="s">
        <v>436</v>
      </c>
      <c r="BK376" t="s">
        <v>101</v>
      </c>
      <c r="BL376" t="s">
        <v>437</v>
      </c>
      <c r="BM376" t="s">
        <v>7700</v>
      </c>
      <c r="BN376">
        <v>30108147</v>
      </c>
      <c r="BO376" t="s">
        <v>3156</v>
      </c>
      <c r="BP376" t="s">
        <v>74</v>
      </c>
      <c r="BQ376" t="s">
        <v>74</v>
      </c>
      <c r="BR376" t="s">
        <v>104</v>
      </c>
      <c r="BS376" t="s">
        <v>7701</v>
      </c>
      <c r="BT376" t="str">
        <f>HYPERLINK("https%3A%2F%2Fwww.webofscience.com%2Fwos%2Fwoscc%2Ffull-record%2FWOS:000442861600023","View Full Record in Web of Science")</f>
        <v>View Full Record in Web of Science</v>
      </c>
    </row>
    <row r="377" spans="1:72" x14ac:dyDescent="0.15">
      <c r="A377" t="s">
        <v>72</v>
      </c>
      <c r="B377" t="s">
        <v>7702</v>
      </c>
      <c r="C377" t="s">
        <v>74</v>
      </c>
      <c r="D377" t="s">
        <v>74</v>
      </c>
      <c r="E377" t="s">
        <v>74</v>
      </c>
      <c r="F377" t="s">
        <v>7703</v>
      </c>
      <c r="G377" t="s">
        <v>74</v>
      </c>
      <c r="H377" t="s">
        <v>74</v>
      </c>
      <c r="I377" t="s">
        <v>7704</v>
      </c>
      <c r="J377" t="s">
        <v>7466</v>
      </c>
      <c r="K377" t="s">
        <v>74</v>
      </c>
      <c r="L377" t="s">
        <v>74</v>
      </c>
      <c r="M377" t="s">
        <v>78</v>
      </c>
      <c r="N377" t="s">
        <v>79</v>
      </c>
      <c r="O377" t="s">
        <v>74</v>
      </c>
      <c r="P377" t="s">
        <v>74</v>
      </c>
      <c r="Q377" t="s">
        <v>74</v>
      </c>
      <c r="R377" t="s">
        <v>74</v>
      </c>
      <c r="S377" t="s">
        <v>74</v>
      </c>
      <c r="T377" t="s">
        <v>7705</v>
      </c>
      <c r="U377" t="s">
        <v>7706</v>
      </c>
      <c r="V377" t="s">
        <v>7707</v>
      </c>
      <c r="W377" t="s">
        <v>7708</v>
      </c>
      <c r="X377" t="s">
        <v>7709</v>
      </c>
      <c r="Y377" t="s">
        <v>7710</v>
      </c>
      <c r="Z377" t="s">
        <v>7711</v>
      </c>
      <c r="AA377" t="s">
        <v>7712</v>
      </c>
      <c r="AB377" t="s">
        <v>7713</v>
      </c>
      <c r="AC377" t="s">
        <v>7714</v>
      </c>
      <c r="AD377" t="s">
        <v>7715</v>
      </c>
      <c r="AE377" t="s">
        <v>7716</v>
      </c>
      <c r="AF377" t="s">
        <v>74</v>
      </c>
      <c r="AG377">
        <v>38</v>
      </c>
      <c r="AH377">
        <v>22</v>
      </c>
      <c r="AI377">
        <v>24</v>
      </c>
      <c r="AJ377">
        <v>1</v>
      </c>
      <c r="AK377">
        <v>11</v>
      </c>
      <c r="AL377" t="s">
        <v>7478</v>
      </c>
      <c r="AM377" t="s">
        <v>4765</v>
      </c>
      <c r="AN377" t="s">
        <v>7479</v>
      </c>
      <c r="AO377" t="s">
        <v>7480</v>
      </c>
      <c r="AP377" t="s">
        <v>7481</v>
      </c>
      <c r="AQ377" t="s">
        <v>74</v>
      </c>
      <c r="AR377" t="s">
        <v>7482</v>
      </c>
      <c r="AS377" t="s">
        <v>7483</v>
      </c>
      <c r="AT377" t="s">
        <v>7717</v>
      </c>
      <c r="AU377">
        <v>2018</v>
      </c>
      <c r="AV377">
        <v>51</v>
      </c>
      <c r="AW377" t="s">
        <v>74</v>
      </c>
      <c r="AX377" t="s">
        <v>74</v>
      </c>
      <c r="AY377" t="s">
        <v>74</v>
      </c>
      <c r="AZ377" t="s">
        <v>74</v>
      </c>
      <c r="BA377" t="s">
        <v>74</v>
      </c>
      <c r="BB377" t="s">
        <v>74</v>
      </c>
      <c r="BC377" t="s">
        <v>74</v>
      </c>
      <c r="BD377">
        <v>28</v>
      </c>
      <c r="BE377" t="s">
        <v>7718</v>
      </c>
      <c r="BF377" t="str">
        <f>HYPERLINK("http://dx.doi.org/10.1186/s40659-018-0177-4","http://dx.doi.org/10.1186/s40659-018-0177-4")</f>
        <v>http://dx.doi.org/10.1186/s40659-018-0177-4</v>
      </c>
      <c r="BG377" t="s">
        <v>74</v>
      </c>
      <c r="BH377" t="s">
        <v>74</v>
      </c>
      <c r="BI377">
        <v>6</v>
      </c>
      <c r="BJ377" t="s">
        <v>7485</v>
      </c>
      <c r="BK377" t="s">
        <v>101</v>
      </c>
      <c r="BL377" t="s">
        <v>7486</v>
      </c>
      <c r="BM377" t="s">
        <v>7719</v>
      </c>
      <c r="BN377">
        <v>30149803</v>
      </c>
      <c r="BO377" t="s">
        <v>1566</v>
      </c>
      <c r="BP377" t="s">
        <v>74</v>
      </c>
      <c r="BQ377" t="s">
        <v>74</v>
      </c>
      <c r="BR377" t="s">
        <v>104</v>
      </c>
      <c r="BS377" t="s">
        <v>7720</v>
      </c>
      <c r="BT377" t="str">
        <f>HYPERLINK("https%3A%2F%2Fwww.webofscience.com%2Fwos%2Fwoscc%2Ffull-record%2FWOS:000442838400001","View Full Record in Web of Science")</f>
        <v>View Full Record in Web of Science</v>
      </c>
    </row>
    <row r="378" spans="1:72" x14ac:dyDescent="0.15">
      <c r="A378" t="s">
        <v>72</v>
      </c>
      <c r="B378" t="s">
        <v>7721</v>
      </c>
      <c r="C378" t="s">
        <v>74</v>
      </c>
      <c r="D378" t="s">
        <v>74</v>
      </c>
      <c r="E378" t="s">
        <v>74</v>
      </c>
      <c r="F378" t="s">
        <v>7722</v>
      </c>
      <c r="G378" t="s">
        <v>74</v>
      </c>
      <c r="H378" t="s">
        <v>74</v>
      </c>
      <c r="I378" t="s">
        <v>7723</v>
      </c>
      <c r="J378" t="s">
        <v>3226</v>
      </c>
      <c r="K378" t="s">
        <v>74</v>
      </c>
      <c r="L378" t="s">
        <v>74</v>
      </c>
      <c r="M378" t="s">
        <v>78</v>
      </c>
      <c r="N378" t="s">
        <v>2499</v>
      </c>
      <c r="O378" t="s">
        <v>74</v>
      </c>
      <c r="P378" t="s">
        <v>74</v>
      </c>
      <c r="Q378" t="s">
        <v>74</v>
      </c>
      <c r="R378" t="s">
        <v>74</v>
      </c>
      <c r="S378" t="s">
        <v>74</v>
      </c>
      <c r="T378" t="s">
        <v>74</v>
      </c>
      <c r="U378" t="s">
        <v>7724</v>
      </c>
      <c r="V378" t="s">
        <v>74</v>
      </c>
      <c r="W378" t="s">
        <v>7725</v>
      </c>
      <c r="X378" t="s">
        <v>7726</v>
      </c>
      <c r="Y378" t="s">
        <v>7727</v>
      </c>
      <c r="Z378" t="s">
        <v>4398</v>
      </c>
      <c r="AA378" t="s">
        <v>7728</v>
      </c>
      <c r="AB378" t="s">
        <v>7729</v>
      </c>
      <c r="AC378" t="s">
        <v>74</v>
      </c>
      <c r="AD378" t="s">
        <v>74</v>
      </c>
      <c r="AE378" t="s">
        <v>74</v>
      </c>
      <c r="AF378" t="s">
        <v>74</v>
      </c>
      <c r="AG378">
        <v>24</v>
      </c>
      <c r="AH378">
        <v>2</v>
      </c>
      <c r="AI378">
        <v>2</v>
      </c>
      <c r="AJ378">
        <v>0</v>
      </c>
      <c r="AK378">
        <v>6</v>
      </c>
      <c r="AL378" t="s">
        <v>503</v>
      </c>
      <c r="AM378" t="s">
        <v>504</v>
      </c>
      <c r="AN378" t="s">
        <v>505</v>
      </c>
      <c r="AO378" t="s">
        <v>3239</v>
      </c>
      <c r="AP378" t="s">
        <v>3240</v>
      </c>
      <c r="AQ378" t="s">
        <v>74</v>
      </c>
      <c r="AR378" t="s">
        <v>3241</v>
      </c>
      <c r="AS378" t="s">
        <v>3242</v>
      </c>
      <c r="AT378" t="s">
        <v>7717</v>
      </c>
      <c r="AU378">
        <v>2018</v>
      </c>
      <c r="AV378">
        <v>123</v>
      </c>
      <c r="AW378">
        <v>16</v>
      </c>
      <c r="AX378" t="s">
        <v>74</v>
      </c>
      <c r="AY378" t="s">
        <v>74</v>
      </c>
      <c r="AZ378" t="s">
        <v>74</v>
      </c>
      <c r="BA378" t="s">
        <v>74</v>
      </c>
      <c r="BB378">
        <v>8724</v>
      </c>
      <c r="BC378">
        <v>8727</v>
      </c>
      <c r="BD378" t="s">
        <v>74</v>
      </c>
      <c r="BE378" t="s">
        <v>7730</v>
      </c>
      <c r="BF378" t="str">
        <f>HYPERLINK("http://dx.doi.org/10.1029/2017JD028111","http://dx.doi.org/10.1029/2017JD028111")</f>
        <v>http://dx.doi.org/10.1029/2017JD028111</v>
      </c>
      <c r="BG378" t="s">
        <v>74</v>
      </c>
      <c r="BH378" t="s">
        <v>74</v>
      </c>
      <c r="BI378">
        <v>4</v>
      </c>
      <c r="BJ378" t="s">
        <v>369</v>
      </c>
      <c r="BK378" t="s">
        <v>101</v>
      </c>
      <c r="BL378" t="s">
        <v>369</v>
      </c>
      <c r="BM378" t="s">
        <v>7731</v>
      </c>
      <c r="BN378" t="s">
        <v>74</v>
      </c>
      <c r="BO378" t="s">
        <v>835</v>
      </c>
      <c r="BP378" t="s">
        <v>74</v>
      </c>
      <c r="BQ378" t="s">
        <v>74</v>
      </c>
      <c r="BR378" t="s">
        <v>104</v>
      </c>
      <c r="BS378" t="s">
        <v>7732</v>
      </c>
      <c r="BT378" t="str">
        <f>HYPERLINK("https%3A%2F%2Fwww.webofscience.com%2Fwos%2Fwoscc%2Ffull-record%2FWOS:000445331900021","View Full Record in Web of Science")</f>
        <v>View Full Record in Web of Science</v>
      </c>
    </row>
    <row r="379" spans="1:72" x14ac:dyDescent="0.15">
      <c r="A379" t="s">
        <v>72</v>
      </c>
      <c r="B379" t="s">
        <v>7733</v>
      </c>
      <c r="C379" t="s">
        <v>74</v>
      </c>
      <c r="D379" t="s">
        <v>74</v>
      </c>
      <c r="E379" t="s">
        <v>74</v>
      </c>
      <c r="F379" t="s">
        <v>7734</v>
      </c>
      <c r="G379" t="s">
        <v>74</v>
      </c>
      <c r="H379" t="s">
        <v>74</v>
      </c>
      <c r="I379" t="s">
        <v>7735</v>
      </c>
      <c r="J379" t="s">
        <v>3226</v>
      </c>
      <c r="K379" t="s">
        <v>74</v>
      </c>
      <c r="L379" t="s">
        <v>74</v>
      </c>
      <c r="M379" t="s">
        <v>78</v>
      </c>
      <c r="N379" t="s">
        <v>2499</v>
      </c>
      <c r="O379" t="s">
        <v>74</v>
      </c>
      <c r="P379" t="s">
        <v>74</v>
      </c>
      <c r="Q379" t="s">
        <v>74</v>
      </c>
      <c r="R379" t="s">
        <v>74</v>
      </c>
      <c r="S379" t="s">
        <v>74</v>
      </c>
      <c r="T379" t="s">
        <v>7736</v>
      </c>
      <c r="U379" t="s">
        <v>7737</v>
      </c>
      <c r="V379" t="s">
        <v>7738</v>
      </c>
      <c r="W379" t="s">
        <v>7739</v>
      </c>
      <c r="X379" t="s">
        <v>7740</v>
      </c>
      <c r="Y379" t="s">
        <v>7741</v>
      </c>
      <c r="Z379" t="s">
        <v>7742</v>
      </c>
      <c r="AA379" t="s">
        <v>7743</v>
      </c>
      <c r="AB379" t="s">
        <v>7744</v>
      </c>
      <c r="AC379" t="s">
        <v>74</v>
      </c>
      <c r="AD379" t="s">
        <v>74</v>
      </c>
      <c r="AE379" t="s">
        <v>74</v>
      </c>
      <c r="AF379" t="s">
        <v>74</v>
      </c>
      <c r="AG379">
        <v>14</v>
      </c>
      <c r="AH379">
        <v>0</v>
      </c>
      <c r="AI379">
        <v>0</v>
      </c>
      <c r="AJ379">
        <v>0</v>
      </c>
      <c r="AK379">
        <v>3</v>
      </c>
      <c r="AL379" t="s">
        <v>503</v>
      </c>
      <c r="AM379" t="s">
        <v>504</v>
      </c>
      <c r="AN379" t="s">
        <v>505</v>
      </c>
      <c r="AO379" t="s">
        <v>3239</v>
      </c>
      <c r="AP379" t="s">
        <v>3240</v>
      </c>
      <c r="AQ379" t="s">
        <v>74</v>
      </c>
      <c r="AR379" t="s">
        <v>3241</v>
      </c>
      <c r="AS379" t="s">
        <v>3242</v>
      </c>
      <c r="AT379" t="s">
        <v>7717</v>
      </c>
      <c r="AU379">
        <v>2018</v>
      </c>
      <c r="AV379">
        <v>123</v>
      </c>
      <c r="AW379">
        <v>16</v>
      </c>
      <c r="AX379" t="s">
        <v>74</v>
      </c>
      <c r="AY379" t="s">
        <v>74</v>
      </c>
      <c r="AZ379" t="s">
        <v>74</v>
      </c>
      <c r="BA379" t="s">
        <v>74</v>
      </c>
      <c r="BB379">
        <v>8728</v>
      </c>
      <c r="BC379">
        <v>8734</v>
      </c>
      <c r="BD379" t="s">
        <v>74</v>
      </c>
      <c r="BE379" t="s">
        <v>7745</v>
      </c>
      <c r="BF379" t="str">
        <f>HYPERLINK("http://dx.doi.org/10.1029/2018JD028680","http://dx.doi.org/10.1029/2018JD028680")</f>
        <v>http://dx.doi.org/10.1029/2018JD028680</v>
      </c>
      <c r="BG379" t="s">
        <v>74</v>
      </c>
      <c r="BH379" t="s">
        <v>74</v>
      </c>
      <c r="BI379">
        <v>7</v>
      </c>
      <c r="BJ379" t="s">
        <v>369</v>
      </c>
      <c r="BK379" t="s">
        <v>101</v>
      </c>
      <c r="BL379" t="s">
        <v>369</v>
      </c>
      <c r="BM379" t="s">
        <v>7731</v>
      </c>
      <c r="BN379" t="s">
        <v>74</v>
      </c>
      <c r="BO379" t="s">
        <v>712</v>
      </c>
      <c r="BP379" t="s">
        <v>74</v>
      </c>
      <c r="BQ379" t="s">
        <v>74</v>
      </c>
      <c r="BR379" t="s">
        <v>104</v>
      </c>
      <c r="BS379" t="s">
        <v>7746</v>
      </c>
      <c r="BT379" t="str">
        <f>HYPERLINK("https%3A%2F%2Fwww.webofscience.com%2Fwos%2Fwoscc%2Ffull-record%2FWOS:000445331900022","View Full Record in Web of Science")</f>
        <v>View Full Record in Web of Science</v>
      </c>
    </row>
    <row r="380" spans="1:72" x14ac:dyDescent="0.15">
      <c r="A380" t="s">
        <v>72</v>
      </c>
      <c r="B380" t="s">
        <v>7747</v>
      </c>
      <c r="C380" t="s">
        <v>74</v>
      </c>
      <c r="D380" t="s">
        <v>74</v>
      </c>
      <c r="E380" t="s">
        <v>74</v>
      </c>
      <c r="F380" t="s">
        <v>7748</v>
      </c>
      <c r="G380" t="s">
        <v>74</v>
      </c>
      <c r="H380" t="s">
        <v>7749</v>
      </c>
      <c r="I380" t="s">
        <v>7750</v>
      </c>
      <c r="J380" t="s">
        <v>7751</v>
      </c>
      <c r="K380" t="s">
        <v>74</v>
      </c>
      <c r="L380" t="s">
        <v>74</v>
      </c>
      <c r="M380" t="s">
        <v>78</v>
      </c>
      <c r="N380" t="s">
        <v>79</v>
      </c>
      <c r="O380" t="s">
        <v>74</v>
      </c>
      <c r="P380" t="s">
        <v>74</v>
      </c>
      <c r="Q380" t="s">
        <v>74</v>
      </c>
      <c r="R380" t="s">
        <v>74</v>
      </c>
      <c r="S380" t="s">
        <v>74</v>
      </c>
      <c r="T380" t="s">
        <v>74</v>
      </c>
      <c r="U380" t="s">
        <v>7752</v>
      </c>
      <c r="V380" t="s">
        <v>7753</v>
      </c>
      <c r="W380" t="s">
        <v>7754</v>
      </c>
      <c r="X380" t="s">
        <v>7755</v>
      </c>
      <c r="Y380" t="s">
        <v>7756</v>
      </c>
      <c r="Z380" t="s">
        <v>74</v>
      </c>
      <c r="AA380" t="s">
        <v>7757</v>
      </c>
      <c r="AB380" t="s">
        <v>7758</v>
      </c>
      <c r="AC380" t="s">
        <v>7759</v>
      </c>
      <c r="AD380" t="s">
        <v>7760</v>
      </c>
      <c r="AE380" t="s">
        <v>7761</v>
      </c>
      <c r="AF380" t="s">
        <v>74</v>
      </c>
      <c r="AG380">
        <v>17</v>
      </c>
      <c r="AH380">
        <v>11</v>
      </c>
      <c r="AI380">
        <v>11</v>
      </c>
      <c r="AJ380">
        <v>0</v>
      </c>
      <c r="AK380">
        <v>4</v>
      </c>
      <c r="AL380" t="s">
        <v>7762</v>
      </c>
      <c r="AM380" t="s">
        <v>7763</v>
      </c>
      <c r="AN380" t="s">
        <v>7764</v>
      </c>
      <c r="AO380" t="s">
        <v>7765</v>
      </c>
      <c r="AP380" t="s">
        <v>7766</v>
      </c>
      <c r="AQ380" t="s">
        <v>74</v>
      </c>
      <c r="AR380" t="s">
        <v>7767</v>
      </c>
      <c r="AS380" t="s">
        <v>7768</v>
      </c>
      <c r="AT380" t="s">
        <v>7717</v>
      </c>
      <c r="AU380">
        <v>2018</v>
      </c>
      <c r="AV380">
        <v>98</v>
      </c>
      <c r="AW380">
        <v>4</v>
      </c>
      <c r="AX380" t="s">
        <v>74</v>
      </c>
      <c r="AY380" t="s">
        <v>74</v>
      </c>
      <c r="AZ380" t="s">
        <v>74</v>
      </c>
      <c r="BA380" t="s">
        <v>74</v>
      </c>
      <c r="BB380" t="s">
        <v>74</v>
      </c>
      <c r="BC380" t="s">
        <v>74</v>
      </c>
      <c r="BD380">
        <v>42004</v>
      </c>
      <c r="BE380" t="s">
        <v>7769</v>
      </c>
      <c r="BF380" t="str">
        <f>HYPERLINK("http://dx.doi.org/10.1103/PhysRevD.98.042004","http://dx.doi.org/10.1103/PhysRevD.98.042004")</f>
        <v>http://dx.doi.org/10.1103/PhysRevD.98.042004</v>
      </c>
      <c r="BG380" t="s">
        <v>74</v>
      </c>
      <c r="BH380" t="s">
        <v>74</v>
      </c>
      <c r="BI380">
        <v>19</v>
      </c>
      <c r="BJ380" t="s">
        <v>7770</v>
      </c>
      <c r="BK380" t="s">
        <v>101</v>
      </c>
      <c r="BL380" t="s">
        <v>7771</v>
      </c>
      <c r="BM380" t="s">
        <v>7772</v>
      </c>
      <c r="BN380" t="s">
        <v>74</v>
      </c>
      <c r="BO380" t="s">
        <v>7773</v>
      </c>
      <c r="BP380" t="s">
        <v>74</v>
      </c>
      <c r="BQ380" t="s">
        <v>74</v>
      </c>
      <c r="BR380" t="s">
        <v>104</v>
      </c>
      <c r="BS380" t="s">
        <v>7774</v>
      </c>
      <c r="BT380" t="str">
        <f>HYPERLINK("https%3A%2F%2Fwww.webofscience.com%2Fwos%2Fwoscc%2Ffull-record%2FWOS:000442810800001","View Full Record in Web of Science")</f>
        <v>View Full Record in Web of Science</v>
      </c>
    </row>
    <row r="381" spans="1:72" x14ac:dyDescent="0.15">
      <c r="A381" t="s">
        <v>72</v>
      </c>
      <c r="B381" t="s">
        <v>7775</v>
      </c>
      <c r="C381" t="s">
        <v>74</v>
      </c>
      <c r="D381" t="s">
        <v>74</v>
      </c>
      <c r="E381" t="s">
        <v>74</v>
      </c>
      <c r="F381" t="s">
        <v>7776</v>
      </c>
      <c r="G381" t="s">
        <v>74</v>
      </c>
      <c r="H381" t="s">
        <v>74</v>
      </c>
      <c r="I381" t="s">
        <v>7777</v>
      </c>
      <c r="J381" t="s">
        <v>3366</v>
      </c>
      <c r="K381" t="s">
        <v>74</v>
      </c>
      <c r="L381" t="s">
        <v>74</v>
      </c>
      <c r="M381" t="s">
        <v>78</v>
      </c>
      <c r="N381" t="s">
        <v>79</v>
      </c>
      <c r="O381" t="s">
        <v>74</v>
      </c>
      <c r="P381" t="s">
        <v>74</v>
      </c>
      <c r="Q381" t="s">
        <v>74</v>
      </c>
      <c r="R381" t="s">
        <v>74</v>
      </c>
      <c r="S381" t="s">
        <v>74</v>
      </c>
      <c r="T381" t="s">
        <v>74</v>
      </c>
      <c r="U381" t="s">
        <v>7778</v>
      </c>
      <c r="V381" t="s">
        <v>7779</v>
      </c>
      <c r="W381" t="s">
        <v>7780</v>
      </c>
      <c r="X381" t="s">
        <v>7781</v>
      </c>
      <c r="Y381" t="s">
        <v>7782</v>
      </c>
      <c r="Z381" t="s">
        <v>7783</v>
      </c>
      <c r="AA381" t="s">
        <v>74</v>
      </c>
      <c r="AB381" t="s">
        <v>7784</v>
      </c>
      <c r="AC381" t="s">
        <v>7785</v>
      </c>
      <c r="AD381" t="s">
        <v>7786</v>
      </c>
      <c r="AE381" t="s">
        <v>7787</v>
      </c>
      <c r="AF381" t="s">
        <v>74</v>
      </c>
      <c r="AG381">
        <v>80</v>
      </c>
      <c r="AH381">
        <v>16</v>
      </c>
      <c r="AI381">
        <v>17</v>
      </c>
      <c r="AJ381">
        <v>0</v>
      </c>
      <c r="AK381">
        <v>14</v>
      </c>
      <c r="AL381" t="s">
        <v>3353</v>
      </c>
      <c r="AM381" t="s">
        <v>3354</v>
      </c>
      <c r="AN381" t="s">
        <v>3355</v>
      </c>
      <c r="AO381" t="s">
        <v>3377</v>
      </c>
      <c r="AP381" t="s">
        <v>3378</v>
      </c>
      <c r="AQ381" t="s">
        <v>74</v>
      </c>
      <c r="AR381" t="s">
        <v>3366</v>
      </c>
      <c r="AS381" t="s">
        <v>3379</v>
      </c>
      <c r="AT381" t="s">
        <v>7788</v>
      </c>
      <c r="AU381">
        <v>2018</v>
      </c>
      <c r="AV381">
        <v>12</v>
      </c>
      <c r="AW381">
        <v>8</v>
      </c>
      <c r="AX381" t="s">
        <v>74</v>
      </c>
      <c r="AY381" t="s">
        <v>74</v>
      </c>
      <c r="AZ381" t="s">
        <v>74</v>
      </c>
      <c r="BA381" t="s">
        <v>74</v>
      </c>
      <c r="BB381">
        <v>2741</v>
      </c>
      <c r="BC381">
        <v>2757</v>
      </c>
      <c r="BD381" t="s">
        <v>74</v>
      </c>
      <c r="BE381" t="s">
        <v>7789</v>
      </c>
      <c r="BF381" t="str">
        <f>HYPERLINK("http://dx.doi.org/10.5194/tc-12-2741-2018","http://dx.doi.org/10.5194/tc-12-2741-2018")</f>
        <v>http://dx.doi.org/10.5194/tc-12-2741-2018</v>
      </c>
      <c r="BG381" t="s">
        <v>74</v>
      </c>
      <c r="BH381" t="s">
        <v>74</v>
      </c>
      <c r="BI381">
        <v>17</v>
      </c>
      <c r="BJ381" t="s">
        <v>208</v>
      </c>
      <c r="BK381" t="s">
        <v>101</v>
      </c>
      <c r="BL381" t="s">
        <v>209</v>
      </c>
      <c r="BM381" t="s">
        <v>7790</v>
      </c>
      <c r="BN381" t="s">
        <v>74</v>
      </c>
      <c r="BO381" t="s">
        <v>1524</v>
      </c>
      <c r="BP381" t="s">
        <v>74</v>
      </c>
      <c r="BQ381" t="s">
        <v>74</v>
      </c>
      <c r="BR381" t="s">
        <v>104</v>
      </c>
      <c r="BS381" t="s">
        <v>7791</v>
      </c>
      <c r="BT381" t="str">
        <f>HYPERLINK("https%3A%2F%2Fwww.webofscience.com%2Fwos%2Fwoscc%2Ffull-record%2FWOS:000442633800001","View Full Record in Web of Science")</f>
        <v>View Full Record in Web of Science</v>
      </c>
    </row>
    <row r="382" spans="1:72" x14ac:dyDescent="0.15">
      <c r="A382" t="s">
        <v>72</v>
      </c>
      <c r="B382" t="s">
        <v>7792</v>
      </c>
      <c r="C382" t="s">
        <v>74</v>
      </c>
      <c r="D382" t="s">
        <v>74</v>
      </c>
      <c r="E382" t="s">
        <v>74</v>
      </c>
      <c r="F382" t="s">
        <v>7793</v>
      </c>
      <c r="G382" t="s">
        <v>74</v>
      </c>
      <c r="H382" t="s">
        <v>74</v>
      </c>
      <c r="I382" t="s">
        <v>7794</v>
      </c>
      <c r="J382" t="s">
        <v>3268</v>
      </c>
      <c r="K382" t="s">
        <v>74</v>
      </c>
      <c r="L382" t="s">
        <v>74</v>
      </c>
      <c r="M382" t="s">
        <v>78</v>
      </c>
      <c r="N382" t="s">
        <v>79</v>
      </c>
      <c r="O382" t="s">
        <v>74</v>
      </c>
      <c r="P382" t="s">
        <v>74</v>
      </c>
      <c r="Q382" t="s">
        <v>74</v>
      </c>
      <c r="R382" t="s">
        <v>74</v>
      </c>
      <c r="S382" t="s">
        <v>74</v>
      </c>
      <c r="T382" t="s">
        <v>74</v>
      </c>
      <c r="U382" t="s">
        <v>7795</v>
      </c>
      <c r="V382" t="s">
        <v>7796</v>
      </c>
      <c r="W382" t="s">
        <v>7797</v>
      </c>
      <c r="X382" t="s">
        <v>7798</v>
      </c>
      <c r="Y382" t="s">
        <v>7799</v>
      </c>
      <c r="Z382" t="s">
        <v>7800</v>
      </c>
      <c r="AA382" t="s">
        <v>7801</v>
      </c>
      <c r="AB382" t="s">
        <v>7802</v>
      </c>
      <c r="AC382" t="s">
        <v>7803</v>
      </c>
      <c r="AD382" t="s">
        <v>7804</v>
      </c>
      <c r="AE382" t="s">
        <v>7805</v>
      </c>
      <c r="AF382" t="s">
        <v>74</v>
      </c>
      <c r="AG382">
        <v>51</v>
      </c>
      <c r="AH382">
        <v>70</v>
      </c>
      <c r="AI382">
        <v>83</v>
      </c>
      <c r="AJ382">
        <v>3</v>
      </c>
      <c r="AK382">
        <v>27</v>
      </c>
      <c r="AL382" t="s">
        <v>1159</v>
      </c>
      <c r="AM382" t="s">
        <v>704</v>
      </c>
      <c r="AN382" t="s">
        <v>2728</v>
      </c>
      <c r="AO382" t="s">
        <v>3280</v>
      </c>
      <c r="AP382" t="s">
        <v>74</v>
      </c>
      <c r="AQ382" t="s">
        <v>74</v>
      </c>
      <c r="AR382" t="s">
        <v>3281</v>
      </c>
      <c r="AS382" t="s">
        <v>3282</v>
      </c>
      <c r="AT382" t="s">
        <v>7788</v>
      </c>
      <c r="AU382">
        <v>2018</v>
      </c>
      <c r="AV382">
        <v>9</v>
      </c>
      <c r="AW382" t="s">
        <v>74</v>
      </c>
      <c r="AX382" t="s">
        <v>74</v>
      </c>
      <c r="AY382" t="s">
        <v>74</v>
      </c>
      <c r="AZ382" t="s">
        <v>74</v>
      </c>
      <c r="BA382" t="s">
        <v>74</v>
      </c>
      <c r="BB382" t="s">
        <v>74</v>
      </c>
      <c r="BC382" t="s">
        <v>74</v>
      </c>
      <c r="BD382">
        <v>3403</v>
      </c>
      <c r="BE382" t="s">
        <v>7806</v>
      </c>
      <c r="BF382" t="str">
        <f>HYPERLINK("http://dx.doi.org/10.1038/s41467-018-05813-1","http://dx.doi.org/10.1038/s41467-018-05813-1")</f>
        <v>http://dx.doi.org/10.1038/s41467-018-05813-1</v>
      </c>
      <c r="BG382" t="s">
        <v>74</v>
      </c>
      <c r="BH382" t="s">
        <v>74</v>
      </c>
      <c r="BI382">
        <v>9</v>
      </c>
      <c r="BJ382" t="s">
        <v>436</v>
      </c>
      <c r="BK382" t="s">
        <v>101</v>
      </c>
      <c r="BL382" t="s">
        <v>437</v>
      </c>
      <c r="BM382" t="s">
        <v>7807</v>
      </c>
      <c r="BN382">
        <v>30143637</v>
      </c>
      <c r="BO382" t="s">
        <v>439</v>
      </c>
      <c r="BP382" t="s">
        <v>74</v>
      </c>
      <c r="BQ382" t="s">
        <v>74</v>
      </c>
      <c r="BR382" t="s">
        <v>104</v>
      </c>
      <c r="BS382" t="s">
        <v>7808</v>
      </c>
      <c r="BT382" t="str">
        <f>HYPERLINK("https%3A%2F%2Fwww.webofscience.com%2Fwos%2Fwoscc%2Ffull-record%2FWOS:000442594800005","View Full Record in Web of Science")</f>
        <v>View Full Record in Web of Science</v>
      </c>
    </row>
    <row r="383" spans="1:72" x14ac:dyDescent="0.15">
      <c r="A383" t="s">
        <v>72</v>
      </c>
      <c r="B383" t="s">
        <v>7809</v>
      </c>
      <c r="C383" t="s">
        <v>74</v>
      </c>
      <c r="D383" t="s">
        <v>74</v>
      </c>
      <c r="E383" t="s">
        <v>74</v>
      </c>
      <c r="F383" t="s">
        <v>7810</v>
      </c>
      <c r="G383" t="s">
        <v>74</v>
      </c>
      <c r="H383" t="s">
        <v>74</v>
      </c>
      <c r="I383" t="s">
        <v>7811</v>
      </c>
      <c r="J383" t="s">
        <v>4340</v>
      </c>
      <c r="K383" t="s">
        <v>74</v>
      </c>
      <c r="L383" t="s">
        <v>74</v>
      </c>
      <c r="M383" t="s">
        <v>78</v>
      </c>
      <c r="N383" t="s">
        <v>79</v>
      </c>
      <c r="O383" t="s">
        <v>74</v>
      </c>
      <c r="P383" t="s">
        <v>74</v>
      </c>
      <c r="Q383" t="s">
        <v>74</v>
      </c>
      <c r="R383" t="s">
        <v>74</v>
      </c>
      <c r="S383" t="s">
        <v>74</v>
      </c>
      <c r="T383" t="s">
        <v>7812</v>
      </c>
      <c r="U383" t="s">
        <v>7813</v>
      </c>
      <c r="V383" t="s">
        <v>7814</v>
      </c>
      <c r="W383" t="s">
        <v>7815</v>
      </c>
      <c r="X383" t="s">
        <v>7816</v>
      </c>
      <c r="Y383" t="s">
        <v>7817</v>
      </c>
      <c r="Z383" t="s">
        <v>7818</v>
      </c>
      <c r="AA383" t="s">
        <v>7819</v>
      </c>
      <c r="AB383" t="s">
        <v>7820</v>
      </c>
      <c r="AC383" t="s">
        <v>7821</v>
      </c>
      <c r="AD383" t="s">
        <v>7822</v>
      </c>
      <c r="AE383" t="s">
        <v>7823</v>
      </c>
      <c r="AF383" t="s">
        <v>74</v>
      </c>
      <c r="AG383">
        <v>98</v>
      </c>
      <c r="AH383">
        <v>2</v>
      </c>
      <c r="AI383">
        <v>3</v>
      </c>
      <c r="AJ383">
        <v>3</v>
      </c>
      <c r="AK383">
        <v>13</v>
      </c>
      <c r="AL383" t="s">
        <v>3326</v>
      </c>
      <c r="AM383" t="s">
        <v>3327</v>
      </c>
      <c r="AN383" t="s">
        <v>3328</v>
      </c>
      <c r="AO383" t="s">
        <v>4344</v>
      </c>
      <c r="AP383" t="s">
        <v>4345</v>
      </c>
      <c r="AQ383" t="s">
        <v>74</v>
      </c>
      <c r="AR383" t="s">
        <v>4346</v>
      </c>
      <c r="AS383" t="s">
        <v>4347</v>
      </c>
      <c r="AT383" t="s">
        <v>7824</v>
      </c>
      <c r="AU383">
        <v>2018</v>
      </c>
      <c r="AV383">
        <v>50</v>
      </c>
      <c r="AW383">
        <v>1</v>
      </c>
      <c r="AX383" t="s">
        <v>74</v>
      </c>
      <c r="AY383" t="s">
        <v>74</v>
      </c>
      <c r="AZ383" t="s">
        <v>74</v>
      </c>
      <c r="BA383" t="s">
        <v>74</v>
      </c>
      <c r="BB383" t="s">
        <v>74</v>
      </c>
      <c r="BC383" t="s">
        <v>74</v>
      </c>
      <c r="BD383" t="s">
        <v>7825</v>
      </c>
      <c r="BE383" t="s">
        <v>7826</v>
      </c>
      <c r="BF383" t="str">
        <f>HYPERLINK("http://dx.doi.org/10.1080/15230430.2018.1505136","http://dx.doi.org/10.1080/15230430.2018.1505136")</f>
        <v>http://dx.doi.org/10.1080/15230430.2018.1505136</v>
      </c>
      <c r="BG383" t="s">
        <v>74</v>
      </c>
      <c r="BH383" t="s">
        <v>74</v>
      </c>
      <c r="BI383">
        <v>16</v>
      </c>
      <c r="BJ383" t="s">
        <v>4350</v>
      </c>
      <c r="BK383" t="s">
        <v>101</v>
      </c>
      <c r="BL383" t="s">
        <v>767</v>
      </c>
      <c r="BM383" t="s">
        <v>7827</v>
      </c>
      <c r="BN383" t="s">
        <v>74</v>
      </c>
      <c r="BO383" t="s">
        <v>439</v>
      </c>
      <c r="BP383" t="s">
        <v>74</v>
      </c>
      <c r="BQ383" t="s">
        <v>74</v>
      </c>
      <c r="BR383" t="s">
        <v>104</v>
      </c>
      <c r="BS383" t="s">
        <v>7828</v>
      </c>
      <c r="BT383" t="str">
        <f>HYPERLINK("https%3A%2F%2Fwww.webofscience.com%2Fwos%2Fwoscc%2Ffull-record%2FWOS:000443631800001","View Full Record in Web of Science")</f>
        <v>View Full Record in Web of Science</v>
      </c>
    </row>
    <row r="384" spans="1:72" x14ac:dyDescent="0.15">
      <c r="A384" t="s">
        <v>72</v>
      </c>
      <c r="B384" t="s">
        <v>7829</v>
      </c>
      <c r="C384" t="s">
        <v>74</v>
      </c>
      <c r="D384" t="s">
        <v>74</v>
      </c>
      <c r="E384" t="s">
        <v>74</v>
      </c>
      <c r="F384" t="s">
        <v>7830</v>
      </c>
      <c r="G384" t="s">
        <v>74</v>
      </c>
      <c r="H384" t="s">
        <v>74</v>
      </c>
      <c r="I384" t="s">
        <v>7831</v>
      </c>
      <c r="J384" t="s">
        <v>7832</v>
      </c>
      <c r="K384" t="s">
        <v>74</v>
      </c>
      <c r="L384" t="s">
        <v>74</v>
      </c>
      <c r="M384" t="s">
        <v>78</v>
      </c>
      <c r="N384" t="s">
        <v>79</v>
      </c>
      <c r="O384" t="s">
        <v>74</v>
      </c>
      <c r="P384" t="s">
        <v>74</v>
      </c>
      <c r="Q384" t="s">
        <v>74</v>
      </c>
      <c r="R384" t="s">
        <v>74</v>
      </c>
      <c r="S384" t="s">
        <v>74</v>
      </c>
      <c r="T384" t="s">
        <v>74</v>
      </c>
      <c r="U384" t="s">
        <v>7833</v>
      </c>
      <c r="V384" t="s">
        <v>7834</v>
      </c>
      <c r="W384" t="s">
        <v>7835</v>
      </c>
      <c r="X384" t="s">
        <v>7836</v>
      </c>
      <c r="Y384" t="s">
        <v>7837</v>
      </c>
      <c r="Z384" t="s">
        <v>7838</v>
      </c>
      <c r="AA384" t="s">
        <v>7839</v>
      </c>
      <c r="AB384" t="s">
        <v>7840</v>
      </c>
      <c r="AC384" t="s">
        <v>7841</v>
      </c>
      <c r="AD384" t="s">
        <v>7842</v>
      </c>
      <c r="AE384" t="s">
        <v>7843</v>
      </c>
      <c r="AF384" t="s">
        <v>74</v>
      </c>
      <c r="AG384">
        <v>74</v>
      </c>
      <c r="AH384">
        <v>28</v>
      </c>
      <c r="AI384">
        <v>31</v>
      </c>
      <c r="AJ384">
        <v>2</v>
      </c>
      <c r="AK384">
        <v>34</v>
      </c>
      <c r="AL384" t="s">
        <v>3353</v>
      </c>
      <c r="AM384" t="s">
        <v>3354</v>
      </c>
      <c r="AN384" t="s">
        <v>3355</v>
      </c>
      <c r="AO384" t="s">
        <v>7844</v>
      </c>
      <c r="AP384" t="s">
        <v>7845</v>
      </c>
      <c r="AQ384" t="s">
        <v>74</v>
      </c>
      <c r="AR384" t="s">
        <v>7832</v>
      </c>
      <c r="AS384" t="s">
        <v>7846</v>
      </c>
      <c r="AT384" t="s">
        <v>7847</v>
      </c>
      <c r="AU384">
        <v>2018</v>
      </c>
      <c r="AV384">
        <v>15</v>
      </c>
      <c r="AW384">
        <v>16</v>
      </c>
      <c r="AX384" t="s">
        <v>74</v>
      </c>
      <c r="AY384" t="s">
        <v>74</v>
      </c>
      <c r="AZ384" t="s">
        <v>74</v>
      </c>
      <c r="BA384" t="s">
        <v>74</v>
      </c>
      <c r="BB384">
        <v>4973</v>
      </c>
      <c r="BC384">
        <v>4993</v>
      </c>
      <c r="BD384" t="s">
        <v>74</v>
      </c>
      <c r="BE384" t="s">
        <v>7848</v>
      </c>
      <c r="BF384" t="str">
        <f>HYPERLINK("http://dx.doi.org/10.5194/bg-15-4973-2018","http://dx.doi.org/10.5194/bg-15-4973-2018")</f>
        <v>http://dx.doi.org/10.5194/bg-15-4973-2018</v>
      </c>
      <c r="BG384" t="s">
        <v>74</v>
      </c>
      <c r="BH384" t="s">
        <v>74</v>
      </c>
      <c r="BI384">
        <v>21</v>
      </c>
      <c r="BJ384" t="s">
        <v>7849</v>
      </c>
      <c r="BK384" t="s">
        <v>101</v>
      </c>
      <c r="BL384" t="s">
        <v>5223</v>
      </c>
      <c r="BM384" t="s">
        <v>7850</v>
      </c>
      <c r="BN384" t="s">
        <v>74</v>
      </c>
      <c r="BO384" t="s">
        <v>7851</v>
      </c>
      <c r="BP384" t="s">
        <v>74</v>
      </c>
      <c r="BQ384" t="s">
        <v>74</v>
      </c>
      <c r="BR384" t="s">
        <v>104</v>
      </c>
      <c r="BS384" t="s">
        <v>7852</v>
      </c>
      <c r="BT384" t="str">
        <f>HYPERLINK("https%3A%2F%2Fwww.webofscience.com%2Fwos%2Fwoscc%2Ffull-record%2FWOS:000442399400003","View Full Record in Web of Science")</f>
        <v>View Full Record in Web of Science</v>
      </c>
    </row>
    <row r="385" spans="1:72" x14ac:dyDescent="0.15">
      <c r="A385" t="s">
        <v>72</v>
      </c>
      <c r="B385" t="s">
        <v>7853</v>
      </c>
      <c r="C385" t="s">
        <v>74</v>
      </c>
      <c r="D385" t="s">
        <v>74</v>
      </c>
      <c r="E385" t="s">
        <v>74</v>
      </c>
      <c r="F385" t="s">
        <v>7854</v>
      </c>
      <c r="G385" t="s">
        <v>74</v>
      </c>
      <c r="H385" t="s">
        <v>74</v>
      </c>
      <c r="I385" t="s">
        <v>7855</v>
      </c>
      <c r="J385" t="s">
        <v>4131</v>
      </c>
      <c r="K385" t="s">
        <v>74</v>
      </c>
      <c r="L385" t="s">
        <v>74</v>
      </c>
      <c r="M385" t="s">
        <v>78</v>
      </c>
      <c r="N385" t="s">
        <v>273</v>
      </c>
      <c r="O385" t="s">
        <v>74</v>
      </c>
      <c r="P385" t="s">
        <v>74</v>
      </c>
      <c r="Q385" t="s">
        <v>74</v>
      </c>
      <c r="R385" t="s">
        <v>74</v>
      </c>
      <c r="S385" t="s">
        <v>74</v>
      </c>
      <c r="T385" t="s">
        <v>74</v>
      </c>
      <c r="U385" t="s">
        <v>74</v>
      </c>
      <c r="V385" t="s">
        <v>7856</v>
      </c>
      <c r="W385" t="s">
        <v>7857</v>
      </c>
      <c r="X385" t="s">
        <v>7858</v>
      </c>
      <c r="Y385" t="s">
        <v>7859</v>
      </c>
      <c r="Z385" t="s">
        <v>7860</v>
      </c>
      <c r="AA385" t="s">
        <v>7861</v>
      </c>
      <c r="AB385" t="s">
        <v>7862</v>
      </c>
      <c r="AC385" t="s">
        <v>74</v>
      </c>
      <c r="AD385" t="s">
        <v>74</v>
      </c>
      <c r="AE385" t="s">
        <v>74</v>
      </c>
      <c r="AF385" t="s">
        <v>74</v>
      </c>
      <c r="AG385">
        <v>38</v>
      </c>
      <c r="AH385">
        <v>224</v>
      </c>
      <c r="AI385">
        <v>232</v>
      </c>
      <c r="AJ385">
        <v>4</v>
      </c>
      <c r="AK385">
        <v>42</v>
      </c>
      <c r="AL385" t="s">
        <v>3353</v>
      </c>
      <c r="AM385" t="s">
        <v>3354</v>
      </c>
      <c r="AN385" t="s">
        <v>3355</v>
      </c>
      <c r="AO385" t="s">
        <v>4143</v>
      </c>
      <c r="AP385" t="s">
        <v>4144</v>
      </c>
      <c r="AQ385" t="s">
        <v>74</v>
      </c>
      <c r="AR385" t="s">
        <v>4145</v>
      </c>
      <c r="AS385" t="s">
        <v>4146</v>
      </c>
      <c r="AT385" t="s">
        <v>7863</v>
      </c>
      <c r="AU385">
        <v>2018</v>
      </c>
      <c r="AV385">
        <v>10</v>
      </c>
      <c r="AW385">
        <v>3</v>
      </c>
      <c r="AX385" t="s">
        <v>74</v>
      </c>
      <c r="AY385" t="s">
        <v>74</v>
      </c>
      <c r="AZ385" t="s">
        <v>74</v>
      </c>
      <c r="BA385" t="s">
        <v>74</v>
      </c>
      <c r="BB385">
        <v>1491</v>
      </c>
      <c r="BC385">
        <v>1501</v>
      </c>
      <c r="BD385" t="s">
        <v>74</v>
      </c>
      <c r="BE385" t="s">
        <v>7864</v>
      </c>
      <c r="BF385" t="str">
        <f>HYPERLINK("http://dx.doi.org/10.5194/essd-10-1491-2018","http://dx.doi.org/10.5194/essd-10-1491-2018")</f>
        <v>http://dx.doi.org/10.5194/essd-10-1491-2018</v>
      </c>
      <c r="BG385" t="s">
        <v>74</v>
      </c>
      <c r="BH385" t="s">
        <v>74</v>
      </c>
      <c r="BI385">
        <v>11</v>
      </c>
      <c r="BJ385" t="s">
        <v>4148</v>
      </c>
      <c r="BK385" t="s">
        <v>101</v>
      </c>
      <c r="BL385" t="s">
        <v>4149</v>
      </c>
      <c r="BM385" t="s">
        <v>7865</v>
      </c>
      <c r="BN385" t="s">
        <v>74</v>
      </c>
      <c r="BO385" t="s">
        <v>4168</v>
      </c>
      <c r="BP385" t="s">
        <v>1167</v>
      </c>
      <c r="BQ385" t="s">
        <v>1168</v>
      </c>
      <c r="BR385" t="s">
        <v>104</v>
      </c>
      <c r="BS385" t="s">
        <v>7866</v>
      </c>
      <c r="BT385" t="str">
        <f>HYPERLINK("https%3A%2F%2Fwww.webofscience.com%2Fwos%2Fwoscc%2Ffull-record%2FWOS:000442248000001","View Full Record in Web of Science")</f>
        <v>View Full Record in Web of Science</v>
      </c>
    </row>
    <row r="386" spans="1:72" x14ac:dyDescent="0.15">
      <c r="A386" t="s">
        <v>72</v>
      </c>
      <c r="B386" t="s">
        <v>7867</v>
      </c>
      <c r="C386" t="s">
        <v>74</v>
      </c>
      <c r="D386" t="s">
        <v>74</v>
      </c>
      <c r="E386" t="s">
        <v>74</v>
      </c>
      <c r="F386" t="s">
        <v>7868</v>
      </c>
      <c r="G386" t="s">
        <v>74</v>
      </c>
      <c r="H386" t="s">
        <v>74</v>
      </c>
      <c r="I386" t="s">
        <v>7869</v>
      </c>
      <c r="J386" t="s">
        <v>4109</v>
      </c>
      <c r="K386" t="s">
        <v>74</v>
      </c>
      <c r="L386" t="s">
        <v>74</v>
      </c>
      <c r="M386" t="s">
        <v>78</v>
      </c>
      <c r="N386" t="s">
        <v>4341</v>
      </c>
      <c r="O386" t="s">
        <v>74</v>
      </c>
      <c r="P386" t="s">
        <v>74</v>
      </c>
      <c r="Q386" t="s">
        <v>74</v>
      </c>
      <c r="R386" t="s">
        <v>74</v>
      </c>
      <c r="S386" t="s">
        <v>74</v>
      </c>
      <c r="T386" t="s">
        <v>74</v>
      </c>
      <c r="U386" t="s">
        <v>74</v>
      </c>
      <c r="V386" t="s">
        <v>74</v>
      </c>
      <c r="W386" t="s">
        <v>7870</v>
      </c>
      <c r="X386" t="s">
        <v>7871</v>
      </c>
      <c r="Y386" t="s">
        <v>7872</v>
      </c>
      <c r="Z386" t="s">
        <v>7873</v>
      </c>
      <c r="AA386" t="s">
        <v>7874</v>
      </c>
      <c r="AB386" t="s">
        <v>7875</v>
      </c>
      <c r="AC386" t="s">
        <v>74</v>
      </c>
      <c r="AD386" t="s">
        <v>74</v>
      </c>
      <c r="AE386" t="s">
        <v>74</v>
      </c>
      <c r="AF386" t="s">
        <v>74</v>
      </c>
      <c r="AG386">
        <v>1</v>
      </c>
      <c r="AH386">
        <v>0</v>
      </c>
      <c r="AI386">
        <v>0</v>
      </c>
      <c r="AJ386">
        <v>0</v>
      </c>
      <c r="AK386">
        <v>1</v>
      </c>
      <c r="AL386" t="s">
        <v>1130</v>
      </c>
      <c r="AM386" t="s">
        <v>1131</v>
      </c>
      <c r="AN386" t="s">
        <v>1132</v>
      </c>
      <c r="AO386" t="s">
        <v>4121</v>
      </c>
      <c r="AP386" t="s">
        <v>74</v>
      </c>
      <c r="AQ386" t="s">
        <v>74</v>
      </c>
      <c r="AR386" t="s">
        <v>4122</v>
      </c>
      <c r="AS386" t="s">
        <v>4123</v>
      </c>
      <c r="AT386" t="s">
        <v>7863</v>
      </c>
      <c r="AU386">
        <v>2018</v>
      </c>
      <c r="AV386">
        <v>8</v>
      </c>
      <c r="AW386" t="s">
        <v>74</v>
      </c>
      <c r="AX386" t="s">
        <v>74</v>
      </c>
      <c r="AY386" t="s">
        <v>74</v>
      </c>
      <c r="AZ386" t="s">
        <v>74</v>
      </c>
      <c r="BA386" t="s">
        <v>74</v>
      </c>
      <c r="BB386" t="s">
        <v>74</v>
      </c>
      <c r="BC386" t="s">
        <v>74</v>
      </c>
      <c r="BD386">
        <v>12822</v>
      </c>
      <c r="BE386" t="s">
        <v>7876</v>
      </c>
      <c r="BF386" t="str">
        <f>HYPERLINK("http://dx.doi.org/10.1038/s41598-018-31112-2","http://dx.doi.org/10.1038/s41598-018-31112-2")</f>
        <v>http://dx.doi.org/10.1038/s41598-018-31112-2</v>
      </c>
      <c r="BG386" t="s">
        <v>74</v>
      </c>
      <c r="BH386" t="s">
        <v>74</v>
      </c>
      <c r="BI386">
        <v>1</v>
      </c>
      <c r="BJ386" t="s">
        <v>436</v>
      </c>
      <c r="BK386" t="s">
        <v>101</v>
      </c>
      <c r="BL386" t="s">
        <v>437</v>
      </c>
      <c r="BM386" t="s">
        <v>7877</v>
      </c>
      <c r="BN386">
        <v>30131602</v>
      </c>
      <c r="BO386" t="s">
        <v>439</v>
      </c>
      <c r="BP386" t="s">
        <v>74</v>
      </c>
      <c r="BQ386" t="s">
        <v>74</v>
      </c>
      <c r="BR386" t="s">
        <v>104</v>
      </c>
      <c r="BS386" t="s">
        <v>7878</v>
      </c>
      <c r="BT386" t="str">
        <f>HYPERLINK("https%3A%2F%2Fwww.webofscience.com%2Fwos%2Fwoscc%2Ffull-record%2FWOS:000442279900004","View Full Record in Web of Science")</f>
        <v>View Full Record in Web of Science</v>
      </c>
    </row>
    <row r="387" spans="1:72" x14ac:dyDescent="0.15">
      <c r="A387" t="s">
        <v>72</v>
      </c>
      <c r="B387" t="s">
        <v>7879</v>
      </c>
      <c r="C387" t="s">
        <v>74</v>
      </c>
      <c r="D387" t="s">
        <v>74</v>
      </c>
      <c r="E387" t="s">
        <v>74</v>
      </c>
      <c r="F387" t="s">
        <v>7880</v>
      </c>
      <c r="G387" t="s">
        <v>74</v>
      </c>
      <c r="H387" t="s">
        <v>74</v>
      </c>
      <c r="I387" t="s">
        <v>7881</v>
      </c>
      <c r="J387" t="s">
        <v>4509</v>
      </c>
      <c r="K387" t="s">
        <v>74</v>
      </c>
      <c r="L387" t="s">
        <v>74</v>
      </c>
      <c r="M387" t="s">
        <v>78</v>
      </c>
      <c r="N387" t="s">
        <v>2499</v>
      </c>
      <c r="O387" t="s">
        <v>74</v>
      </c>
      <c r="P387" t="s">
        <v>74</v>
      </c>
      <c r="Q387" t="s">
        <v>74</v>
      </c>
      <c r="R387" t="s">
        <v>74</v>
      </c>
      <c r="S387" t="s">
        <v>74</v>
      </c>
      <c r="T387" t="s">
        <v>74</v>
      </c>
      <c r="U387" t="s">
        <v>74</v>
      </c>
      <c r="V387" t="s">
        <v>74</v>
      </c>
      <c r="W387" t="s">
        <v>74</v>
      </c>
      <c r="X387" t="s">
        <v>74</v>
      </c>
      <c r="Y387" t="s">
        <v>74</v>
      </c>
      <c r="Z387" t="s">
        <v>74</v>
      </c>
      <c r="AA387" t="s">
        <v>74</v>
      </c>
      <c r="AB387" t="s">
        <v>74</v>
      </c>
      <c r="AC387" t="s">
        <v>74</v>
      </c>
      <c r="AD387" t="s">
        <v>74</v>
      </c>
      <c r="AE387" t="s">
        <v>74</v>
      </c>
      <c r="AF387" t="s">
        <v>74</v>
      </c>
      <c r="AG387">
        <v>5</v>
      </c>
      <c r="AH387">
        <v>1</v>
      </c>
      <c r="AI387">
        <v>1</v>
      </c>
      <c r="AJ387">
        <v>1</v>
      </c>
      <c r="AK387">
        <v>1</v>
      </c>
      <c r="AL387" t="s">
        <v>4517</v>
      </c>
      <c r="AM387" t="s">
        <v>504</v>
      </c>
      <c r="AN387" t="s">
        <v>4518</v>
      </c>
      <c r="AO387" t="s">
        <v>4519</v>
      </c>
      <c r="AP387" t="s">
        <v>74</v>
      </c>
      <c r="AQ387" t="s">
        <v>74</v>
      </c>
      <c r="AR387" t="s">
        <v>4520</v>
      </c>
      <c r="AS387" t="s">
        <v>4521</v>
      </c>
      <c r="AT387" t="s">
        <v>7863</v>
      </c>
      <c r="AU387">
        <v>2018</v>
      </c>
      <c r="AV387">
        <v>115</v>
      </c>
      <c r="AW387">
        <v>34</v>
      </c>
      <c r="AX387" t="s">
        <v>74</v>
      </c>
      <c r="AY387" t="s">
        <v>74</v>
      </c>
      <c r="AZ387" t="s">
        <v>74</v>
      </c>
      <c r="BA387" t="s">
        <v>74</v>
      </c>
      <c r="BB387">
        <v>8463</v>
      </c>
      <c r="BC387">
        <v>8465</v>
      </c>
      <c r="BD387" t="s">
        <v>74</v>
      </c>
      <c r="BE387" t="s">
        <v>7882</v>
      </c>
      <c r="BF387" t="str">
        <f>HYPERLINK("http://dx.doi.org/10.1073/pnas.1811817115","http://dx.doi.org/10.1073/pnas.1811817115")</f>
        <v>http://dx.doi.org/10.1073/pnas.1811817115</v>
      </c>
      <c r="BG387" t="s">
        <v>74</v>
      </c>
      <c r="BH387" t="s">
        <v>74</v>
      </c>
      <c r="BI387">
        <v>3</v>
      </c>
      <c r="BJ387" t="s">
        <v>436</v>
      </c>
      <c r="BK387" t="s">
        <v>101</v>
      </c>
      <c r="BL387" t="s">
        <v>437</v>
      </c>
      <c r="BM387" t="s">
        <v>7883</v>
      </c>
      <c r="BN387">
        <v>30021853</v>
      </c>
      <c r="BO387" t="s">
        <v>835</v>
      </c>
      <c r="BP387" t="s">
        <v>74</v>
      </c>
      <c r="BQ387" t="s">
        <v>74</v>
      </c>
      <c r="BR387" t="s">
        <v>104</v>
      </c>
      <c r="BS387" t="s">
        <v>7884</v>
      </c>
      <c r="BT387" t="str">
        <f>HYPERLINK("https%3A%2F%2Fwww.webofscience.com%2Fwos%2Fwoscc%2Ffull-record%2FWOS:000442351000030","View Full Record in Web of Science")</f>
        <v>View Full Record in Web of Science</v>
      </c>
    </row>
    <row r="388" spans="1:72" x14ac:dyDescent="0.15">
      <c r="A388" t="s">
        <v>72</v>
      </c>
      <c r="B388" t="s">
        <v>7885</v>
      </c>
      <c r="C388" t="s">
        <v>74</v>
      </c>
      <c r="D388" t="s">
        <v>74</v>
      </c>
      <c r="E388" t="s">
        <v>74</v>
      </c>
      <c r="F388" t="s">
        <v>7886</v>
      </c>
      <c r="G388" t="s">
        <v>74</v>
      </c>
      <c r="H388" t="s">
        <v>74</v>
      </c>
      <c r="I388" t="s">
        <v>7887</v>
      </c>
      <c r="J388" t="s">
        <v>7888</v>
      </c>
      <c r="K388" t="s">
        <v>74</v>
      </c>
      <c r="L388" t="s">
        <v>74</v>
      </c>
      <c r="M388" t="s">
        <v>78</v>
      </c>
      <c r="N388" t="s">
        <v>79</v>
      </c>
      <c r="O388" t="s">
        <v>74</v>
      </c>
      <c r="P388" t="s">
        <v>74</v>
      </c>
      <c r="Q388" t="s">
        <v>74</v>
      </c>
      <c r="R388" t="s">
        <v>74</v>
      </c>
      <c r="S388" t="s">
        <v>74</v>
      </c>
      <c r="T388" t="s">
        <v>74</v>
      </c>
      <c r="U388" t="s">
        <v>7889</v>
      </c>
      <c r="V388" t="s">
        <v>7890</v>
      </c>
      <c r="W388" t="s">
        <v>7891</v>
      </c>
      <c r="X388" t="s">
        <v>7892</v>
      </c>
      <c r="Y388" t="s">
        <v>7893</v>
      </c>
      <c r="Z388" t="s">
        <v>7894</v>
      </c>
      <c r="AA388" t="s">
        <v>7895</v>
      </c>
      <c r="AB388" t="s">
        <v>7896</v>
      </c>
      <c r="AC388" t="s">
        <v>7897</v>
      </c>
      <c r="AD388" t="s">
        <v>7898</v>
      </c>
      <c r="AE388" t="s">
        <v>7899</v>
      </c>
      <c r="AF388" t="s">
        <v>74</v>
      </c>
      <c r="AG388">
        <v>60</v>
      </c>
      <c r="AH388">
        <v>8</v>
      </c>
      <c r="AI388">
        <v>8</v>
      </c>
      <c r="AJ388">
        <v>0</v>
      </c>
      <c r="AK388">
        <v>11</v>
      </c>
      <c r="AL388" t="s">
        <v>430</v>
      </c>
      <c r="AM388" t="s">
        <v>286</v>
      </c>
      <c r="AN388" t="s">
        <v>431</v>
      </c>
      <c r="AO388" t="s">
        <v>7900</v>
      </c>
      <c r="AP388" t="s">
        <v>7901</v>
      </c>
      <c r="AQ388" t="s">
        <v>74</v>
      </c>
      <c r="AR388" t="s">
        <v>7902</v>
      </c>
      <c r="AS388" t="s">
        <v>7903</v>
      </c>
      <c r="AT388" t="s">
        <v>7904</v>
      </c>
      <c r="AU388">
        <v>2018</v>
      </c>
      <c r="AV388">
        <v>204</v>
      </c>
      <c r="AW388" t="s">
        <v>74</v>
      </c>
      <c r="AX388" t="s">
        <v>74</v>
      </c>
      <c r="AY388" t="s">
        <v>74</v>
      </c>
      <c r="AZ388" t="s">
        <v>74</v>
      </c>
      <c r="BA388" t="s">
        <v>74</v>
      </c>
      <c r="BB388">
        <v>95</v>
      </c>
      <c r="BC388">
        <v>106</v>
      </c>
      <c r="BD388" t="s">
        <v>74</v>
      </c>
      <c r="BE388" t="s">
        <v>7905</v>
      </c>
      <c r="BF388" t="str">
        <f>HYPERLINK("http://dx.doi.org/10.1016/j.marchem.2018.07.002","http://dx.doi.org/10.1016/j.marchem.2018.07.002")</f>
        <v>http://dx.doi.org/10.1016/j.marchem.2018.07.002</v>
      </c>
      <c r="BG388" t="s">
        <v>74</v>
      </c>
      <c r="BH388" t="s">
        <v>74</v>
      </c>
      <c r="BI388">
        <v>12</v>
      </c>
      <c r="BJ388" t="s">
        <v>7906</v>
      </c>
      <c r="BK388" t="s">
        <v>101</v>
      </c>
      <c r="BL388" t="s">
        <v>7907</v>
      </c>
      <c r="BM388" t="s">
        <v>7908</v>
      </c>
      <c r="BN388" t="s">
        <v>74</v>
      </c>
      <c r="BO388" t="s">
        <v>535</v>
      </c>
      <c r="BP388" t="s">
        <v>74</v>
      </c>
      <c r="BQ388" t="s">
        <v>74</v>
      </c>
      <c r="BR388" t="s">
        <v>104</v>
      </c>
      <c r="BS388" t="s">
        <v>7909</v>
      </c>
      <c r="BT388" t="str">
        <f>HYPERLINK("https%3A%2F%2Fwww.webofscience.com%2Fwos%2Fwoscc%2Ffull-record%2FWOS:000443668500009","View Full Record in Web of Science")</f>
        <v>View Full Record in Web of Science</v>
      </c>
    </row>
    <row r="389" spans="1:72" x14ac:dyDescent="0.15">
      <c r="A389" t="s">
        <v>72</v>
      </c>
      <c r="B389" t="s">
        <v>7910</v>
      </c>
      <c r="C389" t="s">
        <v>74</v>
      </c>
      <c r="D389" t="s">
        <v>74</v>
      </c>
      <c r="E389" t="s">
        <v>74</v>
      </c>
      <c r="F389" t="s">
        <v>7911</v>
      </c>
      <c r="G389" t="s">
        <v>74</v>
      </c>
      <c r="H389" t="s">
        <v>74</v>
      </c>
      <c r="I389" t="s">
        <v>7912</v>
      </c>
      <c r="J389" t="s">
        <v>7913</v>
      </c>
      <c r="K389" t="s">
        <v>74</v>
      </c>
      <c r="L389" t="s">
        <v>74</v>
      </c>
      <c r="M389" t="s">
        <v>78</v>
      </c>
      <c r="N389" t="s">
        <v>79</v>
      </c>
      <c r="O389" t="s">
        <v>74</v>
      </c>
      <c r="P389" t="s">
        <v>74</v>
      </c>
      <c r="Q389" t="s">
        <v>74</v>
      </c>
      <c r="R389" t="s">
        <v>74</v>
      </c>
      <c r="S389" t="s">
        <v>74</v>
      </c>
      <c r="T389" t="s">
        <v>74</v>
      </c>
      <c r="U389" t="s">
        <v>7914</v>
      </c>
      <c r="V389" t="s">
        <v>7915</v>
      </c>
      <c r="W389" t="s">
        <v>7916</v>
      </c>
      <c r="X389" t="s">
        <v>7917</v>
      </c>
      <c r="Y389" t="s">
        <v>7918</v>
      </c>
      <c r="Z389" t="s">
        <v>7919</v>
      </c>
      <c r="AA389" t="s">
        <v>7920</v>
      </c>
      <c r="AB389" t="s">
        <v>7921</v>
      </c>
      <c r="AC389" t="s">
        <v>74</v>
      </c>
      <c r="AD389" t="s">
        <v>74</v>
      </c>
      <c r="AE389" t="s">
        <v>74</v>
      </c>
      <c r="AF389" t="s">
        <v>74</v>
      </c>
      <c r="AG389">
        <v>60</v>
      </c>
      <c r="AH389">
        <v>24</v>
      </c>
      <c r="AI389">
        <v>25</v>
      </c>
      <c r="AJ389">
        <v>1</v>
      </c>
      <c r="AK389">
        <v>21</v>
      </c>
      <c r="AL389" t="s">
        <v>3353</v>
      </c>
      <c r="AM389" t="s">
        <v>3354</v>
      </c>
      <c r="AN389" t="s">
        <v>3355</v>
      </c>
      <c r="AO389" t="s">
        <v>7922</v>
      </c>
      <c r="AP389" t="s">
        <v>7923</v>
      </c>
      <c r="AQ389" t="s">
        <v>74</v>
      </c>
      <c r="AR389" t="s">
        <v>7924</v>
      </c>
      <c r="AS389" t="s">
        <v>7925</v>
      </c>
      <c r="AT389" t="s">
        <v>7904</v>
      </c>
      <c r="AU389">
        <v>2018</v>
      </c>
      <c r="AV389">
        <v>9</v>
      </c>
      <c r="AW389">
        <v>3</v>
      </c>
      <c r="AX389" t="s">
        <v>74</v>
      </c>
      <c r="AY389" t="s">
        <v>74</v>
      </c>
      <c r="AZ389" t="s">
        <v>74</v>
      </c>
      <c r="BA389" t="s">
        <v>74</v>
      </c>
      <c r="BB389">
        <v>1025</v>
      </c>
      <c r="BC389">
        <v>1043</v>
      </c>
      <c r="BD389" t="s">
        <v>74</v>
      </c>
      <c r="BE389" t="s">
        <v>7926</v>
      </c>
      <c r="BF389" t="str">
        <f>HYPERLINK("http://dx.doi.org/10.5194/esd-9-1025-2018","http://dx.doi.org/10.5194/esd-9-1025-2018")</f>
        <v>http://dx.doi.org/10.5194/esd-9-1025-2018</v>
      </c>
      <c r="BG389" t="s">
        <v>74</v>
      </c>
      <c r="BH389" t="s">
        <v>74</v>
      </c>
      <c r="BI389">
        <v>19</v>
      </c>
      <c r="BJ389" t="s">
        <v>182</v>
      </c>
      <c r="BK389" t="s">
        <v>101</v>
      </c>
      <c r="BL389" t="s">
        <v>183</v>
      </c>
      <c r="BM389" t="s">
        <v>7927</v>
      </c>
      <c r="BN389" t="s">
        <v>74</v>
      </c>
      <c r="BO389" t="s">
        <v>3382</v>
      </c>
      <c r="BP389" t="s">
        <v>74</v>
      </c>
      <c r="BQ389" t="s">
        <v>74</v>
      </c>
      <c r="BR389" t="s">
        <v>104</v>
      </c>
      <c r="BS389" t="s">
        <v>7928</v>
      </c>
      <c r="BT389" t="str">
        <f>HYPERLINK("https%3A%2F%2Fwww.webofscience.com%2Fwos%2Fwoscc%2Ffull-record%2FWOS:000442117400001","View Full Record in Web of Science")</f>
        <v>View Full Record in Web of Science</v>
      </c>
    </row>
    <row r="390" spans="1:72" x14ac:dyDescent="0.15">
      <c r="A390" t="s">
        <v>72</v>
      </c>
      <c r="B390" t="s">
        <v>7929</v>
      </c>
      <c r="C390" t="s">
        <v>74</v>
      </c>
      <c r="D390" t="s">
        <v>74</v>
      </c>
      <c r="E390" t="s">
        <v>74</v>
      </c>
      <c r="F390" t="s">
        <v>7930</v>
      </c>
      <c r="G390" t="s">
        <v>74</v>
      </c>
      <c r="H390" t="s">
        <v>74</v>
      </c>
      <c r="I390" t="s">
        <v>7931</v>
      </c>
      <c r="J390" t="s">
        <v>3313</v>
      </c>
      <c r="K390" t="s">
        <v>74</v>
      </c>
      <c r="L390" t="s">
        <v>74</v>
      </c>
      <c r="M390" t="s">
        <v>78</v>
      </c>
      <c r="N390" t="s">
        <v>79</v>
      </c>
      <c r="O390" t="s">
        <v>74</v>
      </c>
      <c r="P390" t="s">
        <v>74</v>
      </c>
      <c r="Q390" t="s">
        <v>74</v>
      </c>
      <c r="R390" t="s">
        <v>74</v>
      </c>
      <c r="S390" t="s">
        <v>74</v>
      </c>
      <c r="T390" t="s">
        <v>7932</v>
      </c>
      <c r="U390" t="s">
        <v>7933</v>
      </c>
      <c r="V390" t="s">
        <v>7934</v>
      </c>
      <c r="W390" t="s">
        <v>7935</v>
      </c>
      <c r="X390" t="s">
        <v>7936</v>
      </c>
      <c r="Y390" t="s">
        <v>7937</v>
      </c>
      <c r="Z390" t="s">
        <v>7938</v>
      </c>
      <c r="AA390" t="s">
        <v>7939</v>
      </c>
      <c r="AB390" t="s">
        <v>7940</v>
      </c>
      <c r="AC390" t="s">
        <v>7941</v>
      </c>
      <c r="AD390" t="s">
        <v>7942</v>
      </c>
      <c r="AE390" t="s">
        <v>7943</v>
      </c>
      <c r="AF390" t="s">
        <v>74</v>
      </c>
      <c r="AG390">
        <v>62</v>
      </c>
      <c r="AH390">
        <v>6</v>
      </c>
      <c r="AI390">
        <v>6</v>
      </c>
      <c r="AJ390">
        <v>2</v>
      </c>
      <c r="AK390">
        <v>13</v>
      </c>
      <c r="AL390" t="s">
        <v>3326</v>
      </c>
      <c r="AM390" t="s">
        <v>3327</v>
      </c>
      <c r="AN390" t="s">
        <v>3328</v>
      </c>
      <c r="AO390" t="s">
        <v>3329</v>
      </c>
      <c r="AP390" t="s">
        <v>3330</v>
      </c>
      <c r="AQ390" t="s">
        <v>74</v>
      </c>
      <c r="AR390" t="s">
        <v>3331</v>
      </c>
      <c r="AS390" t="s">
        <v>3332</v>
      </c>
      <c r="AT390" t="s">
        <v>7904</v>
      </c>
      <c r="AU390">
        <v>2018</v>
      </c>
      <c r="AV390">
        <v>37</v>
      </c>
      <c r="AW390">
        <v>1</v>
      </c>
      <c r="AX390" t="s">
        <v>74</v>
      </c>
      <c r="AY390" t="s">
        <v>74</v>
      </c>
      <c r="AZ390" t="s">
        <v>74</v>
      </c>
      <c r="BA390" t="s">
        <v>74</v>
      </c>
      <c r="BB390" t="s">
        <v>74</v>
      </c>
      <c r="BC390" t="s">
        <v>74</v>
      </c>
      <c r="BD390">
        <v>1490619</v>
      </c>
      <c r="BE390" t="s">
        <v>7944</v>
      </c>
      <c r="BF390" t="str">
        <f>HYPERLINK("http://dx.doi.org/10.1080/17518369.2018.1490619","http://dx.doi.org/10.1080/17518369.2018.1490619")</f>
        <v>http://dx.doi.org/10.1080/17518369.2018.1490619</v>
      </c>
      <c r="BG390" t="s">
        <v>74</v>
      </c>
      <c r="BH390" t="s">
        <v>74</v>
      </c>
      <c r="BI390">
        <v>12</v>
      </c>
      <c r="BJ390" t="s">
        <v>3334</v>
      </c>
      <c r="BK390" t="s">
        <v>101</v>
      </c>
      <c r="BL390" t="s">
        <v>3335</v>
      </c>
      <c r="BM390" t="s">
        <v>7945</v>
      </c>
      <c r="BN390" t="s">
        <v>74</v>
      </c>
      <c r="BO390" t="s">
        <v>3471</v>
      </c>
      <c r="BP390" t="s">
        <v>74</v>
      </c>
      <c r="BQ390" t="s">
        <v>74</v>
      </c>
      <c r="BR390" t="s">
        <v>104</v>
      </c>
      <c r="BS390" t="s">
        <v>7946</v>
      </c>
      <c r="BT390" t="str">
        <f>HYPERLINK("https%3A%2F%2Fwww.webofscience.com%2Fwos%2Fwoscc%2Ffull-record%2FWOS:000442293400001","View Full Record in Web of Science")</f>
        <v>View Full Record in Web of Science</v>
      </c>
    </row>
    <row r="391" spans="1:72" x14ac:dyDescent="0.15">
      <c r="A391" t="s">
        <v>72</v>
      </c>
      <c r="B391" t="s">
        <v>7947</v>
      </c>
      <c r="C391" t="s">
        <v>74</v>
      </c>
      <c r="D391" t="s">
        <v>74</v>
      </c>
      <c r="E391" t="s">
        <v>74</v>
      </c>
      <c r="F391" t="s">
        <v>7948</v>
      </c>
      <c r="G391" t="s">
        <v>74</v>
      </c>
      <c r="H391" t="s">
        <v>74</v>
      </c>
      <c r="I391" t="s">
        <v>7949</v>
      </c>
      <c r="J391" t="s">
        <v>7950</v>
      </c>
      <c r="K391" t="s">
        <v>74</v>
      </c>
      <c r="L391" t="s">
        <v>74</v>
      </c>
      <c r="M391" t="s">
        <v>78</v>
      </c>
      <c r="N391" t="s">
        <v>79</v>
      </c>
      <c r="O391" t="s">
        <v>74</v>
      </c>
      <c r="P391" t="s">
        <v>74</v>
      </c>
      <c r="Q391" t="s">
        <v>74</v>
      </c>
      <c r="R391" t="s">
        <v>74</v>
      </c>
      <c r="S391" t="s">
        <v>74</v>
      </c>
      <c r="T391" t="s">
        <v>7951</v>
      </c>
      <c r="U391" t="s">
        <v>7952</v>
      </c>
      <c r="V391" t="s">
        <v>7953</v>
      </c>
      <c r="W391" t="s">
        <v>7954</v>
      </c>
      <c r="X391" t="s">
        <v>7955</v>
      </c>
      <c r="Y391" t="s">
        <v>7956</v>
      </c>
      <c r="Z391" t="s">
        <v>7957</v>
      </c>
      <c r="AA391" t="s">
        <v>7958</v>
      </c>
      <c r="AB391" t="s">
        <v>7959</v>
      </c>
      <c r="AC391" t="s">
        <v>7960</v>
      </c>
      <c r="AD391" t="s">
        <v>7961</v>
      </c>
      <c r="AE391" t="s">
        <v>7962</v>
      </c>
      <c r="AF391" t="s">
        <v>74</v>
      </c>
      <c r="AG391">
        <v>19</v>
      </c>
      <c r="AH391">
        <v>238</v>
      </c>
      <c r="AI391">
        <v>259</v>
      </c>
      <c r="AJ391">
        <v>11</v>
      </c>
      <c r="AK391">
        <v>183</v>
      </c>
      <c r="AL391" t="s">
        <v>430</v>
      </c>
      <c r="AM391" t="s">
        <v>286</v>
      </c>
      <c r="AN391" t="s">
        <v>431</v>
      </c>
      <c r="AO391" t="s">
        <v>7963</v>
      </c>
      <c r="AP391" t="s">
        <v>7964</v>
      </c>
      <c r="AQ391" t="s">
        <v>74</v>
      </c>
      <c r="AR391" t="s">
        <v>7965</v>
      </c>
      <c r="AS391" t="s">
        <v>7966</v>
      </c>
      <c r="AT391" t="s">
        <v>7904</v>
      </c>
      <c r="AU391">
        <v>2018</v>
      </c>
      <c r="AV391">
        <v>493</v>
      </c>
      <c r="AW391" t="s">
        <v>74</v>
      </c>
      <c r="AX391" t="s">
        <v>74</v>
      </c>
      <c r="AY391" t="s">
        <v>74</v>
      </c>
      <c r="AZ391" t="s">
        <v>74</v>
      </c>
      <c r="BA391" t="s">
        <v>74</v>
      </c>
      <c r="BB391">
        <v>210</v>
      </c>
      <c r="BC391">
        <v>223</v>
      </c>
      <c r="BD391" t="s">
        <v>74</v>
      </c>
      <c r="BE391" t="s">
        <v>7967</v>
      </c>
      <c r="BF391" t="str">
        <f>HYPERLINK("http://dx.doi.org/10.1016/j.chemgeo.2018.05.040","http://dx.doi.org/10.1016/j.chemgeo.2018.05.040")</f>
        <v>http://dx.doi.org/10.1016/j.chemgeo.2018.05.040</v>
      </c>
      <c r="BG391" t="s">
        <v>74</v>
      </c>
      <c r="BH391" t="s">
        <v>74</v>
      </c>
      <c r="BI391">
        <v>14</v>
      </c>
      <c r="BJ391" t="s">
        <v>484</v>
      </c>
      <c r="BK391" t="s">
        <v>101</v>
      </c>
      <c r="BL391" t="s">
        <v>484</v>
      </c>
      <c r="BM391" t="s">
        <v>7968</v>
      </c>
      <c r="BN391" t="s">
        <v>74</v>
      </c>
      <c r="BO391" t="s">
        <v>944</v>
      </c>
      <c r="BP391" t="s">
        <v>1167</v>
      </c>
      <c r="BQ391" t="s">
        <v>1168</v>
      </c>
      <c r="BR391" t="s">
        <v>104</v>
      </c>
      <c r="BS391" t="s">
        <v>7969</v>
      </c>
      <c r="BT391" t="str">
        <f>HYPERLINK("https%3A%2F%2Fwww.webofscience.com%2Fwos%2Fwoscc%2Ffull-record%2FWOS:000439574000017","View Full Record in Web of Science")</f>
        <v>View Full Record in Web of Science</v>
      </c>
    </row>
    <row r="392" spans="1:72" x14ac:dyDescent="0.15">
      <c r="A392" t="s">
        <v>72</v>
      </c>
      <c r="B392" t="s">
        <v>7970</v>
      </c>
      <c r="C392" t="s">
        <v>74</v>
      </c>
      <c r="D392" t="s">
        <v>74</v>
      </c>
      <c r="E392" t="s">
        <v>74</v>
      </c>
      <c r="F392" t="s">
        <v>7971</v>
      </c>
      <c r="G392" t="s">
        <v>74</v>
      </c>
      <c r="H392" t="s">
        <v>74</v>
      </c>
      <c r="I392" t="s">
        <v>7972</v>
      </c>
      <c r="J392" t="s">
        <v>4109</v>
      </c>
      <c r="K392" t="s">
        <v>74</v>
      </c>
      <c r="L392" t="s">
        <v>74</v>
      </c>
      <c r="M392" t="s">
        <v>78</v>
      </c>
      <c r="N392" t="s">
        <v>79</v>
      </c>
      <c r="O392" t="s">
        <v>74</v>
      </c>
      <c r="P392" t="s">
        <v>74</v>
      </c>
      <c r="Q392" t="s">
        <v>74</v>
      </c>
      <c r="R392" t="s">
        <v>74</v>
      </c>
      <c r="S392" t="s">
        <v>74</v>
      </c>
      <c r="T392" t="s">
        <v>74</v>
      </c>
      <c r="U392" t="s">
        <v>7973</v>
      </c>
      <c r="V392" t="s">
        <v>7974</v>
      </c>
      <c r="W392" t="s">
        <v>7975</v>
      </c>
      <c r="X392" t="s">
        <v>7976</v>
      </c>
      <c r="Y392" t="s">
        <v>7977</v>
      </c>
      <c r="Z392" t="s">
        <v>7978</v>
      </c>
      <c r="AA392" t="s">
        <v>7979</v>
      </c>
      <c r="AB392" t="s">
        <v>7980</v>
      </c>
      <c r="AC392" t="s">
        <v>7981</v>
      </c>
      <c r="AD392" t="s">
        <v>7982</v>
      </c>
      <c r="AE392" t="s">
        <v>7983</v>
      </c>
      <c r="AF392" t="s">
        <v>74</v>
      </c>
      <c r="AG392">
        <v>107</v>
      </c>
      <c r="AH392">
        <v>59</v>
      </c>
      <c r="AI392">
        <v>66</v>
      </c>
      <c r="AJ392">
        <v>4</v>
      </c>
      <c r="AK392">
        <v>51</v>
      </c>
      <c r="AL392" t="s">
        <v>1130</v>
      </c>
      <c r="AM392" t="s">
        <v>1131</v>
      </c>
      <c r="AN392" t="s">
        <v>1132</v>
      </c>
      <c r="AO392" t="s">
        <v>4121</v>
      </c>
      <c r="AP392" t="s">
        <v>74</v>
      </c>
      <c r="AQ392" t="s">
        <v>74</v>
      </c>
      <c r="AR392" t="s">
        <v>4122</v>
      </c>
      <c r="AS392" t="s">
        <v>4123</v>
      </c>
      <c r="AT392" t="s">
        <v>7984</v>
      </c>
      <c r="AU392">
        <v>2018</v>
      </c>
      <c r="AV392">
        <v>8</v>
      </c>
      <c r="AW392" t="s">
        <v>74</v>
      </c>
      <c r="AX392" t="s">
        <v>74</v>
      </c>
      <c r="AY392" t="s">
        <v>74</v>
      </c>
      <c r="AZ392" t="s">
        <v>74</v>
      </c>
      <c r="BA392" t="s">
        <v>74</v>
      </c>
      <c r="BB392" t="s">
        <v>74</v>
      </c>
      <c r="BC392" t="s">
        <v>74</v>
      </c>
      <c r="BD392">
        <v>12333</v>
      </c>
      <c r="BE392" t="s">
        <v>7985</v>
      </c>
      <c r="BF392" t="str">
        <f>HYPERLINK("http://dx.doi.org/10.1038/s41598-018-30748-4","http://dx.doi.org/10.1038/s41598-018-30748-4")</f>
        <v>http://dx.doi.org/10.1038/s41598-018-30748-4</v>
      </c>
      <c r="BG392" t="s">
        <v>74</v>
      </c>
      <c r="BH392" t="s">
        <v>74</v>
      </c>
      <c r="BI392">
        <v>14</v>
      </c>
      <c r="BJ392" t="s">
        <v>436</v>
      </c>
      <c r="BK392" t="s">
        <v>101</v>
      </c>
      <c r="BL392" t="s">
        <v>437</v>
      </c>
      <c r="BM392" t="s">
        <v>7986</v>
      </c>
      <c r="BN392">
        <v>30120303</v>
      </c>
      <c r="BO392" t="s">
        <v>1278</v>
      </c>
      <c r="BP392" t="s">
        <v>74</v>
      </c>
      <c r="BQ392" t="s">
        <v>74</v>
      </c>
      <c r="BR392" t="s">
        <v>104</v>
      </c>
      <c r="BS392" t="s">
        <v>7987</v>
      </c>
      <c r="BT392" t="str">
        <f>HYPERLINK("https%3A%2F%2Fwww.webofscience.com%2Fwos%2Fwoscc%2Ffull-record%2FWOS:000441876700036","View Full Record in Web of Science")</f>
        <v>View Full Record in Web of Science</v>
      </c>
    </row>
    <row r="393" spans="1:72" x14ac:dyDescent="0.15">
      <c r="A393" t="s">
        <v>72</v>
      </c>
      <c r="B393" t="s">
        <v>7988</v>
      </c>
      <c r="C393" t="s">
        <v>74</v>
      </c>
      <c r="D393" t="s">
        <v>74</v>
      </c>
      <c r="E393" t="s">
        <v>74</v>
      </c>
      <c r="F393" t="s">
        <v>7989</v>
      </c>
      <c r="G393" t="s">
        <v>74</v>
      </c>
      <c r="H393" t="s">
        <v>74</v>
      </c>
      <c r="I393" t="s">
        <v>7990</v>
      </c>
      <c r="J393" t="s">
        <v>4109</v>
      </c>
      <c r="K393" t="s">
        <v>74</v>
      </c>
      <c r="L393" t="s">
        <v>74</v>
      </c>
      <c r="M393" t="s">
        <v>78</v>
      </c>
      <c r="N393" t="s">
        <v>79</v>
      </c>
      <c r="O393" t="s">
        <v>74</v>
      </c>
      <c r="P393" t="s">
        <v>74</v>
      </c>
      <c r="Q393" t="s">
        <v>74</v>
      </c>
      <c r="R393" t="s">
        <v>74</v>
      </c>
      <c r="S393" t="s">
        <v>74</v>
      </c>
      <c r="T393" t="s">
        <v>74</v>
      </c>
      <c r="U393" t="s">
        <v>7991</v>
      </c>
      <c r="V393" t="s">
        <v>7992</v>
      </c>
      <c r="W393" t="s">
        <v>7993</v>
      </c>
      <c r="X393" t="s">
        <v>7994</v>
      </c>
      <c r="Y393" t="s">
        <v>7995</v>
      </c>
      <c r="Z393" t="s">
        <v>7996</v>
      </c>
      <c r="AA393" t="s">
        <v>7997</v>
      </c>
      <c r="AB393" t="s">
        <v>7998</v>
      </c>
      <c r="AC393" t="s">
        <v>7999</v>
      </c>
      <c r="AD393" t="s">
        <v>8000</v>
      </c>
      <c r="AE393" t="s">
        <v>8001</v>
      </c>
      <c r="AF393" t="s">
        <v>74</v>
      </c>
      <c r="AG393">
        <v>57</v>
      </c>
      <c r="AH393">
        <v>36</v>
      </c>
      <c r="AI393">
        <v>39</v>
      </c>
      <c r="AJ393">
        <v>0</v>
      </c>
      <c r="AK393">
        <v>8</v>
      </c>
      <c r="AL393" t="s">
        <v>1130</v>
      </c>
      <c r="AM393" t="s">
        <v>1131</v>
      </c>
      <c r="AN393" t="s">
        <v>1132</v>
      </c>
      <c r="AO393" t="s">
        <v>4121</v>
      </c>
      <c r="AP393" t="s">
        <v>74</v>
      </c>
      <c r="AQ393" t="s">
        <v>74</v>
      </c>
      <c r="AR393" t="s">
        <v>4122</v>
      </c>
      <c r="AS393" t="s">
        <v>4123</v>
      </c>
      <c r="AT393" t="s">
        <v>7984</v>
      </c>
      <c r="AU393">
        <v>2018</v>
      </c>
      <c r="AV393">
        <v>8</v>
      </c>
      <c r="AW393" t="s">
        <v>74</v>
      </c>
      <c r="AX393" t="s">
        <v>74</v>
      </c>
      <c r="AY393" t="s">
        <v>74</v>
      </c>
      <c r="AZ393" t="s">
        <v>74</v>
      </c>
      <c r="BA393" t="s">
        <v>74</v>
      </c>
      <c r="BB393" t="s">
        <v>74</v>
      </c>
      <c r="BC393" t="s">
        <v>74</v>
      </c>
      <c r="BD393">
        <v>12392</v>
      </c>
      <c r="BE393" t="s">
        <v>8002</v>
      </c>
      <c r="BF393" t="str">
        <f>HYPERLINK("http://dx.doi.org/10.1038/s41598-018-29911-8","http://dx.doi.org/10.1038/s41598-018-29911-8")</f>
        <v>http://dx.doi.org/10.1038/s41598-018-29911-8</v>
      </c>
      <c r="BG393" t="s">
        <v>74</v>
      </c>
      <c r="BH393" t="s">
        <v>74</v>
      </c>
      <c r="BI393">
        <v>9</v>
      </c>
      <c r="BJ393" t="s">
        <v>436</v>
      </c>
      <c r="BK393" t="s">
        <v>101</v>
      </c>
      <c r="BL393" t="s">
        <v>437</v>
      </c>
      <c r="BM393" t="s">
        <v>7986</v>
      </c>
      <c r="BN393">
        <v>30120261</v>
      </c>
      <c r="BO393" t="s">
        <v>439</v>
      </c>
      <c r="BP393" t="s">
        <v>74</v>
      </c>
      <c r="BQ393" t="s">
        <v>74</v>
      </c>
      <c r="BR393" t="s">
        <v>104</v>
      </c>
      <c r="BS393" t="s">
        <v>8003</v>
      </c>
      <c r="BT393" t="str">
        <f>HYPERLINK("https%3A%2F%2Fwww.webofscience.com%2Fwos%2Fwoscc%2Ffull-record%2FWOS:000441876700095","View Full Record in Web of Science")</f>
        <v>View Full Record in Web of Science</v>
      </c>
    </row>
    <row r="394" spans="1:72" x14ac:dyDescent="0.15">
      <c r="A394" t="s">
        <v>72</v>
      </c>
      <c r="B394" t="s">
        <v>8004</v>
      </c>
      <c r="C394" t="s">
        <v>74</v>
      </c>
      <c r="D394" t="s">
        <v>74</v>
      </c>
      <c r="E394" t="s">
        <v>74</v>
      </c>
      <c r="F394" t="s">
        <v>8005</v>
      </c>
      <c r="G394" t="s">
        <v>74</v>
      </c>
      <c r="H394" t="s">
        <v>74</v>
      </c>
      <c r="I394" t="s">
        <v>8006</v>
      </c>
      <c r="J394" t="s">
        <v>3588</v>
      </c>
      <c r="K394" t="s">
        <v>74</v>
      </c>
      <c r="L394" t="s">
        <v>74</v>
      </c>
      <c r="M394" t="s">
        <v>78</v>
      </c>
      <c r="N394" t="s">
        <v>79</v>
      </c>
      <c r="O394" t="s">
        <v>74</v>
      </c>
      <c r="P394" t="s">
        <v>74</v>
      </c>
      <c r="Q394" t="s">
        <v>74</v>
      </c>
      <c r="R394" t="s">
        <v>74</v>
      </c>
      <c r="S394" t="s">
        <v>74</v>
      </c>
      <c r="T394" t="s">
        <v>74</v>
      </c>
      <c r="U394" t="s">
        <v>8007</v>
      </c>
      <c r="V394" t="s">
        <v>8008</v>
      </c>
      <c r="W394" t="s">
        <v>8009</v>
      </c>
      <c r="X394" t="s">
        <v>8010</v>
      </c>
      <c r="Y394" t="s">
        <v>8011</v>
      </c>
      <c r="Z394" t="s">
        <v>8012</v>
      </c>
      <c r="AA394" t="s">
        <v>8013</v>
      </c>
      <c r="AB394" t="s">
        <v>8014</v>
      </c>
      <c r="AC394" t="s">
        <v>8015</v>
      </c>
      <c r="AD394" t="s">
        <v>8015</v>
      </c>
      <c r="AE394" t="s">
        <v>8016</v>
      </c>
      <c r="AF394" t="s">
        <v>74</v>
      </c>
      <c r="AG394">
        <v>39</v>
      </c>
      <c r="AH394">
        <v>8</v>
      </c>
      <c r="AI394">
        <v>8</v>
      </c>
      <c r="AJ394">
        <v>0</v>
      </c>
      <c r="AK394">
        <v>4</v>
      </c>
      <c r="AL394" t="s">
        <v>3599</v>
      </c>
      <c r="AM394" t="s">
        <v>3600</v>
      </c>
      <c r="AN394" t="s">
        <v>3601</v>
      </c>
      <c r="AO394" t="s">
        <v>3602</v>
      </c>
      <c r="AP394" t="s">
        <v>74</v>
      </c>
      <c r="AQ394" t="s">
        <v>74</v>
      </c>
      <c r="AR394" t="s">
        <v>3588</v>
      </c>
      <c r="AS394" t="s">
        <v>3603</v>
      </c>
      <c r="AT394" t="s">
        <v>7984</v>
      </c>
      <c r="AU394">
        <v>2018</v>
      </c>
      <c r="AV394">
        <v>13</v>
      </c>
      <c r="AW394">
        <v>8</v>
      </c>
      <c r="AX394" t="s">
        <v>74</v>
      </c>
      <c r="AY394" t="s">
        <v>74</v>
      </c>
      <c r="AZ394" t="s">
        <v>74</v>
      </c>
      <c r="BA394" t="s">
        <v>74</v>
      </c>
      <c r="BB394" t="s">
        <v>74</v>
      </c>
      <c r="BC394" t="s">
        <v>74</v>
      </c>
      <c r="BD394" t="s">
        <v>8017</v>
      </c>
      <c r="BE394" t="s">
        <v>8018</v>
      </c>
      <c r="BF394" t="str">
        <f>HYPERLINK("http://dx.doi.org/10.1371/journal.pone.0202545","http://dx.doi.org/10.1371/journal.pone.0202545")</f>
        <v>http://dx.doi.org/10.1371/journal.pone.0202545</v>
      </c>
      <c r="BG394" t="s">
        <v>74</v>
      </c>
      <c r="BH394" t="s">
        <v>74</v>
      </c>
      <c r="BI394">
        <v>21</v>
      </c>
      <c r="BJ394" t="s">
        <v>436</v>
      </c>
      <c r="BK394" t="s">
        <v>101</v>
      </c>
      <c r="BL394" t="s">
        <v>437</v>
      </c>
      <c r="BM394" t="s">
        <v>8019</v>
      </c>
      <c r="BN394">
        <v>30118523</v>
      </c>
      <c r="BO394" t="s">
        <v>239</v>
      </c>
      <c r="BP394" t="s">
        <v>74</v>
      </c>
      <c r="BQ394" t="s">
        <v>74</v>
      </c>
      <c r="BR394" t="s">
        <v>104</v>
      </c>
      <c r="BS394" t="s">
        <v>8020</v>
      </c>
      <c r="BT394" t="str">
        <f>HYPERLINK("https%3A%2F%2Fwww.webofscience.com%2Fwos%2Fwoscc%2Ffull-record%2FWOS:000442282700033","View Full Record in Web of Science")</f>
        <v>View Full Record in Web of Science</v>
      </c>
    </row>
    <row r="395" spans="1:72" x14ac:dyDescent="0.15">
      <c r="A395" t="s">
        <v>72</v>
      </c>
      <c r="B395" t="s">
        <v>8021</v>
      </c>
      <c r="C395" t="s">
        <v>74</v>
      </c>
      <c r="D395" t="s">
        <v>74</v>
      </c>
      <c r="E395" t="s">
        <v>74</v>
      </c>
      <c r="F395" t="s">
        <v>8022</v>
      </c>
      <c r="G395" t="s">
        <v>74</v>
      </c>
      <c r="H395" t="s">
        <v>74</v>
      </c>
      <c r="I395" t="s">
        <v>8023</v>
      </c>
      <c r="J395" t="s">
        <v>8024</v>
      </c>
      <c r="K395" t="s">
        <v>74</v>
      </c>
      <c r="L395" t="s">
        <v>74</v>
      </c>
      <c r="M395" t="s">
        <v>78</v>
      </c>
      <c r="N395" t="s">
        <v>79</v>
      </c>
      <c r="O395" t="s">
        <v>74</v>
      </c>
      <c r="P395" t="s">
        <v>74</v>
      </c>
      <c r="Q395" t="s">
        <v>74</v>
      </c>
      <c r="R395" t="s">
        <v>74</v>
      </c>
      <c r="S395" t="s">
        <v>74</v>
      </c>
      <c r="T395" t="s">
        <v>8025</v>
      </c>
      <c r="U395" t="s">
        <v>8026</v>
      </c>
      <c r="V395" t="s">
        <v>8027</v>
      </c>
      <c r="W395" t="s">
        <v>8028</v>
      </c>
      <c r="X395" t="s">
        <v>8029</v>
      </c>
      <c r="Y395" t="s">
        <v>8030</v>
      </c>
      <c r="Z395" t="s">
        <v>8031</v>
      </c>
      <c r="AA395" t="s">
        <v>8032</v>
      </c>
      <c r="AB395" t="s">
        <v>8033</v>
      </c>
      <c r="AC395" t="s">
        <v>8034</v>
      </c>
      <c r="AD395" t="s">
        <v>8035</v>
      </c>
      <c r="AE395" t="s">
        <v>8036</v>
      </c>
      <c r="AF395" t="s">
        <v>74</v>
      </c>
      <c r="AG395">
        <v>29</v>
      </c>
      <c r="AH395">
        <v>9</v>
      </c>
      <c r="AI395">
        <v>9</v>
      </c>
      <c r="AJ395">
        <v>0</v>
      </c>
      <c r="AK395">
        <v>9</v>
      </c>
      <c r="AL395" t="s">
        <v>8037</v>
      </c>
      <c r="AM395" t="s">
        <v>704</v>
      </c>
      <c r="AN395" t="s">
        <v>8038</v>
      </c>
      <c r="AO395" t="s">
        <v>8039</v>
      </c>
      <c r="AP395" t="s">
        <v>74</v>
      </c>
      <c r="AQ395" t="s">
        <v>74</v>
      </c>
      <c r="AR395" t="s">
        <v>8040</v>
      </c>
      <c r="AS395" t="s">
        <v>8041</v>
      </c>
      <c r="AT395" t="s">
        <v>7984</v>
      </c>
      <c r="AU395">
        <v>2018</v>
      </c>
      <c r="AV395">
        <v>70</v>
      </c>
      <c r="AW395" t="s">
        <v>74</v>
      </c>
      <c r="AX395" t="s">
        <v>74</v>
      </c>
      <c r="AY395" t="s">
        <v>74</v>
      </c>
      <c r="AZ395" t="s">
        <v>74</v>
      </c>
      <c r="BA395" t="s">
        <v>74</v>
      </c>
      <c r="BB395" t="s">
        <v>74</v>
      </c>
      <c r="BC395" t="s">
        <v>74</v>
      </c>
      <c r="BD395">
        <v>135</v>
      </c>
      <c r="BE395" t="s">
        <v>8042</v>
      </c>
      <c r="BF395" t="str">
        <f>HYPERLINK("http://dx.doi.org/10.1186/s40623-018-0904-7","http://dx.doi.org/10.1186/s40623-018-0904-7")</f>
        <v>http://dx.doi.org/10.1186/s40623-018-0904-7</v>
      </c>
      <c r="BG395" t="s">
        <v>74</v>
      </c>
      <c r="BH395" t="s">
        <v>74</v>
      </c>
      <c r="BI395">
        <v>12</v>
      </c>
      <c r="BJ395" t="s">
        <v>182</v>
      </c>
      <c r="BK395" t="s">
        <v>101</v>
      </c>
      <c r="BL395" t="s">
        <v>183</v>
      </c>
      <c r="BM395" t="s">
        <v>8043</v>
      </c>
      <c r="BN395" t="s">
        <v>74</v>
      </c>
      <c r="BO395" t="s">
        <v>439</v>
      </c>
      <c r="BP395" t="s">
        <v>74</v>
      </c>
      <c r="BQ395" t="s">
        <v>74</v>
      </c>
      <c r="BR395" t="s">
        <v>104</v>
      </c>
      <c r="BS395" t="s">
        <v>8044</v>
      </c>
      <c r="BT395" t="str">
        <f>HYPERLINK("https%3A%2F%2Fwww.webofscience.com%2Fwos%2Fwoscc%2Ffull-record%2FWOS:000441939500001","View Full Record in Web of Science")</f>
        <v>View Full Record in Web of Science</v>
      </c>
    </row>
    <row r="396" spans="1:72" x14ac:dyDescent="0.15">
      <c r="A396" t="s">
        <v>72</v>
      </c>
      <c r="B396" t="s">
        <v>8045</v>
      </c>
      <c r="C396" t="s">
        <v>74</v>
      </c>
      <c r="D396" t="s">
        <v>74</v>
      </c>
      <c r="E396" t="s">
        <v>74</v>
      </c>
      <c r="F396" t="s">
        <v>8046</v>
      </c>
      <c r="G396" t="s">
        <v>74</v>
      </c>
      <c r="H396" t="s">
        <v>74</v>
      </c>
      <c r="I396" t="s">
        <v>8047</v>
      </c>
      <c r="J396" t="s">
        <v>4131</v>
      </c>
      <c r="K396" t="s">
        <v>74</v>
      </c>
      <c r="L396" t="s">
        <v>74</v>
      </c>
      <c r="M396" t="s">
        <v>78</v>
      </c>
      <c r="N396" t="s">
        <v>273</v>
      </c>
      <c r="O396" t="s">
        <v>74</v>
      </c>
      <c r="P396" t="s">
        <v>74</v>
      </c>
      <c r="Q396" t="s">
        <v>74</v>
      </c>
      <c r="R396" t="s">
        <v>74</v>
      </c>
      <c r="S396" t="s">
        <v>74</v>
      </c>
      <c r="T396" t="s">
        <v>74</v>
      </c>
      <c r="U396" t="s">
        <v>8048</v>
      </c>
      <c r="V396" t="s">
        <v>8049</v>
      </c>
      <c r="W396" t="s">
        <v>8050</v>
      </c>
      <c r="X396" t="s">
        <v>5352</v>
      </c>
      <c r="Y396" t="s">
        <v>8051</v>
      </c>
      <c r="Z396" t="s">
        <v>8052</v>
      </c>
      <c r="AA396" t="s">
        <v>8053</v>
      </c>
      <c r="AB396" t="s">
        <v>8054</v>
      </c>
      <c r="AC396" t="s">
        <v>74</v>
      </c>
      <c r="AD396" t="s">
        <v>74</v>
      </c>
      <c r="AE396" t="s">
        <v>74</v>
      </c>
      <c r="AF396" t="s">
        <v>74</v>
      </c>
      <c r="AG396">
        <v>68</v>
      </c>
      <c r="AH396">
        <v>15</v>
      </c>
      <c r="AI396">
        <v>16</v>
      </c>
      <c r="AJ396">
        <v>1</v>
      </c>
      <c r="AK396">
        <v>27</v>
      </c>
      <c r="AL396" t="s">
        <v>3353</v>
      </c>
      <c r="AM396" t="s">
        <v>3354</v>
      </c>
      <c r="AN396" t="s">
        <v>3355</v>
      </c>
      <c r="AO396" t="s">
        <v>4143</v>
      </c>
      <c r="AP396" t="s">
        <v>4144</v>
      </c>
      <c r="AQ396" t="s">
        <v>74</v>
      </c>
      <c r="AR396" t="s">
        <v>4145</v>
      </c>
      <c r="AS396" t="s">
        <v>4146</v>
      </c>
      <c r="AT396" t="s">
        <v>8055</v>
      </c>
      <c r="AU396">
        <v>2018</v>
      </c>
      <c r="AV396">
        <v>10</v>
      </c>
      <c r="AW396">
        <v>3</v>
      </c>
      <c r="AX396" t="s">
        <v>74</v>
      </c>
      <c r="AY396" t="s">
        <v>74</v>
      </c>
      <c r="AZ396" t="s">
        <v>74</v>
      </c>
      <c r="BA396" t="s">
        <v>74</v>
      </c>
      <c r="BB396">
        <v>1457</v>
      </c>
      <c r="BC396">
        <v>1471</v>
      </c>
      <c r="BD396" t="s">
        <v>74</v>
      </c>
      <c r="BE396" t="s">
        <v>8056</v>
      </c>
      <c r="BF396" t="str">
        <f>HYPERLINK("http://dx.doi.org/10.5194/essd-10-1457-2018","http://dx.doi.org/10.5194/essd-10-1457-2018")</f>
        <v>http://dx.doi.org/10.5194/essd-10-1457-2018</v>
      </c>
      <c r="BG396" t="s">
        <v>74</v>
      </c>
      <c r="BH396" t="s">
        <v>74</v>
      </c>
      <c r="BI396">
        <v>15</v>
      </c>
      <c r="BJ396" t="s">
        <v>4148</v>
      </c>
      <c r="BK396" t="s">
        <v>101</v>
      </c>
      <c r="BL396" t="s">
        <v>4149</v>
      </c>
      <c r="BM396" t="s">
        <v>8057</v>
      </c>
      <c r="BN396" t="s">
        <v>74</v>
      </c>
      <c r="BO396" t="s">
        <v>3382</v>
      </c>
      <c r="BP396" t="s">
        <v>74</v>
      </c>
      <c r="BQ396" t="s">
        <v>74</v>
      </c>
      <c r="BR396" t="s">
        <v>104</v>
      </c>
      <c r="BS396" t="s">
        <v>8058</v>
      </c>
      <c r="BT396" t="str">
        <f>HYPERLINK("https%3A%2F%2Fwww.webofscience.com%2Fwos%2Fwoscc%2Ffull-record%2FWOS:000441830100001","View Full Record in Web of Science")</f>
        <v>View Full Record in Web of Science</v>
      </c>
    </row>
    <row r="397" spans="1:72" x14ac:dyDescent="0.15">
      <c r="A397" t="s">
        <v>72</v>
      </c>
      <c r="B397" t="s">
        <v>8059</v>
      </c>
      <c r="C397" t="s">
        <v>74</v>
      </c>
      <c r="D397" t="s">
        <v>74</v>
      </c>
      <c r="E397" t="s">
        <v>74</v>
      </c>
      <c r="F397" t="s">
        <v>8060</v>
      </c>
      <c r="G397" t="s">
        <v>74</v>
      </c>
      <c r="H397" t="s">
        <v>74</v>
      </c>
      <c r="I397" t="s">
        <v>8061</v>
      </c>
      <c r="J397" t="s">
        <v>3089</v>
      </c>
      <c r="K397" t="s">
        <v>74</v>
      </c>
      <c r="L397" t="s">
        <v>74</v>
      </c>
      <c r="M397" t="s">
        <v>78</v>
      </c>
      <c r="N397" t="s">
        <v>79</v>
      </c>
      <c r="O397" t="s">
        <v>74</v>
      </c>
      <c r="P397" t="s">
        <v>74</v>
      </c>
      <c r="Q397" t="s">
        <v>74</v>
      </c>
      <c r="R397" t="s">
        <v>74</v>
      </c>
      <c r="S397" t="s">
        <v>74</v>
      </c>
      <c r="T397" t="s">
        <v>8062</v>
      </c>
      <c r="U397" t="s">
        <v>8063</v>
      </c>
      <c r="V397" t="s">
        <v>8064</v>
      </c>
      <c r="W397" t="s">
        <v>8065</v>
      </c>
      <c r="X397" t="s">
        <v>8066</v>
      </c>
      <c r="Y397" t="s">
        <v>8067</v>
      </c>
      <c r="Z397" t="s">
        <v>8068</v>
      </c>
      <c r="AA397" t="s">
        <v>8069</v>
      </c>
      <c r="AB397" t="s">
        <v>8070</v>
      </c>
      <c r="AC397" t="s">
        <v>8071</v>
      </c>
      <c r="AD397" t="s">
        <v>8072</v>
      </c>
      <c r="AE397" t="s">
        <v>8073</v>
      </c>
      <c r="AF397" t="s">
        <v>74</v>
      </c>
      <c r="AG397">
        <v>38</v>
      </c>
      <c r="AH397">
        <v>62</v>
      </c>
      <c r="AI397">
        <v>68</v>
      </c>
      <c r="AJ397">
        <v>3</v>
      </c>
      <c r="AK397">
        <v>44</v>
      </c>
      <c r="AL397" t="s">
        <v>503</v>
      </c>
      <c r="AM397" t="s">
        <v>504</v>
      </c>
      <c r="AN397" t="s">
        <v>505</v>
      </c>
      <c r="AO397" t="s">
        <v>3100</v>
      </c>
      <c r="AP397" t="s">
        <v>3101</v>
      </c>
      <c r="AQ397" t="s">
        <v>74</v>
      </c>
      <c r="AR397" t="s">
        <v>3102</v>
      </c>
      <c r="AS397" t="s">
        <v>3103</v>
      </c>
      <c r="AT397" t="s">
        <v>8055</v>
      </c>
      <c r="AU397">
        <v>2018</v>
      </c>
      <c r="AV397">
        <v>45</v>
      </c>
      <c r="AW397">
        <v>15</v>
      </c>
      <c r="AX397" t="s">
        <v>74</v>
      </c>
      <c r="AY397" t="s">
        <v>74</v>
      </c>
      <c r="AZ397" t="s">
        <v>74</v>
      </c>
      <c r="BA397" t="s">
        <v>74</v>
      </c>
      <c r="BB397">
        <v>7615</v>
      </c>
      <c r="BC397">
        <v>7623</v>
      </c>
      <c r="BD397" t="s">
        <v>74</v>
      </c>
      <c r="BE397" t="s">
        <v>8074</v>
      </c>
      <c r="BF397" t="str">
        <f>HYPERLINK("http://dx.doi.org/10.1029/2018GL077899","http://dx.doi.org/10.1029/2018GL077899")</f>
        <v>http://dx.doi.org/10.1029/2018GL077899</v>
      </c>
      <c r="BG397" t="s">
        <v>74</v>
      </c>
      <c r="BH397" t="s">
        <v>74</v>
      </c>
      <c r="BI397">
        <v>9</v>
      </c>
      <c r="BJ397" t="s">
        <v>182</v>
      </c>
      <c r="BK397" t="s">
        <v>101</v>
      </c>
      <c r="BL397" t="s">
        <v>183</v>
      </c>
      <c r="BM397" t="s">
        <v>8075</v>
      </c>
      <c r="BN397" t="s">
        <v>74</v>
      </c>
      <c r="BO397" t="s">
        <v>944</v>
      </c>
      <c r="BP397" t="s">
        <v>74</v>
      </c>
      <c r="BQ397" t="s">
        <v>74</v>
      </c>
      <c r="BR397" t="s">
        <v>104</v>
      </c>
      <c r="BS397" t="s">
        <v>8076</v>
      </c>
      <c r="BT397" t="str">
        <f>HYPERLINK("https%3A%2F%2Fwww.webofscience.com%2Fwos%2Fwoscc%2Ffull-record%2FWOS:000443129500043","View Full Record in Web of Science")</f>
        <v>View Full Record in Web of Science</v>
      </c>
    </row>
    <row r="398" spans="1:72" x14ac:dyDescent="0.15">
      <c r="A398" t="s">
        <v>72</v>
      </c>
      <c r="B398" t="s">
        <v>8077</v>
      </c>
      <c r="C398" t="s">
        <v>74</v>
      </c>
      <c r="D398" t="s">
        <v>74</v>
      </c>
      <c r="E398" t="s">
        <v>74</v>
      </c>
      <c r="F398" t="s">
        <v>8078</v>
      </c>
      <c r="G398" t="s">
        <v>74</v>
      </c>
      <c r="H398" t="s">
        <v>74</v>
      </c>
      <c r="I398" t="s">
        <v>8079</v>
      </c>
      <c r="J398" t="s">
        <v>3089</v>
      </c>
      <c r="K398" t="s">
        <v>74</v>
      </c>
      <c r="L398" t="s">
        <v>74</v>
      </c>
      <c r="M398" t="s">
        <v>78</v>
      </c>
      <c r="N398" t="s">
        <v>79</v>
      </c>
      <c r="O398" t="s">
        <v>74</v>
      </c>
      <c r="P398" t="s">
        <v>74</v>
      </c>
      <c r="Q398" t="s">
        <v>74</v>
      </c>
      <c r="R398" t="s">
        <v>74</v>
      </c>
      <c r="S398" t="s">
        <v>74</v>
      </c>
      <c r="T398" t="s">
        <v>74</v>
      </c>
      <c r="U398" t="s">
        <v>8080</v>
      </c>
      <c r="V398" t="s">
        <v>8081</v>
      </c>
      <c r="W398" t="s">
        <v>8082</v>
      </c>
      <c r="X398" t="s">
        <v>8083</v>
      </c>
      <c r="Y398" t="s">
        <v>8084</v>
      </c>
      <c r="Z398" t="s">
        <v>8085</v>
      </c>
      <c r="AA398" t="s">
        <v>8086</v>
      </c>
      <c r="AB398" t="s">
        <v>8087</v>
      </c>
      <c r="AC398" t="s">
        <v>8088</v>
      </c>
      <c r="AD398" t="s">
        <v>8089</v>
      </c>
      <c r="AE398" t="s">
        <v>8090</v>
      </c>
      <c r="AF398" t="s">
        <v>74</v>
      </c>
      <c r="AG398">
        <v>52</v>
      </c>
      <c r="AH398">
        <v>21</v>
      </c>
      <c r="AI398">
        <v>26</v>
      </c>
      <c r="AJ398">
        <v>8</v>
      </c>
      <c r="AK398">
        <v>30</v>
      </c>
      <c r="AL398" t="s">
        <v>503</v>
      </c>
      <c r="AM398" t="s">
        <v>504</v>
      </c>
      <c r="AN398" t="s">
        <v>505</v>
      </c>
      <c r="AO398" t="s">
        <v>3100</v>
      </c>
      <c r="AP398" t="s">
        <v>3101</v>
      </c>
      <c r="AQ398" t="s">
        <v>74</v>
      </c>
      <c r="AR398" t="s">
        <v>3102</v>
      </c>
      <c r="AS398" t="s">
        <v>3103</v>
      </c>
      <c r="AT398" t="s">
        <v>8055</v>
      </c>
      <c r="AU398">
        <v>2018</v>
      </c>
      <c r="AV398">
        <v>45</v>
      </c>
      <c r="AW398">
        <v>15</v>
      </c>
      <c r="AX398" t="s">
        <v>74</v>
      </c>
      <c r="AY398" t="s">
        <v>74</v>
      </c>
      <c r="AZ398" t="s">
        <v>74</v>
      </c>
      <c r="BA398" t="s">
        <v>74</v>
      </c>
      <c r="BB398">
        <v>7663</v>
      </c>
      <c r="BC398">
        <v>7671</v>
      </c>
      <c r="BD398" t="s">
        <v>74</v>
      </c>
      <c r="BE398" t="s">
        <v>8091</v>
      </c>
      <c r="BF398" t="str">
        <f>HYPERLINK("http://dx.doi.org/10.1029/2018GL077684","http://dx.doi.org/10.1029/2018GL077684")</f>
        <v>http://dx.doi.org/10.1029/2018GL077684</v>
      </c>
      <c r="BG398" t="s">
        <v>74</v>
      </c>
      <c r="BH398" t="s">
        <v>74</v>
      </c>
      <c r="BI398">
        <v>9</v>
      </c>
      <c r="BJ398" t="s">
        <v>182</v>
      </c>
      <c r="BK398" t="s">
        <v>101</v>
      </c>
      <c r="BL398" t="s">
        <v>183</v>
      </c>
      <c r="BM398" t="s">
        <v>8075</v>
      </c>
      <c r="BN398" t="s">
        <v>74</v>
      </c>
      <c r="BO398" t="s">
        <v>712</v>
      </c>
      <c r="BP398" t="s">
        <v>74</v>
      </c>
      <c r="BQ398" t="s">
        <v>74</v>
      </c>
      <c r="BR398" t="s">
        <v>104</v>
      </c>
      <c r="BS398" t="s">
        <v>8092</v>
      </c>
      <c r="BT398" t="str">
        <f>HYPERLINK("https%3A%2F%2Fwww.webofscience.com%2Fwos%2Fwoscc%2Ffull-record%2FWOS:000443129500048","View Full Record in Web of Science")</f>
        <v>View Full Record in Web of Science</v>
      </c>
    </row>
    <row r="399" spans="1:72" x14ac:dyDescent="0.15">
      <c r="A399" t="s">
        <v>72</v>
      </c>
      <c r="B399" t="s">
        <v>8093</v>
      </c>
      <c r="C399" t="s">
        <v>74</v>
      </c>
      <c r="D399" t="s">
        <v>74</v>
      </c>
      <c r="E399" t="s">
        <v>74</v>
      </c>
      <c r="F399" t="s">
        <v>8094</v>
      </c>
      <c r="G399" t="s">
        <v>74</v>
      </c>
      <c r="H399" t="s">
        <v>74</v>
      </c>
      <c r="I399" t="s">
        <v>8095</v>
      </c>
      <c r="J399" t="s">
        <v>3226</v>
      </c>
      <c r="K399" t="s">
        <v>74</v>
      </c>
      <c r="L399" t="s">
        <v>74</v>
      </c>
      <c r="M399" t="s">
        <v>78</v>
      </c>
      <c r="N399" t="s">
        <v>79</v>
      </c>
      <c r="O399" t="s">
        <v>74</v>
      </c>
      <c r="P399" t="s">
        <v>74</v>
      </c>
      <c r="Q399" t="s">
        <v>74</v>
      </c>
      <c r="R399" t="s">
        <v>74</v>
      </c>
      <c r="S399" t="s">
        <v>74</v>
      </c>
      <c r="T399" t="s">
        <v>8096</v>
      </c>
      <c r="U399" t="s">
        <v>8097</v>
      </c>
      <c r="V399" t="s">
        <v>8098</v>
      </c>
      <c r="W399" t="s">
        <v>8099</v>
      </c>
      <c r="X399" t="s">
        <v>8100</v>
      </c>
      <c r="Y399" t="s">
        <v>8101</v>
      </c>
      <c r="Z399" t="s">
        <v>8102</v>
      </c>
      <c r="AA399" t="s">
        <v>8103</v>
      </c>
      <c r="AB399" t="s">
        <v>8104</v>
      </c>
      <c r="AC399" t="s">
        <v>8105</v>
      </c>
      <c r="AD399" t="s">
        <v>8106</v>
      </c>
      <c r="AE399" t="s">
        <v>8107</v>
      </c>
      <c r="AF399" t="s">
        <v>74</v>
      </c>
      <c r="AG399">
        <v>76</v>
      </c>
      <c r="AH399">
        <v>48</v>
      </c>
      <c r="AI399">
        <v>57</v>
      </c>
      <c r="AJ399">
        <v>4</v>
      </c>
      <c r="AK399">
        <v>73</v>
      </c>
      <c r="AL399" t="s">
        <v>503</v>
      </c>
      <c r="AM399" t="s">
        <v>504</v>
      </c>
      <c r="AN399" t="s">
        <v>505</v>
      </c>
      <c r="AO399" t="s">
        <v>3239</v>
      </c>
      <c r="AP399" t="s">
        <v>3240</v>
      </c>
      <c r="AQ399" t="s">
        <v>74</v>
      </c>
      <c r="AR399" t="s">
        <v>3241</v>
      </c>
      <c r="AS399" t="s">
        <v>3242</v>
      </c>
      <c r="AT399" t="s">
        <v>8055</v>
      </c>
      <c r="AU399">
        <v>2018</v>
      </c>
      <c r="AV399">
        <v>123</v>
      </c>
      <c r="AW399">
        <v>15</v>
      </c>
      <c r="AX399" t="s">
        <v>74</v>
      </c>
      <c r="AY399" t="s">
        <v>74</v>
      </c>
      <c r="AZ399" t="s">
        <v>74</v>
      </c>
      <c r="BA399" t="s">
        <v>74</v>
      </c>
      <c r="BB399">
        <v>7935</v>
      </c>
      <c r="BC399">
        <v>7949</v>
      </c>
      <c r="BD399" t="s">
        <v>74</v>
      </c>
      <c r="BE399" t="s">
        <v>8108</v>
      </c>
      <c r="BF399" t="str">
        <f>HYPERLINK("http://dx.doi.org/10.1029/2018JD028442","http://dx.doi.org/10.1029/2018JD028442")</f>
        <v>http://dx.doi.org/10.1029/2018JD028442</v>
      </c>
      <c r="BG399" t="s">
        <v>74</v>
      </c>
      <c r="BH399" t="s">
        <v>74</v>
      </c>
      <c r="BI399">
        <v>15</v>
      </c>
      <c r="BJ399" t="s">
        <v>369</v>
      </c>
      <c r="BK399" t="s">
        <v>101</v>
      </c>
      <c r="BL399" t="s">
        <v>369</v>
      </c>
      <c r="BM399" t="s">
        <v>8109</v>
      </c>
      <c r="BN399" t="s">
        <v>74</v>
      </c>
      <c r="BO399" t="s">
        <v>74</v>
      </c>
      <c r="BP399" t="s">
        <v>74</v>
      </c>
      <c r="BQ399" t="s">
        <v>74</v>
      </c>
      <c r="BR399" t="s">
        <v>104</v>
      </c>
      <c r="BS399" t="s">
        <v>8110</v>
      </c>
      <c r="BT399" t="str">
        <f>HYPERLINK("https%3A%2F%2Fwww.webofscience.com%2Fwos%2Fwoscc%2Ffull-record%2FWOS:000443566900009","View Full Record in Web of Science")</f>
        <v>View Full Record in Web of Science</v>
      </c>
    </row>
    <row r="400" spans="1:72" x14ac:dyDescent="0.15">
      <c r="A400" t="s">
        <v>72</v>
      </c>
      <c r="B400" t="s">
        <v>8111</v>
      </c>
      <c r="C400" t="s">
        <v>74</v>
      </c>
      <c r="D400" t="s">
        <v>74</v>
      </c>
      <c r="E400" t="s">
        <v>74</v>
      </c>
      <c r="F400" t="s">
        <v>8112</v>
      </c>
      <c r="G400" t="s">
        <v>74</v>
      </c>
      <c r="H400" t="s">
        <v>74</v>
      </c>
      <c r="I400" t="s">
        <v>8113</v>
      </c>
      <c r="J400" t="s">
        <v>4453</v>
      </c>
      <c r="K400" t="s">
        <v>74</v>
      </c>
      <c r="L400" t="s">
        <v>74</v>
      </c>
      <c r="M400" t="s">
        <v>78</v>
      </c>
      <c r="N400" t="s">
        <v>79</v>
      </c>
      <c r="O400" t="s">
        <v>74</v>
      </c>
      <c r="P400" t="s">
        <v>74</v>
      </c>
      <c r="Q400" t="s">
        <v>74</v>
      </c>
      <c r="R400" t="s">
        <v>74</v>
      </c>
      <c r="S400" t="s">
        <v>74</v>
      </c>
      <c r="T400" t="s">
        <v>74</v>
      </c>
      <c r="U400" t="s">
        <v>8114</v>
      </c>
      <c r="V400" t="s">
        <v>8115</v>
      </c>
      <c r="W400" t="s">
        <v>8116</v>
      </c>
      <c r="X400" t="s">
        <v>8117</v>
      </c>
      <c r="Y400" t="s">
        <v>8118</v>
      </c>
      <c r="Z400" t="s">
        <v>8119</v>
      </c>
      <c r="AA400" t="s">
        <v>8120</v>
      </c>
      <c r="AB400" t="s">
        <v>8121</v>
      </c>
      <c r="AC400" t="s">
        <v>8122</v>
      </c>
      <c r="AD400" t="s">
        <v>8123</v>
      </c>
      <c r="AE400" t="s">
        <v>8124</v>
      </c>
      <c r="AF400" t="s">
        <v>74</v>
      </c>
      <c r="AG400">
        <v>127</v>
      </c>
      <c r="AH400">
        <v>13</v>
      </c>
      <c r="AI400">
        <v>14</v>
      </c>
      <c r="AJ400">
        <v>2</v>
      </c>
      <c r="AK400">
        <v>17</v>
      </c>
      <c r="AL400" t="s">
        <v>3353</v>
      </c>
      <c r="AM400" t="s">
        <v>3354</v>
      </c>
      <c r="AN400" t="s">
        <v>3355</v>
      </c>
      <c r="AO400" t="s">
        <v>4465</v>
      </c>
      <c r="AP400" t="s">
        <v>4466</v>
      </c>
      <c r="AQ400" t="s">
        <v>74</v>
      </c>
      <c r="AR400" t="s">
        <v>4467</v>
      </c>
      <c r="AS400" t="s">
        <v>4468</v>
      </c>
      <c r="AT400" t="s">
        <v>8055</v>
      </c>
      <c r="AU400">
        <v>2018</v>
      </c>
      <c r="AV400">
        <v>14</v>
      </c>
      <c r="AW400">
        <v>8</v>
      </c>
      <c r="AX400" t="s">
        <v>74</v>
      </c>
      <c r="AY400" t="s">
        <v>74</v>
      </c>
      <c r="AZ400" t="s">
        <v>74</v>
      </c>
      <c r="BA400" t="s">
        <v>74</v>
      </c>
      <c r="BB400">
        <v>1229</v>
      </c>
      <c r="BC400">
        <v>1252</v>
      </c>
      <c r="BD400" t="s">
        <v>74</v>
      </c>
      <c r="BE400" t="s">
        <v>8125</v>
      </c>
      <c r="BF400" t="str">
        <f>HYPERLINK("http://dx.doi.org/10.5194/cp-14-1229-2018","http://dx.doi.org/10.5194/cp-14-1229-2018")</f>
        <v>http://dx.doi.org/10.5194/cp-14-1229-2018</v>
      </c>
      <c r="BG400" t="s">
        <v>74</v>
      </c>
      <c r="BH400" t="s">
        <v>74</v>
      </c>
      <c r="BI400">
        <v>24</v>
      </c>
      <c r="BJ400" t="s">
        <v>4148</v>
      </c>
      <c r="BK400" t="s">
        <v>101</v>
      </c>
      <c r="BL400" t="s">
        <v>4149</v>
      </c>
      <c r="BM400" t="s">
        <v>8126</v>
      </c>
      <c r="BN400" t="s">
        <v>74</v>
      </c>
      <c r="BO400" t="s">
        <v>3382</v>
      </c>
      <c r="BP400" t="s">
        <v>74</v>
      </c>
      <c r="BQ400" t="s">
        <v>74</v>
      </c>
      <c r="BR400" t="s">
        <v>104</v>
      </c>
      <c r="BS400" t="s">
        <v>8127</v>
      </c>
      <c r="BT400" t="str">
        <f>HYPERLINK("https%3A%2F%2Fwww.webofscience.com%2Fwos%2Fwoscc%2Ffull-record%2FWOS:000441786100001","View Full Record in Web of Science")</f>
        <v>View Full Record in Web of Science</v>
      </c>
    </row>
    <row r="401" spans="1:72" x14ac:dyDescent="0.15">
      <c r="A401" t="s">
        <v>72</v>
      </c>
      <c r="B401" t="s">
        <v>8128</v>
      </c>
      <c r="C401" t="s">
        <v>74</v>
      </c>
      <c r="D401" t="s">
        <v>74</v>
      </c>
      <c r="E401" t="s">
        <v>74</v>
      </c>
      <c r="F401" t="s">
        <v>8129</v>
      </c>
      <c r="G401" t="s">
        <v>74</v>
      </c>
      <c r="H401" t="s">
        <v>74</v>
      </c>
      <c r="I401" t="s">
        <v>8130</v>
      </c>
      <c r="J401" t="s">
        <v>3089</v>
      </c>
      <c r="K401" t="s">
        <v>74</v>
      </c>
      <c r="L401" t="s">
        <v>74</v>
      </c>
      <c r="M401" t="s">
        <v>78</v>
      </c>
      <c r="N401" t="s">
        <v>79</v>
      </c>
      <c r="O401" t="s">
        <v>74</v>
      </c>
      <c r="P401" t="s">
        <v>74</v>
      </c>
      <c r="Q401" t="s">
        <v>74</v>
      </c>
      <c r="R401" t="s">
        <v>74</v>
      </c>
      <c r="S401" t="s">
        <v>74</v>
      </c>
      <c r="T401" t="s">
        <v>74</v>
      </c>
      <c r="U401" t="s">
        <v>8131</v>
      </c>
      <c r="V401" t="s">
        <v>8132</v>
      </c>
      <c r="W401" t="s">
        <v>8133</v>
      </c>
      <c r="X401" t="s">
        <v>8134</v>
      </c>
      <c r="Y401" t="s">
        <v>8135</v>
      </c>
      <c r="Z401" t="s">
        <v>8136</v>
      </c>
      <c r="AA401" t="s">
        <v>8137</v>
      </c>
      <c r="AB401" t="s">
        <v>8138</v>
      </c>
      <c r="AC401" t="s">
        <v>8139</v>
      </c>
      <c r="AD401" t="s">
        <v>7573</v>
      </c>
      <c r="AE401" t="s">
        <v>8140</v>
      </c>
      <c r="AF401" t="s">
        <v>74</v>
      </c>
      <c r="AG401">
        <v>42</v>
      </c>
      <c r="AH401">
        <v>13</v>
      </c>
      <c r="AI401">
        <v>13</v>
      </c>
      <c r="AJ401">
        <v>0</v>
      </c>
      <c r="AK401">
        <v>6</v>
      </c>
      <c r="AL401" t="s">
        <v>503</v>
      </c>
      <c r="AM401" t="s">
        <v>504</v>
      </c>
      <c r="AN401" t="s">
        <v>505</v>
      </c>
      <c r="AO401" t="s">
        <v>3100</v>
      </c>
      <c r="AP401" t="s">
        <v>3101</v>
      </c>
      <c r="AQ401" t="s">
        <v>74</v>
      </c>
      <c r="AR401" t="s">
        <v>3102</v>
      </c>
      <c r="AS401" t="s">
        <v>3103</v>
      </c>
      <c r="AT401" t="s">
        <v>8055</v>
      </c>
      <c r="AU401">
        <v>2018</v>
      </c>
      <c r="AV401">
        <v>45</v>
      </c>
      <c r="AW401">
        <v>15</v>
      </c>
      <c r="AX401" t="s">
        <v>74</v>
      </c>
      <c r="AY401" t="s">
        <v>74</v>
      </c>
      <c r="AZ401" t="s">
        <v>74</v>
      </c>
      <c r="BA401" t="s">
        <v>74</v>
      </c>
      <c r="BB401">
        <v>7277</v>
      </c>
      <c r="BC401">
        <v>7286</v>
      </c>
      <c r="BD401" t="s">
        <v>74</v>
      </c>
      <c r="BE401" t="s">
        <v>8141</v>
      </c>
      <c r="BF401" t="str">
        <f>HYPERLINK("http://dx.doi.org/10.1029/2018GL078961","http://dx.doi.org/10.1029/2018GL078961")</f>
        <v>http://dx.doi.org/10.1029/2018GL078961</v>
      </c>
      <c r="BG401" t="s">
        <v>74</v>
      </c>
      <c r="BH401" t="s">
        <v>74</v>
      </c>
      <c r="BI401">
        <v>10</v>
      </c>
      <c r="BJ401" t="s">
        <v>182</v>
      </c>
      <c r="BK401" t="s">
        <v>101</v>
      </c>
      <c r="BL401" t="s">
        <v>183</v>
      </c>
      <c r="BM401" t="s">
        <v>8075</v>
      </c>
      <c r="BN401" t="s">
        <v>74</v>
      </c>
      <c r="BO401" t="s">
        <v>712</v>
      </c>
      <c r="BP401" t="s">
        <v>74</v>
      </c>
      <c r="BQ401" t="s">
        <v>74</v>
      </c>
      <c r="BR401" t="s">
        <v>104</v>
      </c>
      <c r="BS401" t="s">
        <v>8142</v>
      </c>
      <c r="BT401" t="str">
        <f>HYPERLINK("https%3A%2F%2Fwww.webofscience.com%2Fwos%2Fwoscc%2Ffull-record%2FWOS:000443129500005","View Full Record in Web of Science")</f>
        <v>View Full Record in Web of Science</v>
      </c>
    </row>
    <row r="402" spans="1:72" x14ac:dyDescent="0.15">
      <c r="A402" t="s">
        <v>72</v>
      </c>
      <c r="B402" t="s">
        <v>8143</v>
      </c>
      <c r="C402" t="s">
        <v>74</v>
      </c>
      <c r="D402" t="s">
        <v>74</v>
      </c>
      <c r="E402" t="s">
        <v>74</v>
      </c>
      <c r="F402" t="s">
        <v>8144</v>
      </c>
      <c r="G402" t="s">
        <v>74</v>
      </c>
      <c r="H402" t="s">
        <v>74</v>
      </c>
      <c r="I402" t="s">
        <v>8145</v>
      </c>
      <c r="J402" t="s">
        <v>3089</v>
      </c>
      <c r="K402" t="s">
        <v>74</v>
      </c>
      <c r="L402" t="s">
        <v>74</v>
      </c>
      <c r="M402" t="s">
        <v>78</v>
      </c>
      <c r="N402" t="s">
        <v>79</v>
      </c>
      <c r="O402" t="s">
        <v>74</v>
      </c>
      <c r="P402" t="s">
        <v>74</v>
      </c>
      <c r="Q402" t="s">
        <v>74</v>
      </c>
      <c r="R402" t="s">
        <v>74</v>
      </c>
      <c r="S402" t="s">
        <v>74</v>
      </c>
      <c r="T402" t="s">
        <v>8146</v>
      </c>
      <c r="U402" t="s">
        <v>8147</v>
      </c>
      <c r="V402" t="s">
        <v>8148</v>
      </c>
      <c r="W402" t="s">
        <v>8149</v>
      </c>
      <c r="X402" t="s">
        <v>8150</v>
      </c>
      <c r="Y402" t="s">
        <v>8151</v>
      </c>
      <c r="Z402" t="s">
        <v>8152</v>
      </c>
      <c r="AA402" t="s">
        <v>8153</v>
      </c>
      <c r="AB402" t="s">
        <v>8154</v>
      </c>
      <c r="AC402" t="s">
        <v>8155</v>
      </c>
      <c r="AD402" t="s">
        <v>8156</v>
      </c>
      <c r="AE402" t="s">
        <v>8157</v>
      </c>
      <c r="AF402" t="s">
        <v>74</v>
      </c>
      <c r="AG402">
        <v>36</v>
      </c>
      <c r="AH402">
        <v>9</v>
      </c>
      <c r="AI402">
        <v>11</v>
      </c>
      <c r="AJ402">
        <v>0</v>
      </c>
      <c r="AK402">
        <v>47</v>
      </c>
      <c r="AL402" t="s">
        <v>503</v>
      </c>
      <c r="AM402" t="s">
        <v>504</v>
      </c>
      <c r="AN402" t="s">
        <v>505</v>
      </c>
      <c r="AO402" t="s">
        <v>3100</v>
      </c>
      <c r="AP402" t="s">
        <v>3101</v>
      </c>
      <c r="AQ402" t="s">
        <v>74</v>
      </c>
      <c r="AR402" t="s">
        <v>3102</v>
      </c>
      <c r="AS402" t="s">
        <v>3103</v>
      </c>
      <c r="AT402" t="s">
        <v>8055</v>
      </c>
      <c r="AU402">
        <v>2018</v>
      </c>
      <c r="AV402">
        <v>45</v>
      </c>
      <c r="AW402">
        <v>15</v>
      </c>
      <c r="AX402" t="s">
        <v>74</v>
      </c>
      <c r="AY402" t="s">
        <v>74</v>
      </c>
      <c r="AZ402" t="s">
        <v>74</v>
      </c>
      <c r="BA402" t="s">
        <v>74</v>
      </c>
      <c r="BB402">
        <v>7835</v>
      </c>
      <c r="BC402">
        <v>7842</v>
      </c>
      <c r="BD402" t="s">
        <v>74</v>
      </c>
      <c r="BE402" t="s">
        <v>8158</v>
      </c>
      <c r="BF402" t="str">
        <f>HYPERLINK("http://dx.doi.org/10.1029/2018GL078596","http://dx.doi.org/10.1029/2018GL078596")</f>
        <v>http://dx.doi.org/10.1029/2018GL078596</v>
      </c>
      <c r="BG402" t="s">
        <v>74</v>
      </c>
      <c r="BH402" t="s">
        <v>74</v>
      </c>
      <c r="BI402">
        <v>8</v>
      </c>
      <c r="BJ402" t="s">
        <v>182</v>
      </c>
      <c r="BK402" t="s">
        <v>101</v>
      </c>
      <c r="BL402" t="s">
        <v>183</v>
      </c>
      <c r="BM402" t="s">
        <v>8075</v>
      </c>
      <c r="BN402" t="s">
        <v>74</v>
      </c>
      <c r="BO402" t="s">
        <v>835</v>
      </c>
      <c r="BP402" t="s">
        <v>74</v>
      </c>
      <c r="BQ402" t="s">
        <v>74</v>
      </c>
      <c r="BR402" t="s">
        <v>104</v>
      </c>
      <c r="BS402" t="s">
        <v>8159</v>
      </c>
      <c r="BT402" t="str">
        <f>HYPERLINK("https%3A%2F%2Fwww.webofscience.com%2Fwos%2Fwoscc%2Ffull-record%2FWOS:000443129500067","View Full Record in Web of Science")</f>
        <v>View Full Record in Web of Science</v>
      </c>
    </row>
    <row r="403" spans="1:72" x14ac:dyDescent="0.15">
      <c r="A403" t="s">
        <v>72</v>
      </c>
      <c r="B403" t="s">
        <v>8160</v>
      </c>
      <c r="C403" t="s">
        <v>74</v>
      </c>
      <c r="D403" t="s">
        <v>74</v>
      </c>
      <c r="E403" t="s">
        <v>74</v>
      </c>
      <c r="F403" t="s">
        <v>8161</v>
      </c>
      <c r="G403" t="s">
        <v>74</v>
      </c>
      <c r="H403" t="s">
        <v>74</v>
      </c>
      <c r="I403" t="s">
        <v>8162</v>
      </c>
      <c r="J403" t="s">
        <v>3226</v>
      </c>
      <c r="K403" t="s">
        <v>74</v>
      </c>
      <c r="L403" t="s">
        <v>74</v>
      </c>
      <c r="M403" t="s">
        <v>78</v>
      </c>
      <c r="N403" t="s">
        <v>79</v>
      </c>
      <c r="O403" t="s">
        <v>74</v>
      </c>
      <c r="P403" t="s">
        <v>74</v>
      </c>
      <c r="Q403" t="s">
        <v>74</v>
      </c>
      <c r="R403" t="s">
        <v>74</v>
      </c>
      <c r="S403" t="s">
        <v>74</v>
      </c>
      <c r="T403" t="s">
        <v>8163</v>
      </c>
      <c r="U403" t="s">
        <v>8164</v>
      </c>
      <c r="V403" t="s">
        <v>8165</v>
      </c>
      <c r="W403" t="s">
        <v>8166</v>
      </c>
      <c r="X403" t="s">
        <v>8167</v>
      </c>
      <c r="Y403" t="s">
        <v>8168</v>
      </c>
      <c r="Z403" t="s">
        <v>8169</v>
      </c>
      <c r="AA403" t="s">
        <v>8170</v>
      </c>
      <c r="AB403" t="s">
        <v>8171</v>
      </c>
      <c r="AC403" t="s">
        <v>8172</v>
      </c>
      <c r="AD403" t="s">
        <v>8173</v>
      </c>
      <c r="AE403" t="s">
        <v>8174</v>
      </c>
      <c r="AF403" t="s">
        <v>74</v>
      </c>
      <c r="AG403">
        <v>67</v>
      </c>
      <c r="AH403">
        <v>31</v>
      </c>
      <c r="AI403">
        <v>33</v>
      </c>
      <c r="AJ403">
        <v>4</v>
      </c>
      <c r="AK403">
        <v>8</v>
      </c>
      <c r="AL403" t="s">
        <v>503</v>
      </c>
      <c r="AM403" t="s">
        <v>504</v>
      </c>
      <c r="AN403" t="s">
        <v>505</v>
      </c>
      <c r="AO403" t="s">
        <v>3239</v>
      </c>
      <c r="AP403" t="s">
        <v>3240</v>
      </c>
      <c r="AQ403" t="s">
        <v>74</v>
      </c>
      <c r="AR403" t="s">
        <v>3241</v>
      </c>
      <c r="AS403" t="s">
        <v>3242</v>
      </c>
      <c r="AT403" t="s">
        <v>8055</v>
      </c>
      <c r="AU403">
        <v>2018</v>
      </c>
      <c r="AV403">
        <v>123</v>
      </c>
      <c r="AW403">
        <v>15</v>
      </c>
      <c r="AX403" t="s">
        <v>74</v>
      </c>
      <c r="AY403" t="s">
        <v>74</v>
      </c>
      <c r="AZ403" t="s">
        <v>74</v>
      </c>
      <c r="BA403" t="s">
        <v>74</v>
      </c>
      <c r="BB403">
        <v>7910</v>
      </c>
      <c r="BC403">
        <v>7934</v>
      </c>
      <c r="BD403" t="s">
        <v>74</v>
      </c>
      <c r="BE403" t="s">
        <v>8175</v>
      </c>
      <c r="BF403" t="str">
        <f>HYPERLINK("http://dx.doi.org/10.1029/2017JD027386","http://dx.doi.org/10.1029/2017JD027386")</f>
        <v>http://dx.doi.org/10.1029/2017JD027386</v>
      </c>
      <c r="BG403" t="s">
        <v>74</v>
      </c>
      <c r="BH403" t="s">
        <v>74</v>
      </c>
      <c r="BI403">
        <v>25</v>
      </c>
      <c r="BJ403" t="s">
        <v>369</v>
      </c>
      <c r="BK403" t="s">
        <v>101</v>
      </c>
      <c r="BL403" t="s">
        <v>369</v>
      </c>
      <c r="BM403" t="s">
        <v>8109</v>
      </c>
      <c r="BN403">
        <v>31032162</v>
      </c>
      <c r="BO403" t="s">
        <v>2444</v>
      </c>
      <c r="BP403" t="s">
        <v>74</v>
      </c>
      <c r="BQ403" t="s">
        <v>74</v>
      </c>
      <c r="BR403" t="s">
        <v>104</v>
      </c>
      <c r="BS403" t="s">
        <v>8176</v>
      </c>
      <c r="BT403" t="str">
        <f>HYPERLINK("https%3A%2F%2Fwww.webofscience.com%2Fwos%2Fwoscc%2Ffull-record%2FWOS:000443566900008","View Full Record in Web of Science")</f>
        <v>View Full Record in Web of Science</v>
      </c>
    </row>
    <row r="404" spans="1:72" x14ac:dyDescent="0.15">
      <c r="A404" t="s">
        <v>72</v>
      </c>
      <c r="B404" t="s">
        <v>8177</v>
      </c>
      <c r="C404" t="s">
        <v>74</v>
      </c>
      <c r="D404" t="s">
        <v>74</v>
      </c>
      <c r="E404" t="s">
        <v>74</v>
      </c>
      <c r="F404" t="s">
        <v>8178</v>
      </c>
      <c r="G404" t="s">
        <v>74</v>
      </c>
      <c r="H404" t="s">
        <v>74</v>
      </c>
      <c r="I404" t="s">
        <v>8179</v>
      </c>
      <c r="J404" t="s">
        <v>3588</v>
      </c>
      <c r="K404" t="s">
        <v>74</v>
      </c>
      <c r="L404" t="s">
        <v>74</v>
      </c>
      <c r="M404" t="s">
        <v>78</v>
      </c>
      <c r="N404" t="s">
        <v>79</v>
      </c>
      <c r="O404" t="s">
        <v>74</v>
      </c>
      <c r="P404" t="s">
        <v>74</v>
      </c>
      <c r="Q404" t="s">
        <v>74</v>
      </c>
      <c r="R404" t="s">
        <v>74</v>
      </c>
      <c r="S404" t="s">
        <v>74</v>
      </c>
      <c r="T404" t="s">
        <v>74</v>
      </c>
      <c r="U404" t="s">
        <v>8180</v>
      </c>
      <c r="V404" t="s">
        <v>8181</v>
      </c>
      <c r="W404" t="s">
        <v>8182</v>
      </c>
      <c r="X404" t="s">
        <v>8183</v>
      </c>
      <c r="Y404" t="s">
        <v>8184</v>
      </c>
      <c r="Z404" t="s">
        <v>8185</v>
      </c>
      <c r="AA404" t="s">
        <v>74</v>
      </c>
      <c r="AB404" t="s">
        <v>8186</v>
      </c>
      <c r="AC404" t="s">
        <v>8187</v>
      </c>
      <c r="AD404" t="s">
        <v>8188</v>
      </c>
      <c r="AE404" t="s">
        <v>8189</v>
      </c>
      <c r="AF404" t="s">
        <v>74</v>
      </c>
      <c r="AG404">
        <v>59</v>
      </c>
      <c r="AH404">
        <v>4</v>
      </c>
      <c r="AI404">
        <v>4</v>
      </c>
      <c r="AJ404">
        <v>1</v>
      </c>
      <c r="AK404">
        <v>9</v>
      </c>
      <c r="AL404" t="s">
        <v>3599</v>
      </c>
      <c r="AM404" t="s">
        <v>3600</v>
      </c>
      <c r="AN404" t="s">
        <v>3601</v>
      </c>
      <c r="AO404" t="s">
        <v>3602</v>
      </c>
      <c r="AP404" t="s">
        <v>74</v>
      </c>
      <c r="AQ404" t="s">
        <v>74</v>
      </c>
      <c r="AR404" t="s">
        <v>3588</v>
      </c>
      <c r="AS404" t="s">
        <v>3603</v>
      </c>
      <c r="AT404" t="s">
        <v>8055</v>
      </c>
      <c r="AU404">
        <v>2018</v>
      </c>
      <c r="AV404">
        <v>13</v>
      </c>
      <c r="AW404">
        <v>8</v>
      </c>
      <c r="AX404" t="s">
        <v>74</v>
      </c>
      <c r="AY404" t="s">
        <v>74</v>
      </c>
      <c r="AZ404" t="s">
        <v>74</v>
      </c>
      <c r="BA404" t="s">
        <v>74</v>
      </c>
      <c r="BB404" t="s">
        <v>74</v>
      </c>
      <c r="BC404" t="s">
        <v>74</v>
      </c>
      <c r="BD404" t="s">
        <v>8190</v>
      </c>
      <c r="BE404" t="s">
        <v>8191</v>
      </c>
      <c r="BF404" t="str">
        <f>HYPERLINK("http://dx.doi.org/10.1371/journal.pone.0201816","http://dx.doi.org/10.1371/journal.pone.0201816")</f>
        <v>http://dx.doi.org/10.1371/journal.pone.0201816</v>
      </c>
      <c r="BG404" t="s">
        <v>74</v>
      </c>
      <c r="BH404" t="s">
        <v>74</v>
      </c>
      <c r="BI404">
        <v>19</v>
      </c>
      <c r="BJ404" t="s">
        <v>436</v>
      </c>
      <c r="BK404" t="s">
        <v>101</v>
      </c>
      <c r="BL404" t="s">
        <v>437</v>
      </c>
      <c r="BM404" t="s">
        <v>8192</v>
      </c>
      <c r="BN404">
        <v>30114228</v>
      </c>
      <c r="BO404" t="s">
        <v>103</v>
      </c>
      <c r="BP404" t="s">
        <v>74</v>
      </c>
      <c r="BQ404" t="s">
        <v>74</v>
      </c>
      <c r="BR404" t="s">
        <v>104</v>
      </c>
      <c r="BS404" t="s">
        <v>8193</v>
      </c>
      <c r="BT404" t="str">
        <f>HYPERLINK("https%3A%2F%2Fwww.webofscience.com%2Fwos%2Fwoscc%2Ffull-record%2FWOS:000441850400028","View Full Record in Web of Science")</f>
        <v>View Full Record in Web of Science</v>
      </c>
    </row>
    <row r="405" spans="1:72" x14ac:dyDescent="0.15">
      <c r="A405" t="s">
        <v>72</v>
      </c>
      <c r="B405" t="s">
        <v>8194</v>
      </c>
      <c r="C405" t="s">
        <v>74</v>
      </c>
      <c r="D405" t="s">
        <v>74</v>
      </c>
      <c r="E405" t="s">
        <v>74</v>
      </c>
      <c r="F405" t="s">
        <v>8195</v>
      </c>
      <c r="G405" t="s">
        <v>74</v>
      </c>
      <c r="H405" t="s">
        <v>74</v>
      </c>
      <c r="I405" t="s">
        <v>8196</v>
      </c>
      <c r="J405" t="s">
        <v>3366</v>
      </c>
      <c r="K405" t="s">
        <v>74</v>
      </c>
      <c r="L405" t="s">
        <v>74</v>
      </c>
      <c r="M405" t="s">
        <v>78</v>
      </c>
      <c r="N405" t="s">
        <v>79</v>
      </c>
      <c r="O405" t="s">
        <v>74</v>
      </c>
      <c r="P405" t="s">
        <v>74</v>
      </c>
      <c r="Q405" t="s">
        <v>74</v>
      </c>
      <c r="R405" t="s">
        <v>74</v>
      </c>
      <c r="S405" t="s">
        <v>74</v>
      </c>
      <c r="T405" t="s">
        <v>74</v>
      </c>
      <c r="U405" t="s">
        <v>8197</v>
      </c>
      <c r="V405" t="s">
        <v>8198</v>
      </c>
      <c r="W405" t="s">
        <v>8199</v>
      </c>
      <c r="X405" t="s">
        <v>8200</v>
      </c>
      <c r="Y405" t="s">
        <v>8201</v>
      </c>
      <c r="Z405" t="s">
        <v>8202</v>
      </c>
      <c r="AA405" t="s">
        <v>8203</v>
      </c>
      <c r="AB405" t="s">
        <v>8204</v>
      </c>
      <c r="AC405" t="s">
        <v>8205</v>
      </c>
      <c r="AD405" t="s">
        <v>8206</v>
      </c>
      <c r="AE405" t="s">
        <v>8207</v>
      </c>
      <c r="AF405" t="s">
        <v>74</v>
      </c>
      <c r="AG405">
        <v>49</v>
      </c>
      <c r="AH405">
        <v>19</v>
      </c>
      <c r="AI405">
        <v>23</v>
      </c>
      <c r="AJ405">
        <v>0</v>
      </c>
      <c r="AK405">
        <v>4</v>
      </c>
      <c r="AL405" t="s">
        <v>3353</v>
      </c>
      <c r="AM405" t="s">
        <v>3354</v>
      </c>
      <c r="AN405" t="s">
        <v>3355</v>
      </c>
      <c r="AO405" t="s">
        <v>3377</v>
      </c>
      <c r="AP405" t="s">
        <v>3378</v>
      </c>
      <c r="AQ405" t="s">
        <v>74</v>
      </c>
      <c r="AR405" t="s">
        <v>3366</v>
      </c>
      <c r="AS405" t="s">
        <v>3379</v>
      </c>
      <c r="AT405" t="s">
        <v>8208</v>
      </c>
      <c r="AU405">
        <v>2018</v>
      </c>
      <c r="AV405">
        <v>12</v>
      </c>
      <c r="AW405">
        <v>8</v>
      </c>
      <c r="AX405" t="s">
        <v>74</v>
      </c>
      <c r="AY405" t="s">
        <v>74</v>
      </c>
      <c r="AZ405" t="s">
        <v>74</v>
      </c>
      <c r="BA405" t="s">
        <v>74</v>
      </c>
      <c r="BB405">
        <v>2637</v>
      </c>
      <c r="BC405">
        <v>2652</v>
      </c>
      <c r="BD405" t="s">
        <v>74</v>
      </c>
      <c r="BE405" t="s">
        <v>8209</v>
      </c>
      <c r="BF405" t="str">
        <f>HYPERLINK("http://dx.doi.org/10.5194/tc-12-2637-2018","http://dx.doi.org/10.5194/tc-12-2637-2018")</f>
        <v>http://dx.doi.org/10.5194/tc-12-2637-2018</v>
      </c>
      <c r="BG405" t="s">
        <v>74</v>
      </c>
      <c r="BH405" t="s">
        <v>74</v>
      </c>
      <c r="BI405">
        <v>16</v>
      </c>
      <c r="BJ405" t="s">
        <v>208</v>
      </c>
      <c r="BK405" t="s">
        <v>101</v>
      </c>
      <c r="BL405" t="s">
        <v>209</v>
      </c>
      <c r="BM405" t="s">
        <v>8210</v>
      </c>
      <c r="BN405" t="s">
        <v>74</v>
      </c>
      <c r="BO405" t="s">
        <v>4256</v>
      </c>
      <c r="BP405" t="s">
        <v>74</v>
      </c>
      <c r="BQ405" t="s">
        <v>74</v>
      </c>
      <c r="BR405" t="s">
        <v>104</v>
      </c>
      <c r="BS405" t="s">
        <v>8211</v>
      </c>
      <c r="BT405" t="str">
        <f>HYPERLINK("https%3A%2F%2Fwww.webofscience.com%2Fwos%2Fwoscc%2Ffull-record%2FWOS:000441669600001","View Full Record in Web of Science")</f>
        <v>View Full Record in Web of Science</v>
      </c>
    </row>
    <row r="406" spans="1:72" x14ac:dyDescent="0.15">
      <c r="A406" t="s">
        <v>72</v>
      </c>
      <c r="B406" t="s">
        <v>8194</v>
      </c>
      <c r="C406" t="s">
        <v>74</v>
      </c>
      <c r="D406" t="s">
        <v>74</v>
      </c>
      <c r="E406" t="s">
        <v>74</v>
      </c>
      <c r="F406" t="s">
        <v>8195</v>
      </c>
      <c r="G406" t="s">
        <v>74</v>
      </c>
      <c r="H406" t="s">
        <v>74</v>
      </c>
      <c r="I406" t="s">
        <v>8212</v>
      </c>
      <c r="J406" t="s">
        <v>3366</v>
      </c>
      <c r="K406" t="s">
        <v>74</v>
      </c>
      <c r="L406" t="s">
        <v>74</v>
      </c>
      <c r="M406" t="s">
        <v>78</v>
      </c>
      <c r="N406" t="s">
        <v>79</v>
      </c>
      <c r="O406" t="s">
        <v>74</v>
      </c>
      <c r="P406" t="s">
        <v>74</v>
      </c>
      <c r="Q406" t="s">
        <v>74</v>
      </c>
      <c r="R406" t="s">
        <v>74</v>
      </c>
      <c r="S406" t="s">
        <v>74</v>
      </c>
      <c r="T406" t="s">
        <v>74</v>
      </c>
      <c r="U406" t="s">
        <v>8213</v>
      </c>
      <c r="V406" t="s">
        <v>8214</v>
      </c>
      <c r="W406" t="s">
        <v>8215</v>
      </c>
      <c r="X406" t="s">
        <v>8200</v>
      </c>
      <c r="Y406" t="s">
        <v>8201</v>
      </c>
      <c r="Z406" t="s">
        <v>8202</v>
      </c>
      <c r="AA406" t="s">
        <v>8216</v>
      </c>
      <c r="AB406" t="s">
        <v>8217</v>
      </c>
      <c r="AC406" t="s">
        <v>8205</v>
      </c>
      <c r="AD406" t="s">
        <v>8206</v>
      </c>
      <c r="AE406" t="s">
        <v>8218</v>
      </c>
      <c r="AF406" t="s">
        <v>74</v>
      </c>
      <c r="AG406">
        <v>49</v>
      </c>
      <c r="AH406">
        <v>5</v>
      </c>
      <c r="AI406">
        <v>6</v>
      </c>
      <c r="AJ406">
        <v>0</v>
      </c>
      <c r="AK406">
        <v>3</v>
      </c>
      <c r="AL406" t="s">
        <v>3353</v>
      </c>
      <c r="AM406" t="s">
        <v>3354</v>
      </c>
      <c r="AN406" t="s">
        <v>3355</v>
      </c>
      <c r="AO406" t="s">
        <v>3377</v>
      </c>
      <c r="AP406" t="s">
        <v>3378</v>
      </c>
      <c r="AQ406" t="s">
        <v>74</v>
      </c>
      <c r="AR406" t="s">
        <v>3366</v>
      </c>
      <c r="AS406" t="s">
        <v>3379</v>
      </c>
      <c r="AT406" t="s">
        <v>8208</v>
      </c>
      <c r="AU406">
        <v>2018</v>
      </c>
      <c r="AV406">
        <v>12</v>
      </c>
      <c r="AW406">
        <v>8</v>
      </c>
      <c r="AX406" t="s">
        <v>74</v>
      </c>
      <c r="AY406" t="s">
        <v>74</v>
      </c>
      <c r="AZ406" t="s">
        <v>74</v>
      </c>
      <c r="BA406" t="s">
        <v>74</v>
      </c>
      <c r="BB406">
        <v>2653</v>
      </c>
      <c r="BC406">
        <v>2666</v>
      </c>
      <c r="BD406" t="s">
        <v>74</v>
      </c>
      <c r="BE406" t="s">
        <v>8219</v>
      </c>
      <c r="BF406" t="str">
        <f>HYPERLINK("http://dx.doi.org/10.5194/tc-12-2653-2018","http://dx.doi.org/10.5194/tc-12-2653-2018")</f>
        <v>http://dx.doi.org/10.5194/tc-12-2653-2018</v>
      </c>
      <c r="BG406" t="s">
        <v>74</v>
      </c>
      <c r="BH406" t="s">
        <v>74</v>
      </c>
      <c r="BI406">
        <v>14</v>
      </c>
      <c r="BJ406" t="s">
        <v>208</v>
      </c>
      <c r="BK406" t="s">
        <v>101</v>
      </c>
      <c r="BL406" t="s">
        <v>209</v>
      </c>
      <c r="BM406" t="s">
        <v>8210</v>
      </c>
      <c r="BN406" t="s">
        <v>74</v>
      </c>
      <c r="BO406" t="s">
        <v>8220</v>
      </c>
      <c r="BP406" t="s">
        <v>74</v>
      </c>
      <c r="BQ406" t="s">
        <v>74</v>
      </c>
      <c r="BR406" t="s">
        <v>104</v>
      </c>
      <c r="BS406" t="s">
        <v>8221</v>
      </c>
      <c r="BT406" t="str">
        <f>HYPERLINK("https%3A%2F%2Fwww.webofscience.com%2Fwos%2Fwoscc%2Ffull-record%2FWOS:000441669600002","View Full Record in Web of Science")</f>
        <v>View Full Record in Web of Science</v>
      </c>
    </row>
    <row r="407" spans="1:72" x14ac:dyDescent="0.15">
      <c r="A407" t="s">
        <v>72</v>
      </c>
      <c r="B407" t="s">
        <v>8222</v>
      </c>
      <c r="C407" t="s">
        <v>74</v>
      </c>
      <c r="D407" t="s">
        <v>74</v>
      </c>
      <c r="E407" t="s">
        <v>74</v>
      </c>
      <c r="F407" t="s">
        <v>8223</v>
      </c>
      <c r="G407" t="s">
        <v>74</v>
      </c>
      <c r="H407" t="s">
        <v>74</v>
      </c>
      <c r="I407" t="s">
        <v>8224</v>
      </c>
      <c r="J407" t="s">
        <v>1866</v>
      </c>
      <c r="K407" t="s">
        <v>74</v>
      </c>
      <c r="L407" t="s">
        <v>74</v>
      </c>
      <c r="M407" t="s">
        <v>78</v>
      </c>
      <c r="N407" t="s">
        <v>79</v>
      </c>
      <c r="O407" t="s">
        <v>74</v>
      </c>
      <c r="P407" t="s">
        <v>74</v>
      </c>
      <c r="Q407" t="s">
        <v>74</v>
      </c>
      <c r="R407" t="s">
        <v>74</v>
      </c>
      <c r="S407" t="s">
        <v>74</v>
      </c>
      <c r="T407" t="s">
        <v>8225</v>
      </c>
      <c r="U407" t="s">
        <v>8226</v>
      </c>
      <c r="V407" t="s">
        <v>8227</v>
      </c>
      <c r="W407" t="s">
        <v>8228</v>
      </c>
      <c r="X407" t="s">
        <v>8229</v>
      </c>
      <c r="Y407" t="s">
        <v>8230</v>
      </c>
      <c r="Z407" t="s">
        <v>8231</v>
      </c>
      <c r="AA407" t="s">
        <v>8232</v>
      </c>
      <c r="AB407" t="s">
        <v>8233</v>
      </c>
      <c r="AC407" t="s">
        <v>8234</v>
      </c>
      <c r="AD407" t="s">
        <v>8235</v>
      </c>
      <c r="AE407" t="s">
        <v>8236</v>
      </c>
      <c r="AF407" t="s">
        <v>74</v>
      </c>
      <c r="AG407">
        <v>92</v>
      </c>
      <c r="AH407">
        <v>27</v>
      </c>
      <c r="AI407">
        <v>28</v>
      </c>
      <c r="AJ407">
        <v>1</v>
      </c>
      <c r="AK407">
        <v>24</v>
      </c>
      <c r="AL407" t="s">
        <v>149</v>
      </c>
      <c r="AM407" t="s">
        <v>93</v>
      </c>
      <c r="AN407" t="s">
        <v>150</v>
      </c>
      <c r="AO407" t="s">
        <v>1879</v>
      </c>
      <c r="AP407" t="s">
        <v>74</v>
      </c>
      <c r="AQ407" t="s">
        <v>74</v>
      </c>
      <c r="AR407" t="s">
        <v>1880</v>
      </c>
      <c r="AS407" t="s">
        <v>1881</v>
      </c>
      <c r="AT407" t="s">
        <v>8208</v>
      </c>
      <c r="AU407">
        <v>2018</v>
      </c>
      <c r="AV407">
        <v>194</v>
      </c>
      <c r="AW407" t="s">
        <v>74</v>
      </c>
      <c r="AX407" t="s">
        <v>74</v>
      </c>
      <c r="AY407" t="s">
        <v>74</v>
      </c>
      <c r="AZ407" t="s">
        <v>74</v>
      </c>
      <c r="BA407" t="s">
        <v>74</v>
      </c>
      <c r="BB407">
        <v>62</v>
      </c>
      <c r="BC407">
        <v>76</v>
      </c>
      <c r="BD407" t="s">
        <v>74</v>
      </c>
      <c r="BE407" t="s">
        <v>8237</v>
      </c>
      <c r="BF407" t="str">
        <f>HYPERLINK("http://dx.doi.org/10.1016/j.quascirev.2018.06.023","http://dx.doi.org/10.1016/j.quascirev.2018.06.023")</f>
        <v>http://dx.doi.org/10.1016/j.quascirev.2018.06.023</v>
      </c>
      <c r="BG407" t="s">
        <v>74</v>
      </c>
      <c r="BH407" t="s">
        <v>74</v>
      </c>
      <c r="BI407">
        <v>15</v>
      </c>
      <c r="BJ407" t="s">
        <v>208</v>
      </c>
      <c r="BK407" t="s">
        <v>101</v>
      </c>
      <c r="BL407" t="s">
        <v>209</v>
      </c>
      <c r="BM407" t="s">
        <v>8238</v>
      </c>
      <c r="BN407" t="s">
        <v>74</v>
      </c>
      <c r="BO407" t="s">
        <v>74</v>
      </c>
      <c r="BP407" t="s">
        <v>74</v>
      </c>
      <c r="BQ407" t="s">
        <v>74</v>
      </c>
      <c r="BR407" t="s">
        <v>104</v>
      </c>
      <c r="BS407" t="s">
        <v>8239</v>
      </c>
      <c r="BT407" t="str">
        <f>HYPERLINK("https%3A%2F%2Fwww.webofscience.com%2Fwos%2Fwoscc%2Ffull-record%2FWOS:000441487700006","View Full Record in Web of Science")</f>
        <v>View Full Record in Web of Science</v>
      </c>
    </row>
    <row r="408" spans="1:72" x14ac:dyDescent="0.15">
      <c r="A408" t="s">
        <v>72</v>
      </c>
      <c r="B408" t="s">
        <v>8240</v>
      </c>
      <c r="C408" t="s">
        <v>74</v>
      </c>
      <c r="D408" t="s">
        <v>74</v>
      </c>
      <c r="E408" t="s">
        <v>74</v>
      </c>
      <c r="F408" t="s">
        <v>8241</v>
      </c>
      <c r="G408" t="s">
        <v>74</v>
      </c>
      <c r="H408" t="s">
        <v>74</v>
      </c>
      <c r="I408" t="s">
        <v>8242</v>
      </c>
      <c r="J408" t="s">
        <v>1866</v>
      </c>
      <c r="K408" t="s">
        <v>74</v>
      </c>
      <c r="L408" t="s">
        <v>74</v>
      </c>
      <c r="M408" t="s">
        <v>78</v>
      </c>
      <c r="N408" t="s">
        <v>79</v>
      </c>
      <c r="O408" t="s">
        <v>74</v>
      </c>
      <c r="P408" t="s">
        <v>74</v>
      </c>
      <c r="Q408" t="s">
        <v>74</v>
      </c>
      <c r="R408" t="s">
        <v>74</v>
      </c>
      <c r="S408" t="s">
        <v>74</v>
      </c>
      <c r="T408" t="s">
        <v>8243</v>
      </c>
      <c r="U408" t="s">
        <v>8244</v>
      </c>
      <c r="V408" t="s">
        <v>8245</v>
      </c>
      <c r="W408" t="s">
        <v>8246</v>
      </c>
      <c r="X408" t="s">
        <v>8247</v>
      </c>
      <c r="Y408" t="s">
        <v>8248</v>
      </c>
      <c r="Z408" t="s">
        <v>8249</v>
      </c>
      <c r="AA408" t="s">
        <v>8250</v>
      </c>
      <c r="AB408" t="s">
        <v>8251</v>
      </c>
      <c r="AC408" t="s">
        <v>8252</v>
      </c>
      <c r="AD408" t="s">
        <v>8253</v>
      </c>
      <c r="AE408" t="s">
        <v>8254</v>
      </c>
      <c r="AF408" t="s">
        <v>74</v>
      </c>
      <c r="AG408">
        <v>139</v>
      </c>
      <c r="AH408">
        <v>22</v>
      </c>
      <c r="AI408">
        <v>23</v>
      </c>
      <c r="AJ408">
        <v>2</v>
      </c>
      <c r="AK408">
        <v>26</v>
      </c>
      <c r="AL408" t="s">
        <v>149</v>
      </c>
      <c r="AM408" t="s">
        <v>93</v>
      </c>
      <c r="AN408" t="s">
        <v>150</v>
      </c>
      <c r="AO408" t="s">
        <v>1879</v>
      </c>
      <c r="AP408" t="s">
        <v>74</v>
      </c>
      <c r="AQ408" t="s">
        <v>74</v>
      </c>
      <c r="AR408" t="s">
        <v>1880</v>
      </c>
      <c r="AS408" t="s">
        <v>1881</v>
      </c>
      <c r="AT408" t="s">
        <v>8208</v>
      </c>
      <c r="AU408">
        <v>2018</v>
      </c>
      <c r="AV408">
        <v>194</v>
      </c>
      <c r="AW408" t="s">
        <v>74</v>
      </c>
      <c r="AX408" t="s">
        <v>74</v>
      </c>
      <c r="AY408" t="s">
        <v>74</v>
      </c>
      <c r="AZ408" t="s">
        <v>74</v>
      </c>
      <c r="BA408" t="s">
        <v>74</v>
      </c>
      <c r="BB408">
        <v>128</v>
      </c>
      <c r="BC408">
        <v>142</v>
      </c>
      <c r="BD408" t="s">
        <v>74</v>
      </c>
      <c r="BE408" t="s">
        <v>8255</v>
      </c>
      <c r="BF408" t="str">
        <f>HYPERLINK("http://dx.doi.org/10.1016/j.quascirev.2018.07.007","http://dx.doi.org/10.1016/j.quascirev.2018.07.007")</f>
        <v>http://dx.doi.org/10.1016/j.quascirev.2018.07.007</v>
      </c>
      <c r="BG408" t="s">
        <v>74</v>
      </c>
      <c r="BH408" t="s">
        <v>74</v>
      </c>
      <c r="BI408">
        <v>15</v>
      </c>
      <c r="BJ408" t="s">
        <v>208</v>
      </c>
      <c r="BK408" t="s">
        <v>101</v>
      </c>
      <c r="BL408" t="s">
        <v>209</v>
      </c>
      <c r="BM408" t="s">
        <v>8238</v>
      </c>
      <c r="BN408" t="s">
        <v>74</v>
      </c>
      <c r="BO408" t="s">
        <v>211</v>
      </c>
      <c r="BP408" t="s">
        <v>74</v>
      </c>
      <c r="BQ408" t="s">
        <v>74</v>
      </c>
      <c r="BR408" t="s">
        <v>104</v>
      </c>
      <c r="BS408" t="s">
        <v>8256</v>
      </c>
      <c r="BT408" t="str">
        <f>HYPERLINK("https%3A%2F%2Fwww.webofscience.com%2Fwos%2Fwoscc%2Ffull-record%2FWOS:000441487700010","View Full Record in Web of Science")</f>
        <v>View Full Record in Web of Science</v>
      </c>
    </row>
    <row r="409" spans="1:72" x14ac:dyDescent="0.15">
      <c r="A409" t="s">
        <v>72</v>
      </c>
      <c r="B409" t="s">
        <v>8257</v>
      </c>
      <c r="C409" t="s">
        <v>74</v>
      </c>
      <c r="D409" t="s">
        <v>74</v>
      </c>
      <c r="E409" t="s">
        <v>74</v>
      </c>
      <c r="F409" t="s">
        <v>8258</v>
      </c>
      <c r="G409" t="s">
        <v>74</v>
      </c>
      <c r="H409" t="s">
        <v>74</v>
      </c>
      <c r="I409" t="s">
        <v>8259</v>
      </c>
      <c r="J409" t="s">
        <v>3588</v>
      </c>
      <c r="K409" t="s">
        <v>74</v>
      </c>
      <c r="L409" t="s">
        <v>74</v>
      </c>
      <c r="M409" t="s">
        <v>78</v>
      </c>
      <c r="N409" t="s">
        <v>79</v>
      </c>
      <c r="O409" t="s">
        <v>74</v>
      </c>
      <c r="P409" t="s">
        <v>74</v>
      </c>
      <c r="Q409" t="s">
        <v>74</v>
      </c>
      <c r="R409" t="s">
        <v>74</v>
      </c>
      <c r="S409" t="s">
        <v>74</v>
      </c>
      <c r="T409" t="s">
        <v>74</v>
      </c>
      <c r="U409" t="s">
        <v>8260</v>
      </c>
      <c r="V409" t="s">
        <v>8261</v>
      </c>
      <c r="W409" t="s">
        <v>8262</v>
      </c>
      <c r="X409" t="s">
        <v>8263</v>
      </c>
      <c r="Y409" t="s">
        <v>8264</v>
      </c>
      <c r="Z409" t="s">
        <v>8265</v>
      </c>
      <c r="AA409" t="s">
        <v>8266</v>
      </c>
      <c r="AB409" t="s">
        <v>8267</v>
      </c>
      <c r="AC409" t="s">
        <v>8268</v>
      </c>
      <c r="AD409" t="s">
        <v>8269</v>
      </c>
      <c r="AE409" t="s">
        <v>8270</v>
      </c>
      <c r="AF409" t="s">
        <v>74</v>
      </c>
      <c r="AG409">
        <v>51</v>
      </c>
      <c r="AH409">
        <v>12</v>
      </c>
      <c r="AI409">
        <v>13</v>
      </c>
      <c r="AJ409">
        <v>2</v>
      </c>
      <c r="AK409">
        <v>20</v>
      </c>
      <c r="AL409" t="s">
        <v>3599</v>
      </c>
      <c r="AM409" t="s">
        <v>3600</v>
      </c>
      <c r="AN409" t="s">
        <v>3601</v>
      </c>
      <c r="AO409" t="s">
        <v>3602</v>
      </c>
      <c r="AP409" t="s">
        <v>74</v>
      </c>
      <c r="AQ409" t="s">
        <v>74</v>
      </c>
      <c r="AR409" t="s">
        <v>3588</v>
      </c>
      <c r="AS409" t="s">
        <v>3603</v>
      </c>
      <c r="AT409" t="s">
        <v>8208</v>
      </c>
      <c r="AU409">
        <v>2018</v>
      </c>
      <c r="AV409">
        <v>13</v>
      </c>
      <c r="AW409">
        <v>8</v>
      </c>
      <c r="AX409" t="s">
        <v>74</v>
      </c>
      <c r="AY409" t="s">
        <v>74</v>
      </c>
      <c r="AZ409" t="s">
        <v>74</v>
      </c>
      <c r="BA409" t="s">
        <v>74</v>
      </c>
      <c r="BB409" t="s">
        <v>74</v>
      </c>
      <c r="BC409" t="s">
        <v>74</v>
      </c>
      <c r="BD409" t="s">
        <v>8271</v>
      </c>
      <c r="BE409" t="s">
        <v>8272</v>
      </c>
      <c r="BF409" t="str">
        <f>HYPERLINK("http://dx.doi.org/10.1371/journal.pone.0201456","http://dx.doi.org/10.1371/journal.pone.0201456")</f>
        <v>http://dx.doi.org/10.1371/journal.pone.0201456</v>
      </c>
      <c r="BG409" t="s">
        <v>74</v>
      </c>
      <c r="BH409" t="s">
        <v>74</v>
      </c>
      <c r="BI409">
        <v>16</v>
      </c>
      <c r="BJ409" t="s">
        <v>436</v>
      </c>
      <c r="BK409" t="s">
        <v>101</v>
      </c>
      <c r="BL409" t="s">
        <v>437</v>
      </c>
      <c r="BM409" t="s">
        <v>8273</v>
      </c>
      <c r="BN409">
        <v>30110352</v>
      </c>
      <c r="BO409" t="s">
        <v>4168</v>
      </c>
      <c r="BP409" t="s">
        <v>74</v>
      </c>
      <c r="BQ409" t="s">
        <v>74</v>
      </c>
      <c r="BR409" t="s">
        <v>104</v>
      </c>
      <c r="BS409" t="s">
        <v>8274</v>
      </c>
      <c r="BT409" t="str">
        <f>HYPERLINK("https%3A%2F%2Fwww.webofscience.com%2Fwos%2Fwoscc%2Ffull-record%2FWOS:000441738000032","View Full Record in Web of Science")</f>
        <v>View Full Record in Web of Science</v>
      </c>
    </row>
    <row r="410" spans="1:72" x14ac:dyDescent="0.15">
      <c r="A410" t="s">
        <v>72</v>
      </c>
      <c r="B410" t="s">
        <v>8275</v>
      </c>
      <c r="C410" t="s">
        <v>74</v>
      </c>
      <c r="D410" t="s">
        <v>74</v>
      </c>
      <c r="E410" t="s">
        <v>74</v>
      </c>
      <c r="F410" t="s">
        <v>8276</v>
      </c>
      <c r="G410" t="s">
        <v>74</v>
      </c>
      <c r="H410" t="s">
        <v>74</v>
      </c>
      <c r="I410" t="s">
        <v>8277</v>
      </c>
      <c r="J410" t="s">
        <v>4011</v>
      </c>
      <c r="K410" t="s">
        <v>74</v>
      </c>
      <c r="L410" t="s">
        <v>74</v>
      </c>
      <c r="M410" t="s">
        <v>78</v>
      </c>
      <c r="N410" t="s">
        <v>79</v>
      </c>
      <c r="O410" t="s">
        <v>74</v>
      </c>
      <c r="P410" t="s">
        <v>74</v>
      </c>
      <c r="Q410" t="s">
        <v>74</v>
      </c>
      <c r="R410" t="s">
        <v>74</v>
      </c>
      <c r="S410" t="s">
        <v>74</v>
      </c>
      <c r="T410" t="s">
        <v>8278</v>
      </c>
      <c r="U410" t="s">
        <v>8279</v>
      </c>
      <c r="V410" t="s">
        <v>8280</v>
      </c>
      <c r="W410" t="s">
        <v>8281</v>
      </c>
      <c r="X410" t="s">
        <v>8282</v>
      </c>
      <c r="Y410" t="s">
        <v>8283</v>
      </c>
      <c r="Z410" t="s">
        <v>8284</v>
      </c>
      <c r="AA410" t="s">
        <v>8285</v>
      </c>
      <c r="AB410" t="s">
        <v>8286</v>
      </c>
      <c r="AC410" t="s">
        <v>8287</v>
      </c>
      <c r="AD410" t="s">
        <v>8288</v>
      </c>
      <c r="AE410" t="s">
        <v>8289</v>
      </c>
      <c r="AF410" t="s">
        <v>74</v>
      </c>
      <c r="AG410">
        <v>66</v>
      </c>
      <c r="AH410">
        <v>5</v>
      </c>
      <c r="AI410">
        <v>5</v>
      </c>
      <c r="AJ410">
        <v>1</v>
      </c>
      <c r="AK410">
        <v>18</v>
      </c>
      <c r="AL410" t="s">
        <v>149</v>
      </c>
      <c r="AM410" t="s">
        <v>93</v>
      </c>
      <c r="AN410" t="s">
        <v>150</v>
      </c>
      <c r="AO410" t="s">
        <v>4022</v>
      </c>
      <c r="AP410" t="s">
        <v>4023</v>
      </c>
      <c r="AQ410" t="s">
        <v>74</v>
      </c>
      <c r="AR410" t="s">
        <v>4024</v>
      </c>
      <c r="AS410" t="s">
        <v>4025</v>
      </c>
      <c r="AT410" t="s">
        <v>8208</v>
      </c>
      <c r="AU410">
        <v>2018</v>
      </c>
      <c r="AV410">
        <v>235</v>
      </c>
      <c r="AW410" t="s">
        <v>74</v>
      </c>
      <c r="AX410" t="s">
        <v>74</v>
      </c>
      <c r="AY410" t="s">
        <v>74</v>
      </c>
      <c r="AZ410" t="s">
        <v>74</v>
      </c>
      <c r="BA410" t="s">
        <v>74</v>
      </c>
      <c r="BB410">
        <v>153</v>
      </c>
      <c r="BC410">
        <v>172</v>
      </c>
      <c r="BD410" t="s">
        <v>74</v>
      </c>
      <c r="BE410" t="s">
        <v>8290</v>
      </c>
      <c r="BF410" t="str">
        <f>HYPERLINK("http://dx.doi.org/10.1016/j.gca.2018.05.025","http://dx.doi.org/10.1016/j.gca.2018.05.025")</f>
        <v>http://dx.doi.org/10.1016/j.gca.2018.05.025</v>
      </c>
      <c r="BG410" t="s">
        <v>74</v>
      </c>
      <c r="BH410" t="s">
        <v>74</v>
      </c>
      <c r="BI410">
        <v>20</v>
      </c>
      <c r="BJ410" t="s">
        <v>484</v>
      </c>
      <c r="BK410" t="s">
        <v>101</v>
      </c>
      <c r="BL410" t="s">
        <v>484</v>
      </c>
      <c r="BM410" t="s">
        <v>8291</v>
      </c>
      <c r="BN410" t="s">
        <v>74</v>
      </c>
      <c r="BO410" t="s">
        <v>486</v>
      </c>
      <c r="BP410" t="s">
        <v>74</v>
      </c>
      <c r="BQ410" t="s">
        <v>74</v>
      </c>
      <c r="BR410" t="s">
        <v>104</v>
      </c>
      <c r="BS410" t="s">
        <v>8292</v>
      </c>
      <c r="BT410" t="str">
        <f>HYPERLINK("https%3A%2F%2Fwww.webofscience.com%2Fwos%2Fwoscc%2Ffull-record%2FWOS:000437357400010","View Full Record in Web of Science")</f>
        <v>View Full Record in Web of Science</v>
      </c>
    </row>
    <row r="411" spans="1:72" x14ac:dyDescent="0.15">
      <c r="A411" t="s">
        <v>72</v>
      </c>
      <c r="B411" t="s">
        <v>8293</v>
      </c>
      <c r="C411" t="s">
        <v>74</v>
      </c>
      <c r="D411" t="s">
        <v>74</v>
      </c>
      <c r="E411" t="s">
        <v>74</v>
      </c>
      <c r="F411" t="s">
        <v>8294</v>
      </c>
      <c r="G411" t="s">
        <v>74</v>
      </c>
      <c r="H411" t="s">
        <v>74</v>
      </c>
      <c r="I411" t="s">
        <v>8295</v>
      </c>
      <c r="J411" t="s">
        <v>4011</v>
      </c>
      <c r="K411" t="s">
        <v>74</v>
      </c>
      <c r="L411" t="s">
        <v>74</v>
      </c>
      <c r="M411" t="s">
        <v>78</v>
      </c>
      <c r="N411" t="s">
        <v>79</v>
      </c>
      <c r="O411" t="s">
        <v>74</v>
      </c>
      <c r="P411" t="s">
        <v>74</v>
      </c>
      <c r="Q411" t="s">
        <v>74</v>
      </c>
      <c r="R411" t="s">
        <v>74</v>
      </c>
      <c r="S411" t="s">
        <v>74</v>
      </c>
      <c r="T411" t="s">
        <v>8296</v>
      </c>
      <c r="U411" t="s">
        <v>8297</v>
      </c>
      <c r="V411" t="s">
        <v>8298</v>
      </c>
      <c r="W411" t="s">
        <v>8299</v>
      </c>
      <c r="X411" t="s">
        <v>8300</v>
      </c>
      <c r="Y411" t="s">
        <v>8301</v>
      </c>
      <c r="Z411" t="s">
        <v>8302</v>
      </c>
      <c r="AA411" t="s">
        <v>8303</v>
      </c>
      <c r="AB411" t="s">
        <v>8304</v>
      </c>
      <c r="AC411" t="s">
        <v>8305</v>
      </c>
      <c r="AD411" t="s">
        <v>8123</v>
      </c>
      <c r="AE411" t="s">
        <v>8306</v>
      </c>
      <c r="AF411" t="s">
        <v>74</v>
      </c>
      <c r="AG411">
        <v>114</v>
      </c>
      <c r="AH411">
        <v>19</v>
      </c>
      <c r="AI411">
        <v>23</v>
      </c>
      <c r="AJ411">
        <v>5</v>
      </c>
      <c r="AK411">
        <v>44</v>
      </c>
      <c r="AL411" t="s">
        <v>149</v>
      </c>
      <c r="AM411" t="s">
        <v>93</v>
      </c>
      <c r="AN411" t="s">
        <v>150</v>
      </c>
      <c r="AO411" t="s">
        <v>4022</v>
      </c>
      <c r="AP411" t="s">
        <v>4023</v>
      </c>
      <c r="AQ411" t="s">
        <v>74</v>
      </c>
      <c r="AR411" t="s">
        <v>4024</v>
      </c>
      <c r="AS411" t="s">
        <v>4025</v>
      </c>
      <c r="AT411" t="s">
        <v>8208</v>
      </c>
      <c r="AU411">
        <v>2018</v>
      </c>
      <c r="AV411">
        <v>235</v>
      </c>
      <c r="AW411" t="s">
        <v>74</v>
      </c>
      <c r="AX411" t="s">
        <v>74</v>
      </c>
      <c r="AY411" t="s">
        <v>74</v>
      </c>
      <c r="AZ411" t="s">
        <v>74</v>
      </c>
      <c r="BA411" t="s">
        <v>74</v>
      </c>
      <c r="BB411">
        <v>402</v>
      </c>
      <c r="BC411">
        <v>430</v>
      </c>
      <c r="BD411" t="s">
        <v>74</v>
      </c>
      <c r="BE411" t="s">
        <v>8307</v>
      </c>
      <c r="BF411" t="str">
        <f>HYPERLINK("http://dx.doi.org/10.1016/j.gca.2018.06.006","http://dx.doi.org/10.1016/j.gca.2018.06.006")</f>
        <v>http://dx.doi.org/10.1016/j.gca.2018.06.006</v>
      </c>
      <c r="BG411" t="s">
        <v>74</v>
      </c>
      <c r="BH411" t="s">
        <v>74</v>
      </c>
      <c r="BI411">
        <v>29</v>
      </c>
      <c r="BJ411" t="s">
        <v>484</v>
      </c>
      <c r="BK411" t="s">
        <v>101</v>
      </c>
      <c r="BL411" t="s">
        <v>484</v>
      </c>
      <c r="BM411" t="s">
        <v>8291</v>
      </c>
      <c r="BN411" t="s">
        <v>74</v>
      </c>
      <c r="BO411" t="s">
        <v>74</v>
      </c>
      <c r="BP411" t="s">
        <v>74</v>
      </c>
      <c r="BQ411" t="s">
        <v>74</v>
      </c>
      <c r="BR411" t="s">
        <v>104</v>
      </c>
      <c r="BS411" t="s">
        <v>8308</v>
      </c>
      <c r="BT411" t="str">
        <f>HYPERLINK("https%3A%2F%2Fwww.webofscience.com%2Fwos%2Fwoscc%2Ffull-record%2FWOS:000437357400023","View Full Record in Web of Science")</f>
        <v>View Full Record in Web of Science</v>
      </c>
    </row>
    <row r="412" spans="1:72" x14ac:dyDescent="0.15">
      <c r="A412" t="s">
        <v>72</v>
      </c>
      <c r="B412" t="s">
        <v>8309</v>
      </c>
      <c r="C412" t="s">
        <v>74</v>
      </c>
      <c r="D412" t="s">
        <v>74</v>
      </c>
      <c r="E412" t="s">
        <v>74</v>
      </c>
      <c r="F412" t="s">
        <v>8310</v>
      </c>
      <c r="G412" t="s">
        <v>74</v>
      </c>
      <c r="H412" t="s">
        <v>74</v>
      </c>
      <c r="I412" t="s">
        <v>8311</v>
      </c>
      <c r="J412" t="s">
        <v>4011</v>
      </c>
      <c r="K412" t="s">
        <v>74</v>
      </c>
      <c r="L412" t="s">
        <v>74</v>
      </c>
      <c r="M412" t="s">
        <v>78</v>
      </c>
      <c r="N412" t="s">
        <v>79</v>
      </c>
      <c r="O412" t="s">
        <v>74</v>
      </c>
      <c r="P412" t="s">
        <v>74</v>
      </c>
      <c r="Q412" t="s">
        <v>74</v>
      </c>
      <c r="R412" t="s">
        <v>74</v>
      </c>
      <c r="S412" t="s">
        <v>74</v>
      </c>
      <c r="T412" t="s">
        <v>8312</v>
      </c>
      <c r="U412" t="s">
        <v>8313</v>
      </c>
      <c r="V412" t="s">
        <v>8314</v>
      </c>
      <c r="W412" t="s">
        <v>8315</v>
      </c>
      <c r="X412" t="s">
        <v>8316</v>
      </c>
      <c r="Y412" t="s">
        <v>8317</v>
      </c>
      <c r="Z412" t="s">
        <v>8318</v>
      </c>
      <c r="AA412" t="s">
        <v>8319</v>
      </c>
      <c r="AB412" t="s">
        <v>8320</v>
      </c>
      <c r="AC412" t="s">
        <v>8321</v>
      </c>
      <c r="AD412" t="s">
        <v>8322</v>
      </c>
      <c r="AE412" t="s">
        <v>8323</v>
      </c>
      <c r="AF412" t="s">
        <v>74</v>
      </c>
      <c r="AG412">
        <v>103</v>
      </c>
      <c r="AH412">
        <v>23</v>
      </c>
      <c r="AI412">
        <v>26</v>
      </c>
      <c r="AJ412">
        <v>2</v>
      </c>
      <c r="AK412">
        <v>19</v>
      </c>
      <c r="AL412" t="s">
        <v>149</v>
      </c>
      <c r="AM412" t="s">
        <v>93</v>
      </c>
      <c r="AN412" t="s">
        <v>150</v>
      </c>
      <c r="AO412" t="s">
        <v>4022</v>
      </c>
      <c r="AP412" t="s">
        <v>4023</v>
      </c>
      <c r="AQ412" t="s">
        <v>74</v>
      </c>
      <c r="AR412" t="s">
        <v>4024</v>
      </c>
      <c r="AS412" t="s">
        <v>4025</v>
      </c>
      <c r="AT412" t="s">
        <v>8208</v>
      </c>
      <c r="AU412">
        <v>2018</v>
      </c>
      <c r="AV412">
        <v>235</v>
      </c>
      <c r="AW412" t="s">
        <v>74</v>
      </c>
      <c r="AX412" t="s">
        <v>74</v>
      </c>
      <c r="AY412" t="s">
        <v>74</v>
      </c>
      <c r="AZ412" t="s">
        <v>74</v>
      </c>
      <c r="BA412" t="s">
        <v>74</v>
      </c>
      <c r="BB412">
        <v>463</v>
      </c>
      <c r="BC412">
        <v>482</v>
      </c>
      <c r="BD412" t="s">
        <v>74</v>
      </c>
      <c r="BE412" t="s">
        <v>8324</v>
      </c>
      <c r="BF412" t="str">
        <f>HYPERLINK("http://dx.doi.org/10.1016/j.gca.2018.05.023","http://dx.doi.org/10.1016/j.gca.2018.05.023")</f>
        <v>http://dx.doi.org/10.1016/j.gca.2018.05.023</v>
      </c>
      <c r="BG412" t="s">
        <v>74</v>
      </c>
      <c r="BH412" t="s">
        <v>74</v>
      </c>
      <c r="BI412">
        <v>20</v>
      </c>
      <c r="BJ412" t="s">
        <v>484</v>
      </c>
      <c r="BK412" t="s">
        <v>101</v>
      </c>
      <c r="BL412" t="s">
        <v>484</v>
      </c>
      <c r="BM412" t="s">
        <v>8291</v>
      </c>
      <c r="BN412" t="s">
        <v>74</v>
      </c>
      <c r="BO412" t="s">
        <v>74</v>
      </c>
      <c r="BP412" t="s">
        <v>74</v>
      </c>
      <c r="BQ412" t="s">
        <v>74</v>
      </c>
      <c r="BR412" t="s">
        <v>104</v>
      </c>
      <c r="BS412" t="s">
        <v>8325</v>
      </c>
      <c r="BT412" t="str">
        <f>HYPERLINK("https%3A%2F%2Fwww.webofscience.com%2Fwos%2Fwoscc%2Ffull-record%2FWOS:000437357400026","View Full Record in Web of Science")</f>
        <v>View Full Record in Web of Science</v>
      </c>
    </row>
    <row r="413" spans="1:72" x14ac:dyDescent="0.15">
      <c r="A413" t="s">
        <v>72</v>
      </c>
      <c r="B413" t="s">
        <v>8326</v>
      </c>
      <c r="C413" t="s">
        <v>74</v>
      </c>
      <c r="D413" t="s">
        <v>74</v>
      </c>
      <c r="E413" t="s">
        <v>74</v>
      </c>
      <c r="F413" t="s">
        <v>8327</v>
      </c>
      <c r="G413" t="s">
        <v>74</v>
      </c>
      <c r="H413" t="s">
        <v>74</v>
      </c>
      <c r="I413" t="s">
        <v>8328</v>
      </c>
      <c r="J413" t="s">
        <v>3887</v>
      </c>
      <c r="K413" t="s">
        <v>74</v>
      </c>
      <c r="L413" t="s">
        <v>74</v>
      </c>
      <c r="M413" t="s">
        <v>78</v>
      </c>
      <c r="N413" t="s">
        <v>79</v>
      </c>
      <c r="O413" t="s">
        <v>74</v>
      </c>
      <c r="P413" t="s">
        <v>74</v>
      </c>
      <c r="Q413" t="s">
        <v>74</v>
      </c>
      <c r="R413" t="s">
        <v>74</v>
      </c>
      <c r="S413" t="s">
        <v>74</v>
      </c>
      <c r="T413" t="s">
        <v>8329</v>
      </c>
      <c r="U413" t="s">
        <v>8330</v>
      </c>
      <c r="V413" t="s">
        <v>8331</v>
      </c>
      <c r="W413" t="s">
        <v>8332</v>
      </c>
      <c r="X413" t="s">
        <v>8333</v>
      </c>
      <c r="Y413" t="s">
        <v>8334</v>
      </c>
      <c r="Z413" t="s">
        <v>8335</v>
      </c>
      <c r="AA413" t="s">
        <v>8336</v>
      </c>
      <c r="AB413" t="s">
        <v>8337</v>
      </c>
      <c r="AC413" t="s">
        <v>8338</v>
      </c>
      <c r="AD413" t="s">
        <v>8339</v>
      </c>
      <c r="AE413" t="s">
        <v>8340</v>
      </c>
      <c r="AF413" t="s">
        <v>74</v>
      </c>
      <c r="AG413">
        <v>58</v>
      </c>
      <c r="AH413">
        <v>16</v>
      </c>
      <c r="AI413">
        <v>17</v>
      </c>
      <c r="AJ413">
        <v>0</v>
      </c>
      <c r="AK413">
        <v>13</v>
      </c>
      <c r="AL413" t="s">
        <v>430</v>
      </c>
      <c r="AM413" t="s">
        <v>286</v>
      </c>
      <c r="AN413" t="s">
        <v>431</v>
      </c>
      <c r="AO413" t="s">
        <v>3900</v>
      </c>
      <c r="AP413" t="s">
        <v>3901</v>
      </c>
      <c r="AQ413" t="s">
        <v>74</v>
      </c>
      <c r="AR413" t="s">
        <v>3887</v>
      </c>
      <c r="AS413" t="s">
        <v>3902</v>
      </c>
      <c r="AT413" t="s">
        <v>8208</v>
      </c>
      <c r="AU413">
        <v>2018</v>
      </c>
      <c r="AV413">
        <v>315</v>
      </c>
      <c r="AW413" t="s">
        <v>74</v>
      </c>
      <c r="AX413" t="s">
        <v>74</v>
      </c>
      <c r="AY413" t="s">
        <v>74</v>
      </c>
      <c r="AZ413" t="s">
        <v>74</v>
      </c>
      <c r="BA413" t="s">
        <v>74</v>
      </c>
      <c r="BB413">
        <v>33</v>
      </c>
      <c r="BC413">
        <v>44</v>
      </c>
      <c r="BD413" t="s">
        <v>74</v>
      </c>
      <c r="BE413" t="s">
        <v>8341</v>
      </c>
      <c r="BF413" t="str">
        <f>HYPERLINK("http://dx.doi.org/10.1016/j.geomorph.2018.04.015","http://dx.doi.org/10.1016/j.geomorph.2018.04.015")</f>
        <v>http://dx.doi.org/10.1016/j.geomorph.2018.04.015</v>
      </c>
      <c r="BG413" t="s">
        <v>74</v>
      </c>
      <c r="BH413" t="s">
        <v>74</v>
      </c>
      <c r="BI413">
        <v>12</v>
      </c>
      <c r="BJ413" t="s">
        <v>208</v>
      </c>
      <c r="BK413" t="s">
        <v>101</v>
      </c>
      <c r="BL413" t="s">
        <v>209</v>
      </c>
      <c r="BM413" t="s">
        <v>8342</v>
      </c>
      <c r="BN413" t="s">
        <v>74</v>
      </c>
      <c r="BO413" t="s">
        <v>74</v>
      </c>
      <c r="BP413" t="s">
        <v>74</v>
      </c>
      <c r="BQ413" t="s">
        <v>74</v>
      </c>
      <c r="BR413" t="s">
        <v>104</v>
      </c>
      <c r="BS413" t="s">
        <v>8343</v>
      </c>
      <c r="BT413" t="str">
        <f>HYPERLINK("https%3A%2F%2Fwww.webofscience.com%2Fwos%2Fwoscc%2Ffull-record%2FWOS:000436219300003","View Full Record in Web of Science")</f>
        <v>View Full Record in Web of Science</v>
      </c>
    </row>
    <row r="414" spans="1:72" x14ac:dyDescent="0.15">
      <c r="A414" t="s">
        <v>72</v>
      </c>
      <c r="B414" t="s">
        <v>8344</v>
      </c>
      <c r="C414" t="s">
        <v>74</v>
      </c>
      <c r="D414" t="s">
        <v>74</v>
      </c>
      <c r="E414" t="s">
        <v>74</v>
      </c>
      <c r="F414" t="s">
        <v>8345</v>
      </c>
      <c r="G414" t="s">
        <v>74</v>
      </c>
      <c r="H414" t="s">
        <v>74</v>
      </c>
      <c r="I414" t="s">
        <v>8346</v>
      </c>
      <c r="J414" t="s">
        <v>3161</v>
      </c>
      <c r="K414" t="s">
        <v>74</v>
      </c>
      <c r="L414" t="s">
        <v>74</v>
      </c>
      <c r="M414" t="s">
        <v>78</v>
      </c>
      <c r="N414" t="s">
        <v>79</v>
      </c>
      <c r="O414" t="s">
        <v>74</v>
      </c>
      <c r="P414" t="s">
        <v>74</v>
      </c>
      <c r="Q414" t="s">
        <v>74</v>
      </c>
      <c r="R414" t="s">
        <v>74</v>
      </c>
      <c r="S414" t="s">
        <v>74</v>
      </c>
      <c r="T414" t="s">
        <v>8347</v>
      </c>
      <c r="U414" t="s">
        <v>8348</v>
      </c>
      <c r="V414" t="s">
        <v>8349</v>
      </c>
      <c r="W414" t="s">
        <v>8350</v>
      </c>
      <c r="X414" t="s">
        <v>8351</v>
      </c>
      <c r="Y414" t="s">
        <v>8352</v>
      </c>
      <c r="Z414" t="s">
        <v>8353</v>
      </c>
      <c r="AA414" t="s">
        <v>8354</v>
      </c>
      <c r="AB414" t="s">
        <v>8355</v>
      </c>
      <c r="AC414" t="s">
        <v>8356</v>
      </c>
      <c r="AD414" t="s">
        <v>8357</v>
      </c>
      <c r="AE414" t="s">
        <v>8358</v>
      </c>
      <c r="AF414" t="s">
        <v>74</v>
      </c>
      <c r="AG414">
        <v>72</v>
      </c>
      <c r="AH414">
        <v>5</v>
      </c>
      <c r="AI414">
        <v>5</v>
      </c>
      <c r="AJ414">
        <v>1</v>
      </c>
      <c r="AK414">
        <v>23</v>
      </c>
      <c r="AL414" t="s">
        <v>3174</v>
      </c>
      <c r="AM414" t="s">
        <v>3175</v>
      </c>
      <c r="AN414" t="s">
        <v>3176</v>
      </c>
      <c r="AO414" t="s">
        <v>3177</v>
      </c>
      <c r="AP414" t="s">
        <v>74</v>
      </c>
      <c r="AQ414" t="s">
        <v>74</v>
      </c>
      <c r="AR414" t="s">
        <v>3178</v>
      </c>
      <c r="AS414" t="s">
        <v>3179</v>
      </c>
      <c r="AT414" t="s">
        <v>8359</v>
      </c>
      <c r="AU414">
        <v>2018</v>
      </c>
      <c r="AV414">
        <v>6</v>
      </c>
      <c r="AW414" t="s">
        <v>74</v>
      </c>
      <c r="AX414" t="s">
        <v>74</v>
      </c>
      <c r="AY414" t="s">
        <v>74</v>
      </c>
      <c r="AZ414" t="s">
        <v>74</v>
      </c>
      <c r="BA414" t="s">
        <v>74</v>
      </c>
      <c r="BB414" t="s">
        <v>74</v>
      </c>
      <c r="BC414" t="s">
        <v>74</v>
      </c>
      <c r="BD414">
        <v>116</v>
      </c>
      <c r="BE414" t="s">
        <v>8360</v>
      </c>
      <c r="BF414" t="str">
        <f>HYPERLINK("http://dx.doi.org/10.3389/fevo.2018.00116","http://dx.doi.org/10.3389/fevo.2018.00116")</f>
        <v>http://dx.doi.org/10.3389/fevo.2018.00116</v>
      </c>
      <c r="BG414" t="s">
        <v>74</v>
      </c>
      <c r="BH414" t="s">
        <v>74</v>
      </c>
      <c r="BI414">
        <v>15</v>
      </c>
      <c r="BJ414" t="s">
        <v>2087</v>
      </c>
      <c r="BK414" t="s">
        <v>101</v>
      </c>
      <c r="BL414" t="s">
        <v>559</v>
      </c>
      <c r="BM414" t="s">
        <v>8361</v>
      </c>
      <c r="BN414" t="s">
        <v>74</v>
      </c>
      <c r="BO414" t="s">
        <v>1584</v>
      </c>
      <c r="BP414" t="s">
        <v>74</v>
      </c>
      <c r="BQ414" t="s">
        <v>74</v>
      </c>
      <c r="BR414" t="s">
        <v>104</v>
      </c>
      <c r="BS414" t="s">
        <v>8362</v>
      </c>
      <c r="BT414" t="str">
        <f>HYPERLINK("https%3A%2F%2Fwww.webofscience.com%2Fwos%2Fwoscc%2Ffull-record%2FWOS:000451797500001","View Full Record in Web of Science")</f>
        <v>View Full Record in Web of Science</v>
      </c>
    </row>
    <row r="415" spans="1:72" x14ac:dyDescent="0.15">
      <c r="A415" t="s">
        <v>72</v>
      </c>
      <c r="B415" t="s">
        <v>8363</v>
      </c>
      <c r="C415" t="s">
        <v>74</v>
      </c>
      <c r="D415" t="s">
        <v>74</v>
      </c>
      <c r="E415" t="s">
        <v>74</v>
      </c>
      <c r="F415" t="s">
        <v>8364</v>
      </c>
      <c r="G415" t="s">
        <v>74</v>
      </c>
      <c r="H415" t="s">
        <v>74</v>
      </c>
      <c r="I415" t="s">
        <v>8365</v>
      </c>
      <c r="J415" t="s">
        <v>8366</v>
      </c>
      <c r="K415" t="s">
        <v>74</v>
      </c>
      <c r="L415" t="s">
        <v>74</v>
      </c>
      <c r="M415" t="s">
        <v>78</v>
      </c>
      <c r="N415" t="s">
        <v>79</v>
      </c>
      <c r="O415" t="s">
        <v>74</v>
      </c>
      <c r="P415" t="s">
        <v>74</v>
      </c>
      <c r="Q415" t="s">
        <v>74</v>
      </c>
      <c r="R415" t="s">
        <v>74</v>
      </c>
      <c r="S415" t="s">
        <v>74</v>
      </c>
      <c r="T415" t="s">
        <v>8367</v>
      </c>
      <c r="U415" t="s">
        <v>8368</v>
      </c>
      <c r="V415" t="s">
        <v>8369</v>
      </c>
      <c r="W415" t="s">
        <v>8370</v>
      </c>
      <c r="X415" t="s">
        <v>8371</v>
      </c>
      <c r="Y415" t="s">
        <v>8372</v>
      </c>
      <c r="Z415" t="s">
        <v>8373</v>
      </c>
      <c r="AA415" t="s">
        <v>8374</v>
      </c>
      <c r="AB415" t="s">
        <v>8375</v>
      </c>
      <c r="AC415" t="s">
        <v>74</v>
      </c>
      <c r="AD415" t="s">
        <v>74</v>
      </c>
      <c r="AE415" t="s">
        <v>74</v>
      </c>
      <c r="AF415" t="s">
        <v>74</v>
      </c>
      <c r="AG415">
        <v>24</v>
      </c>
      <c r="AH415">
        <v>9</v>
      </c>
      <c r="AI415">
        <v>9</v>
      </c>
      <c r="AJ415">
        <v>1</v>
      </c>
      <c r="AK415">
        <v>12</v>
      </c>
      <c r="AL415" t="s">
        <v>4328</v>
      </c>
      <c r="AM415" t="s">
        <v>4329</v>
      </c>
      <c r="AN415" t="s">
        <v>4330</v>
      </c>
      <c r="AO415" t="s">
        <v>8376</v>
      </c>
      <c r="AP415" t="s">
        <v>8377</v>
      </c>
      <c r="AQ415" t="s">
        <v>74</v>
      </c>
      <c r="AR415" t="s">
        <v>8366</v>
      </c>
      <c r="AS415" t="s">
        <v>8378</v>
      </c>
      <c r="AT415" t="s">
        <v>8359</v>
      </c>
      <c r="AU415">
        <v>2018</v>
      </c>
      <c r="AV415">
        <v>364</v>
      </c>
      <c r="AW415">
        <v>3</v>
      </c>
      <c r="AX415" t="s">
        <v>74</v>
      </c>
      <c r="AY415" t="s">
        <v>74</v>
      </c>
      <c r="AZ415" t="s">
        <v>74</v>
      </c>
      <c r="BA415" t="s">
        <v>74</v>
      </c>
      <c r="BB415">
        <v>259</v>
      </c>
      <c r="BC415">
        <v>266</v>
      </c>
      <c r="BD415" t="s">
        <v>74</v>
      </c>
      <c r="BE415" t="s">
        <v>8379</v>
      </c>
      <c r="BF415" t="str">
        <f>HYPERLINK("http://dx.doi.org/10.11646/phytotaxa.364.3.5","http://dx.doi.org/10.11646/phytotaxa.364.3.5")</f>
        <v>http://dx.doi.org/10.11646/phytotaxa.364.3.5</v>
      </c>
      <c r="BG415" t="s">
        <v>74</v>
      </c>
      <c r="BH415" t="s">
        <v>74</v>
      </c>
      <c r="BI415">
        <v>8</v>
      </c>
      <c r="BJ415" t="s">
        <v>237</v>
      </c>
      <c r="BK415" t="s">
        <v>101</v>
      </c>
      <c r="BL415" t="s">
        <v>237</v>
      </c>
      <c r="BM415" t="s">
        <v>8380</v>
      </c>
      <c r="BN415" t="s">
        <v>74</v>
      </c>
      <c r="BO415" t="s">
        <v>740</v>
      </c>
      <c r="BP415" t="s">
        <v>74</v>
      </c>
      <c r="BQ415" t="s">
        <v>74</v>
      </c>
      <c r="BR415" t="s">
        <v>104</v>
      </c>
      <c r="BS415" t="s">
        <v>8381</v>
      </c>
      <c r="BT415" t="str">
        <f>HYPERLINK("https%3A%2F%2Fwww.webofscience.com%2Fwos%2Fwoscc%2Ffull-record%2FWOS:000441777100005","View Full Record in Web of Science")</f>
        <v>View Full Record in Web of Science</v>
      </c>
    </row>
    <row r="416" spans="1:72" x14ac:dyDescent="0.15">
      <c r="A416" t="s">
        <v>72</v>
      </c>
      <c r="B416" t="s">
        <v>8382</v>
      </c>
      <c r="C416" t="s">
        <v>74</v>
      </c>
      <c r="D416" t="s">
        <v>74</v>
      </c>
      <c r="E416" t="s">
        <v>74</v>
      </c>
      <c r="F416" t="s">
        <v>8383</v>
      </c>
      <c r="G416" t="s">
        <v>74</v>
      </c>
      <c r="H416" t="s">
        <v>74</v>
      </c>
      <c r="I416" t="s">
        <v>8384</v>
      </c>
      <c r="J416" t="s">
        <v>8385</v>
      </c>
      <c r="K416" t="s">
        <v>74</v>
      </c>
      <c r="L416" t="s">
        <v>74</v>
      </c>
      <c r="M416" t="s">
        <v>78</v>
      </c>
      <c r="N416" t="s">
        <v>79</v>
      </c>
      <c r="O416" t="s">
        <v>74</v>
      </c>
      <c r="P416" t="s">
        <v>74</v>
      </c>
      <c r="Q416" t="s">
        <v>74</v>
      </c>
      <c r="R416" t="s">
        <v>74</v>
      </c>
      <c r="S416" t="s">
        <v>74</v>
      </c>
      <c r="T416" t="s">
        <v>8386</v>
      </c>
      <c r="U416" t="s">
        <v>8387</v>
      </c>
      <c r="V416" t="s">
        <v>8388</v>
      </c>
      <c r="W416" t="s">
        <v>8389</v>
      </c>
      <c r="X416" t="s">
        <v>8390</v>
      </c>
      <c r="Y416" t="s">
        <v>8391</v>
      </c>
      <c r="Z416" t="s">
        <v>8392</v>
      </c>
      <c r="AA416" t="s">
        <v>8393</v>
      </c>
      <c r="AB416" t="s">
        <v>8394</v>
      </c>
      <c r="AC416" t="s">
        <v>8395</v>
      </c>
      <c r="AD416" t="s">
        <v>8396</v>
      </c>
      <c r="AE416" t="s">
        <v>8397</v>
      </c>
      <c r="AF416" t="s">
        <v>74</v>
      </c>
      <c r="AG416">
        <v>90</v>
      </c>
      <c r="AH416">
        <v>6</v>
      </c>
      <c r="AI416">
        <v>6</v>
      </c>
      <c r="AJ416">
        <v>0</v>
      </c>
      <c r="AK416">
        <v>8</v>
      </c>
      <c r="AL416" t="s">
        <v>3174</v>
      </c>
      <c r="AM416" t="s">
        <v>3175</v>
      </c>
      <c r="AN416" t="s">
        <v>3176</v>
      </c>
      <c r="AO416" t="s">
        <v>8398</v>
      </c>
      <c r="AP416" t="s">
        <v>74</v>
      </c>
      <c r="AQ416" t="s">
        <v>74</v>
      </c>
      <c r="AR416" t="s">
        <v>8399</v>
      </c>
      <c r="AS416" t="s">
        <v>8400</v>
      </c>
      <c r="AT416" t="s">
        <v>8359</v>
      </c>
      <c r="AU416">
        <v>2018</v>
      </c>
      <c r="AV416">
        <v>5</v>
      </c>
      <c r="AW416" t="s">
        <v>74</v>
      </c>
      <c r="AX416" t="s">
        <v>74</v>
      </c>
      <c r="AY416" t="s">
        <v>74</v>
      </c>
      <c r="AZ416" t="s">
        <v>74</v>
      </c>
      <c r="BA416" t="s">
        <v>74</v>
      </c>
      <c r="BB416" t="s">
        <v>74</v>
      </c>
      <c r="BC416" t="s">
        <v>74</v>
      </c>
      <c r="BD416">
        <v>26</v>
      </c>
      <c r="BE416" t="s">
        <v>8401</v>
      </c>
      <c r="BF416" t="str">
        <f>HYPERLINK("http://dx.doi.org/10.3389/fspas.2018.00026","http://dx.doi.org/10.3389/fspas.2018.00026")</f>
        <v>http://dx.doi.org/10.3389/fspas.2018.00026</v>
      </c>
      <c r="BG416" t="s">
        <v>74</v>
      </c>
      <c r="BH416" t="s">
        <v>74</v>
      </c>
      <c r="BI416">
        <v>17</v>
      </c>
      <c r="BJ416" t="s">
        <v>1301</v>
      </c>
      <c r="BK416" t="s">
        <v>126</v>
      </c>
      <c r="BL416" t="s">
        <v>1301</v>
      </c>
      <c r="BM416" t="s">
        <v>8402</v>
      </c>
      <c r="BN416" t="s">
        <v>74</v>
      </c>
      <c r="BO416" t="s">
        <v>1584</v>
      </c>
      <c r="BP416" t="s">
        <v>74</v>
      </c>
      <c r="BQ416" t="s">
        <v>74</v>
      </c>
      <c r="BR416" t="s">
        <v>104</v>
      </c>
      <c r="BS416" t="s">
        <v>8403</v>
      </c>
      <c r="BT416" t="str">
        <f>HYPERLINK("https%3A%2F%2Fwww.webofscience.com%2Fwos%2Fwoscc%2Ffull-record%2FWOS:000442448800001","View Full Record in Web of Science")</f>
        <v>View Full Record in Web of Science</v>
      </c>
    </row>
    <row r="417" spans="1:72" x14ac:dyDescent="0.15">
      <c r="A417" t="s">
        <v>72</v>
      </c>
      <c r="B417" t="s">
        <v>8404</v>
      </c>
      <c r="C417" t="s">
        <v>74</v>
      </c>
      <c r="D417" t="s">
        <v>74</v>
      </c>
      <c r="E417" t="s">
        <v>74</v>
      </c>
      <c r="F417" t="s">
        <v>8405</v>
      </c>
      <c r="G417" t="s">
        <v>74</v>
      </c>
      <c r="H417" t="s">
        <v>74</v>
      </c>
      <c r="I417" t="s">
        <v>8406</v>
      </c>
      <c r="J417" t="s">
        <v>4109</v>
      </c>
      <c r="K417" t="s">
        <v>74</v>
      </c>
      <c r="L417" t="s">
        <v>74</v>
      </c>
      <c r="M417" t="s">
        <v>78</v>
      </c>
      <c r="N417" t="s">
        <v>79</v>
      </c>
      <c r="O417" t="s">
        <v>74</v>
      </c>
      <c r="P417" t="s">
        <v>74</v>
      </c>
      <c r="Q417" t="s">
        <v>74</v>
      </c>
      <c r="R417" t="s">
        <v>74</v>
      </c>
      <c r="S417" t="s">
        <v>74</v>
      </c>
      <c r="T417" t="s">
        <v>74</v>
      </c>
      <c r="U417" t="s">
        <v>8407</v>
      </c>
      <c r="V417" t="s">
        <v>8408</v>
      </c>
      <c r="W417" t="s">
        <v>8409</v>
      </c>
      <c r="X417" t="s">
        <v>8410</v>
      </c>
      <c r="Y417" t="s">
        <v>8411</v>
      </c>
      <c r="Z417" t="s">
        <v>8412</v>
      </c>
      <c r="AA417" t="s">
        <v>8413</v>
      </c>
      <c r="AB417" t="s">
        <v>8414</v>
      </c>
      <c r="AC417" t="s">
        <v>8415</v>
      </c>
      <c r="AD417" t="s">
        <v>8416</v>
      </c>
      <c r="AE417" t="s">
        <v>8417</v>
      </c>
      <c r="AF417" t="s">
        <v>74</v>
      </c>
      <c r="AG417">
        <v>40</v>
      </c>
      <c r="AH417">
        <v>16</v>
      </c>
      <c r="AI417">
        <v>17</v>
      </c>
      <c r="AJ417">
        <v>1</v>
      </c>
      <c r="AK417">
        <v>7</v>
      </c>
      <c r="AL417" t="s">
        <v>1130</v>
      </c>
      <c r="AM417" t="s">
        <v>1131</v>
      </c>
      <c r="AN417" t="s">
        <v>1132</v>
      </c>
      <c r="AO417" t="s">
        <v>4121</v>
      </c>
      <c r="AP417" t="s">
        <v>74</v>
      </c>
      <c r="AQ417" t="s">
        <v>74</v>
      </c>
      <c r="AR417" t="s">
        <v>4122</v>
      </c>
      <c r="AS417" t="s">
        <v>4123</v>
      </c>
      <c r="AT417" t="s">
        <v>8359</v>
      </c>
      <c r="AU417">
        <v>2018</v>
      </c>
      <c r="AV417">
        <v>8</v>
      </c>
      <c r="AW417" t="s">
        <v>74</v>
      </c>
      <c r="AX417" t="s">
        <v>74</v>
      </c>
      <c r="AY417" t="s">
        <v>74</v>
      </c>
      <c r="AZ417" t="s">
        <v>74</v>
      </c>
      <c r="BA417" t="s">
        <v>74</v>
      </c>
      <c r="BB417" t="s">
        <v>74</v>
      </c>
      <c r="BC417" t="s">
        <v>74</v>
      </c>
      <c r="BD417">
        <v>12104</v>
      </c>
      <c r="BE417" t="s">
        <v>8418</v>
      </c>
      <c r="BF417" t="str">
        <f>HYPERLINK("http://dx.doi.org/10.1038/s41598-018-30594-4","http://dx.doi.org/10.1038/s41598-018-30594-4")</f>
        <v>http://dx.doi.org/10.1038/s41598-018-30594-4</v>
      </c>
      <c r="BG417" t="s">
        <v>74</v>
      </c>
      <c r="BH417" t="s">
        <v>74</v>
      </c>
      <c r="BI417">
        <v>8</v>
      </c>
      <c r="BJ417" t="s">
        <v>436</v>
      </c>
      <c r="BK417" t="s">
        <v>101</v>
      </c>
      <c r="BL417" t="s">
        <v>437</v>
      </c>
      <c r="BM417" t="s">
        <v>8419</v>
      </c>
      <c r="BN417">
        <v>30108302</v>
      </c>
      <c r="BO417" t="s">
        <v>439</v>
      </c>
      <c r="BP417" t="s">
        <v>74</v>
      </c>
      <c r="BQ417" t="s">
        <v>74</v>
      </c>
      <c r="BR417" t="s">
        <v>104</v>
      </c>
      <c r="BS417" t="s">
        <v>8420</v>
      </c>
      <c r="BT417" t="str">
        <f>HYPERLINK("https%3A%2F%2Fwww.webofscience.com%2Fwos%2Fwoscc%2Ffull-record%2FWOS:000441536700023","View Full Record in Web of Science")</f>
        <v>View Full Record in Web of Science</v>
      </c>
    </row>
    <row r="418" spans="1:72" x14ac:dyDescent="0.15">
      <c r="A418" t="s">
        <v>72</v>
      </c>
      <c r="B418" t="s">
        <v>8421</v>
      </c>
      <c r="C418" t="s">
        <v>74</v>
      </c>
      <c r="D418" t="s">
        <v>74</v>
      </c>
      <c r="E418" t="s">
        <v>74</v>
      </c>
      <c r="F418" t="s">
        <v>8422</v>
      </c>
      <c r="G418" t="s">
        <v>74</v>
      </c>
      <c r="H418" t="s">
        <v>74</v>
      </c>
      <c r="I418" t="s">
        <v>8423</v>
      </c>
      <c r="J418" t="s">
        <v>3366</v>
      </c>
      <c r="K418" t="s">
        <v>74</v>
      </c>
      <c r="L418" t="s">
        <v>74</v>
      </c>
      <c r="M418" t="s">
        <v>78</v>
      </c>
      <c r="N418" t="s">
        <v>79</v>
      </c>
      <c r="O418" t="s">
        <v>74</v>
      </c>
      <c r="P418" t="s">
        <v>74</v>
      </c>
      <c r="Q418" t="s">
        <v>74</v>
      </c>
      <c r="R418" t="s">
        <v>74</v>
      </c>
      <c r="S418" t="s">
        <v>74</v>
      </c>
      <c r="T418" t="s">
        <v>74</v>
      </c>
      <c r="U418" t="s">
        <v>8424</v>
      </c>
      <c r="V418" t="s">
        <v>8425</v>
      </c>
      <c r="W418" t="s">
        <v>8426</v>
      </c>
      <c r="X418" t="s">
        <v>8427</v>
      </c>
      <c r="Y418" t="s">
        <v>8428</v>
      </c>
      <c r="Z418" t="s">
        <v>8429</v>
      </c>
      <c r="AA418" t="s">
        <v>8430</v>
      </c>
      <c r="AB418" t="s">
        <v>8431</v>
      </c>
      <c r="AC418" t="s">
        <v>8432</v>
      </c>
      <c r="AD418" t="s">
        <v>8433</v>
      </c>
      <c r="AE418" t="s">
        <v>8434</v>
      </c>
      <c r="AF418" t="s">
        <v>74</v>
      </c>
      <c r="AG418">
        <v>46</v>
      </c>
      <c r="AH418">
        <v>13</v>
      </c>
      <c r="AI418">
        <v>14</v>
      </c>
      <c r="AJ418">
        <v>1</v>
      </c>
      <c r="AK418">
        <v>8</v>
      </c>
      <c r="AL418" t="s">
        <v>3353</v>
      </c>
      <c r="AM418" t="s">
        <v>3354</v>
      </c>
      <c r="AN418" t="s">
        <v>3355</v>
      </c>
      <c r="AO418" t="s">
        <v>3377</v>
      </c>
      <c r="AP418" t="s">
        <v>3378</v>
      </c>
      <c r="AQ418" t="s">
        <v>74</v>
      </c>
      <c r="AR418" t="s">
        <v>3366</v>
      </c>
      <c r="AS418" t="s">
        <v>3379</v>
      </c>
      <c r="AT418" t="s">
        <v>8359</v>
      </c>
      <c r="AU418">
        <v>2018</v>
      </c>
      <c r="AV418">
        <v>12</v>
      </c>
      <c r="AW418">
        <v>8</v>
      </c>
      <c r="AX418" t="s">
        <v>74</v>
      </c>
      <c r="AY418" t="s">
        <v>74</v>
      </c>
      <c r="AZ418" t="s">
        <v>74</v>
      </c>
      <c r="BA418" t="s">
        <v>74</v>
      </c>
      <c r="BB418">
        <v>2595</v>
      </c>
      <c r="BC418">
        <v>2607</v>
      </c>
      <c r="BD418" t="s">
        <v>74</v>
      </c>
      <c r="BE418" t="s">
        <v>8435</v>
      </c>
      <c r="BF418" t="str">
        <f>HYPERLINK("http://dx.doi.org/10.5194/tc-12-2595-2018","http://dx.doi.org/10.5194/tc-12-2595-2018")</f>
        <v>http://dx.doi.org/10.5194/tc-12-2595-2018</v>
      </c>
      <c r="BG418" t="s">
        <v>74</v>
      </c>
      <c r="BH418" t="s">
        <v>74</v>
      </c>
      <c r="BI418">
        <v>13</v>
      </c>
      <c r="BJ418" t="s">
        <v>208</v>
      </c>
      <c r="BK418" t="s">
        <v>101</v>
      </c>
      <c r="BL418" t="s">
        <v>209</v>
      </c>
      <c r="BM418" t="s">
        <v>8436</v>
      </c>
      <c r="BN418" t="s">
        <v>74</v>
      </c>
      <c r="BO418" t="s">
        <v>1524</v>
      </c>
      <c r="BP418" t="s">
        <v>74</v>
      </c>
      <c r="BQ418" t="s">
        <v>74</v>
      </c>
      <c r="BR418" t="s">
        <v>104</v>
      </c>
      <c r="BS418" t="s">
        <v>8437</v>
      </c>
      <c r="BT418" t="str">
        <f>HYPERLINK("https%3A%2F%2Fwww.webofscience.com%2Fwos%2Fwoscc%2Ffull-record%2FWOS:000441668900001","View Full Record in Web of Science")</f>
        <v>View Full Record in Web of Science</v>
      </c>
    </row>
    <row r="419" spans="1:72" x14ac:dyDescent="0.15">
      <c r="A419" t="s">
        <v>72</v>
      </c>
      <c r="B419" t="s">
        <v>8438</v>
      </c>
      <c r="C419" t="s">
        <v>74</v>
      </c>
      <c r="D419" t="s">
        <v>74</v>
      </c>
      <c r="E419" t="s">
        <v>74</v>
      </c>
      <c r="F419" t="s">
        <v>8439</v>
      </c>
      <c r="G419" t="s">
        <v>74</v>
      </c>
      <c r="H419" t="s">
        <v>74</v>
      </c>
      <c r="I419" t="s">
        <v>8440</v>
      </c>
      <c r="J419" t="s">
        <v>4219</v>
      </c>
      <c r="K419" t="s">
        <v>74</v>
      </c>
      <c r="L419" t="s">
        <v>74</v>
      </c>
      <c r="M419" t="s">
        <v>78</v>
      </c>
      <c r="N419" t="s">
        <v>79</v>
      </c>
      <c r="O419" t="s">
        <v>74</v>
      </c>
      <c r="P419" t="s">
        <v>74</v>
      </c>
      <c r="Q419" t="s">
        <v>74</v>
      </c>
      <c r="R419" t="s">
        <v>74</v>
      </c>
      <c r="S419" t="s">
        <v>74</v>
      </c>
      <c r="T419" t="s">
        <v>8441</v>
      </c>
      <c r="U419" t="s">
        <v>8442</v>
      </c>
      <c r="V419" t="s">
        <v>8443</v>
      </c>
      <c r="W419" t="s">
        <v>8444</v>
      </c>
      <c r="X419" t="s">
        <v>8445</v>
      </c>
      <c r="Y419" t="s">
        <v>8446</v>
      </c>
      <c r="Z419" t="s">
        <v>8447</v>
      </c>
      <c r="AA419" t="s">
        <v>8448</v>
      </c>
      <c r="AB419" t="s">
        <v>8449</v>
      </c>
      <c r="AC419" t="s">
        <v>74</v>
      </c>
      <c r="AD419" t="s">
        <v>74</v>
      </c>
      <c r="AE419" t="s">
        <v>74</v>
      </c>
      <c r="AF419" t="s">
        <v>74</v>
      </c>
      <c r="AG419">
        <v>52</v>
      </c>
      <c r="AH419">
        <v>19</v>
      </c>
      <c r="AI419">
        <v>20</v>
      </c>
      <c r="AJ419">
        <v>1</v>
      </c>
      <c r="AK419">
        <v>15</v>
      </c>
      <c r="AL419" t="s">
        <v>4232</v>
      </c>
      <c r="AM419" t="s">
        <v>704</v>
      </c>
      <c r="AN419" t="s">
        <v>4233</v>
      </c>
      <c r="AO419" t="s">
        <v>4234</v>
      </c>
      <c r="AP419" t="s">
        <v>74</v>
      </c>
      <c r="AQ419" t="s">
        <v>74</v>
      </c>
      <c r="AR419" t="s">
        <v>4219</v>
      </c>
      <c r="AS419" t="s">
        <v>4235</v>
      </c>
      <c r="AT419" t="s">
        <v>8359</v>
      </c>
      <c r="AU419">
        <v>2018</v>
      </c>
      <c r="AV419">
        <v>6</v>
      </c>
      <c r="AW419" t="s">
        <v>74</v>
      </c>
      <c r="AX419" t="s">
        <v>74</v>
      </c>
      <c r="AY419" t="s">
        <v>74</v>
      </c>
      <c r="AZ419" t="s">
        <v>74</v>
      </c>
      <c r="BA419" t="s">
        <v>74</v>
      </c>
      <c r="BB419" t="s">
        <v>74</v>
      </c>
      <c r="BC419" t="s">
        <v>74</v>
      </c>
      <c r="BD419" t="s">
        <v>8450</v>
      </c>
      <c r="BE419" t="s">
        <v>8451</v>
      </c>
      <c r="BF419" t="str">
        <f>HYPERLINK("http://dx.doi.org/10.7717/peerj.5408","http://dx.doi.org/10.7717/peerj.5408")</f>
        <v>http://dx.doi.org/10.7717/peerj.5408</v>
      </c>
      <c r="BG419" t="s">
        <v>74</v>
      </c>
      <c r="BH419" t="s">
        <v>74</v>
      </c>
      <c r="BI419">
        <v>16</v>
      </c>
      <c r="BJ419" t="s">
        <v>436</v>
      </c>
      <c r="BK419" t="s">
        <v>101</v>
      </c>
      <c r="BL419" t="s">
        <v>437</v>
      </c>
      <c r="BM419" t="s">
        <v>8452</v>
      </c>
      <c r="BN419">
        <v>30128194</v>
      </c>
      <c r="BO419" t="s">
        <v>4168</v>
      </c>
      <c r="BP419" t="s">
        <v>74</v>
      </c>
      <c r="BQ419" t="s">
        <v>74</v>
      </c>
      <c r="BR419" t="s">
        <v>104</v>
      </c>
      <c r="BS419" t="s">
        <v>8453</v>
      </c>
      <c r="BT419" t="str">
        <f>HYPERLINK("https%3A%2F%2Fwww.webofscience.com%2Fwos%2Fwoscc%2Ffull-record%2FWOS:000441506600007","View Full Record in Web of Science")</f>
        <v>View Full Record in Web of Science</v>
      </c>
    </row>
    <row r="420" spans="1:72" x14ac:dyDescent="0.15">
      <c r="A420" t="s">
        <v>72</v>
      </c>
      <c r="B420" t="s">
        <v>8454</v>
      </c>
      <c r="C420" t="s">
        <v>74</v>
      </c>
      <c r="D420" t="s">
        <v>74</v>
      </c>
      <c r="E420" t="s">
        <v>74</v>
      </c>
      <c r="F420" t="s">
        <v>8455</v>
      </c>
      <c r="G420" t="s">
        <v>74</v>
      </c>
      <c r="H420" t="s">
        <v>74</v>
      </c>
      <c r="I420" t="s">
        <v>8456</v>
      </c>
      <c r="J420" t="s">
        <v>3435</v>
      </c>
      <c r="K420" t="s">
        <v>74</v>
      </c>
      <c r="L420" t="s">
        <v>74</v>
      </c>
      <c r="M420" t="s">
        <v>78</v>
      </c>
      <c r="N420" t="s">
        <v>79</v>
      </c>
      <c r="O420" t="s">
        <v>74</v>
      </c>
      <c r="P420" t="s">
        <v>74</v>
      </c>
      <c r="Q420" t="s">
        <v>74</v>
      </c>
      <c r="R420" t="s">
        <v>74</v>
      </c>
      <c r="S420" t="s">
        <v>74</v>
      </c>
      <c r="T420" t="s">
        <v>8457</v>
      </c>
      <c r="U420" t="s">
        <v>8458</v>
      </c>
      <c r="V420" t="s">
        <v>8459</v>
      </c>
      <c r="W420" t="s">
        <v>8460</v>
      </c>
      <c r="X420" t="s">
        <v>8461</v>
      </c>
      <c r="Y420" t="s">
        <v>8462</v>
      </c>
      <c r="Z420" t="s">
        <v>8463</v>
      </c>
      <c r="AA420" t="s">
        <v>8464</v>
      </c>
      <c r="AB420" t="s">
        <v>8465</v>
      </c>
      <c r="AC420" t="s">
        <v>8466</v>
      </c>
      <c r="AD420" t="s">
        <v>8467</v>
      </c>
      <c r="AE420" t="s">
        <v>8468</v>
      </c>
      <c r="AF420" t="s">
        <v>74</v>
      </c>
      <c r="AG420">
        <v>108</v>
      </c>
      <c r="AH420">
        <v>14</v>
      </c>
      <c r="AI420">
        <v>15</v>
      </c>
      <c r="AJ420">
        <v>3</v>
      </c>
      <c r="AK420">
        <v>13</v>
      </c>
      <c r="AL420" t="s">
        <v>3174</v>
      </c>
      <c r="AM420" t="s">
        <v>3175</v>
      </c>
      <c r="AN420" t="s">
        <v>3176</v>
      </c>
      <c r="AO420" t="s">
        <v>74</v>
      </c>
      <c r="AP420" t="s">
        <v>3445</v>
      </c>
      <c r="AQ420" t="s">
        <v>74</v>
      </c>
      <c r="AR420" t="s">
        <v>3446</v>
      </c>
      <c r="AS420" t="s">
        <v>3447</v>
      </c>
      <c r="AT420" t="s">
        <v>8359</v>
      </c>
      <c r="AU420">
        <v>2018</v>
      </c>
      <c r="AV420">
        <v>5</v>
      </c>
      <c r="AW420" t="s">
        <v>74</v>
      </c>
      <c r="AX420" t="s">
        <v>74</v>
      </c>
      <c r="AY420" t="s">
        <v>74</v>
      </c>
      <c r="AZ420" t="s">
        <v>74</v>
      </c>
      <c r="BA420" t="s">
        <v>74</v>
      </c>
      <c r="BB420" t="s">
        <v>74</v>
      </c>
      <c r="BC420" t="s">
        <v>74</v>
      </c>
      <c r="BD420">
        <v>277</v>
      </c>
      <c r="BE420" t="s">
        <v>8469</v>
      </c>
      <c r="BF420" t="str">
        <f>HYPERLINK("http://dx.doi.org/10.3389/fmars.2018.00277","http://dx.doi.org/10.3389/fmars.2018.00277")</f>
        <v>http://dx.doi.org/10.3389/fmars.2018.00277</v>
      </c>
      <c r="BG420" t="s">
        <v>74</v>
      </c>
      <c r="BH420" t="s">
        <v>74</v>
      </c>
      <c r="BI420">
        <v>20</v>
      </c>
      <c r="BJ420" t="s">
        <v>3450</v>
      </c>
      <c r="BK420" t="s">
        <v>101</v>
      </c>
      <c r="BL420" t="s">
        <v>3451</v>
      </c>
      <c r="BM420" t="s">
        <v>8470</v>
      </c>
      <c r="BN420" t="s">
        <v>74</v>
      </c>
      <c r="BO420" t="s">
        <v>1584</v>
      </c>
      <c r="BP420" t="s">
        <v>74</v>
      </c>
      <c r="BQ420" t="s">
        <v>74</v>
      </c>
      <c r="BR420" t="s">
        <v>104</v>
      </c>
      <c r="BS420" t="s">
        <v>8471</v>
      </c>
      <c r="BT420" t="str">
        <f>HYPERLINK("https%3A%2F%2Fwww.webofscience.com%2Fwos%2Fwoscc%2Ffull-record%2FWOS:000457365900001","View Full Record in Web of Science")</f>
        <v>View Full Record in Web of Science</v>
      </c>
    </row>
    <row r="421" spans="1:72" x14ac:dyDescent="0.15">
      <c r="A421" t="s">
        <v>72</v>
      </c>
      <c r="B421" t="s">
        <v>8472</v>
      </c>
      <c r="C421" t="s">
        <v>74</v>
      </c>
      <c r="D421" t="s">
        <v>74</v>
      </c>
      <c r="E421" t="s">
        <v>74</v>
      </c>
      <c r="F421" t="s">
        <v>8473</v>
      </c>
      <c r="G421" t="s">
        <v>74</v>
      </c>
      <c r="H421" t="s">
        <v>74</v>
      </c>
      <c r="I421" t="s">
        <v>8474</v>
      </c>
      <c r="J421" t="s">
        <v>4109</v>
      </c>
      <c r="K421" t="s">
        <v>74</v>
      </c>
      <c r="L421" t="s">
        <v>74</v>
      </c>
      <c r="M421" t="s">
        <v>78</v>
      </c>
      <c r="N421" t="s">
        <v>79</v>
      </c>
      <c r="O421" t="s">
        <v>74</v>
      </c>
      <c r="P421" t="s">
        <v>74</v>
      </c>
      <c r="Q421" t="s">
        <v>74</v>
      </c>
      <c r="R421" t="s">
        <v>74</v>
      </c>
      <c r="S421" t="s">
        <v>74</v>
      </c>
      <c r="T421" t="s">
        <v>74</v>
      </c>
      <c r="U421" t="s">
        <v>8475</v>
      </c>
      <c r="V421" t="s">
        <v>8476</v>
      </c>
      <c r="W421" t="s">
        <v>8477</v>
      </c>
      <c r="X421" t="s">
        <v>8478</v>
      </c>
      <c r="Y421" t="s">
        <v>8479</v>
      </c>
      <c r="Z421" t="s">
        <v>8480</v>
      </c>
      <c r="AA421" t="s">
        <v>8481</v>
      </c>
      <c r="AB421" t="s">
        <v>8482</v>
      </c>
      <c r="AC421" t="s">
        <v>8483</v>
      </c>
      <c r="AD421" t="s">
        <v>8484</v>
      </c>
      <c r="AE421" t="s">
        <v>8485</v>
      </c>
      <c r="AF421" t="s">
        <v>74</v>
      </c>
      <c r="AG421">
        <v>31</v>
      </c>
      <c r="AH421">
        <v>37</v>
      </c>
      <c r="AI421">
        <v>43</v>
      </c>
      <c r="AJ421">
        <v>3</v>
      </c>
      <c r="AK421">
        <v>34</v>
      </c>
      <c r="AL421" t="s">
        <v>1130</v>
      </c>
      <c r="AM421" t="s">
        <v>1131</v>
      </c>
      <c r="AN421" t="s">
        <v>1132</v>
      </c>
      <c r="AO421" t="s">
        <v>4121</v>
      </c>
      <c r="AP421" t="s">
        <v>74</v>
      </c>
      <c r="AQ421" t="s">
        <v>74</v>
      </c>
      <c r="AR421" t="s">
        <v>4122</v>
      </c>
      <c r="AS421" t="s">
        <v>4123</v>
      </c>
      <c r="AT421" t="s">
        <v>8359</v>
      </c>
      <c r="AU421">
        <v>2018</v>
      </c>
      <c r="AV421">
        <v>8</v>
      </c>
      <c r="AW421" t="s">
        <v>74</v>
      </c>
      <c r="AX421" t="s">
        <v>74</v>
      </c>
      <c r="AY421" t="s">
        <v>74</v>
      </c>
      <c r="AZ421" t="s">
        <v>74</v>
      </c>
      <c r="BA421" t="s">
        <v>74</v>
      </c>
      <c r="BB421" t="s">
        <v>74</v>
      </c>
      <c r="BC421" t="s">
        <v>74</v>
      </c>
      <c r="BD421">
        <v>12095</v>
      </c>
      <c r="BE421" t="s">
        <v>8486</v>
      </c>
      <c r="BF421" t="str">
        <f>HYPERLINK("http://dx.doi.org/10.1038/s41598-018-30605-4","http://dx.doi.org/10.1038/s41598-018-30605-4")</f>
        <v>http://dx.doi.org/10.1038/s41598-018-30605-4</v>
      </c>
      <c r="BG421" t="s">
        <v>74</v>
      </c>
      <c r="BH421" t="s">
        <v>74</v>
      </c>
      <c r="BI421">
        <v>5</v>
      </c>
      <c r="BJ421" t="s">
        <v>436</v>
      </c>
      <c r="BK421" t="s">
        <v>101</v>
      </c>
      <c r="BL421" t="s">
        <v>437</v>
      </c>
      <c r="BM421" t="s">
        <v>8419</v>
      </c>
      <c r="BN421">
        <v>30108295</v>
      </c>
      <c r="BO421" t="s">
        <v>439</v>
      </c>
      <c r="BP421" t="s">
        <v>74</v>
      </c>
      <c r="BQ421" t="s">
        <v>74</v>
      </c>
      <c r="BR421" t="s">
        <v>104</v>
      </c>
      <c r="BS421" t="s">
        <v>8487</v>
      </c>
      <c r="BT421" t="str">
        <f>HYPERLINK("https%3A%2F%2Fwww.webofscience.com%2Fwos%2Fwoscc%2Ffull-record%2FWOS:000441536700014","View Full Record in Web of Science")</f>
        <v>View Full Record in Web of Science</v>
      </c>
    </row>
    <row r="422" spans="1:72" x14ac:dyDescent="0.15">
      <c r="A422" t="s">
        <v>72</v>
      </c>
      <c r="B422" t="s">
        <v>8488</v>
      </c>
      <c r="C422" t="s">
        <v>74</v>
      </c>
      <c r="D422" t="s">
        <v>74</v>
      </c>
      <c r="E422" t="s">
        <v>74</v>
      </c>
      <c r="F422" t="s">
        <v>8489</v>
      </c>
      <c r="G422" t="s">
        <v>74</v>
      </c>
      <c r="H422" t="s">
        <v>74</v>
      </c>
      <c r="I422" t="s">
        <v>8490</v>
      </c>
      <c r="J422" t="s">
        <v>4109</v>
      </c>
      <c r="K422" t="s">
        <v>74</v>
      </c>
      <c r="L422" t="s">
        <v>74</v>
      </c>
      <c r="M422" t="s">
        <v>78</v>
      </c>
      <c r="N422" t="s">
        <v>79</v>
      </c>
      <c r="O422" t="s">
        <v>74</v>
      </c>
      <c r="P422" t="s">
        <v>74</v>
      </c>
      <c r="Q422" t="s">
        <v>74</v>
      </c>
      <c r="R422" t="s">
        <v>74</v>
      </c>
      <c r="S422" t="s">
        <v>74</v>
      </c>
      <c r="T422" t="s">
        <v>74</v>
      </c>
      <c r="U422" t="s">
        <v>8491</v>
      </c>
      <c r="V422" t="s">
        <v>8492</v>
      </c>
      <c r="W422" t="s">
        <v>8493</v>
      </c>
      <c r="X422" t="s">
        <v>8494</v>
      </c>
      <c r="Y422" t="s">
        <v>8495</v>
      </c>
      <c r="Z422" t="s">
        <v>8496</v>
      </c>
      <c r="AA422" t="s">
        <v>8497</v>
      </c>
      <c r="AB422" t="s">
        <v>8498</v>
      </c>
      <c r="AC422" t="s">
        <v>8499</v>
      </c>
      <c r="AD422" t="s">
        <v>8500</v>
      </c>
      <c r="AE422" t="s">
        <v>8501</v>
      </c>
      <c r="AF422" t="s">
        <v>74</v>
      </c>
      <c r="AG422">
        <v>85</v>
      </c>
      <c r="AH422">
        <v>31</v>
      </c>
      <c r="AI422">
        <v>35</v>
      </c>
      <c r="AJ422">
        <v>0</v>
      </c>
      <c r="AK422">
        <v>23</v>
      </c>
      <c r="AL422" t="s">
        <v>1130</v>
      </c>
      <c r="AM422" t="s">
        <v>1131</v>
      </c>
      <c r="AN422" t="s">
        <v>1132</v>
      </c>
      <c r="AO422" t="s">
        <v>4121</v>
      </c>
      <c r="AP422" t="s">
        <v>74</v>
      </c>
      <c r="AQ422" t="s">
        <v>74</v>
      </c>
      <c r="AR422" t="s">
        <v>4122</v>
      </c>
      <c r="AS422" t="s">
        <v>4123</v>
      </c>
      <c r="AT422" t="s">
        <v>8359</v>
      </c>
      <c r="AU422">
        <v>2018</v>
      </c>
      <c r="AV422">
        <v>8</v>
      </c>
      <c r="AW422" t="s">
        <v>74</v>
      </c>
      <c r="AX422" t="s">
        <v>74</v>
      </c>
      <c r="AY422" t="s">
        <v>74</v>
      </c>
      <c r="AZ422" t="s">
        <v>74</v>
      </c>
      <c r="BA422" t="s">
        <v>74</v>
      </c>
      <c r="BB422" t="s">
        <v>74</v>
      </c>
      <c r="BC422" t="s">
        <v>74</v>
      </c>
      <c r="BD422">
        <v>12140</v>
      </c>
      <c r="BE422" t="s">
        <v>8502</v>
      </c>
      <c r="BF422" t="str">
        <f>HYPERLINK("http://dx.doi.org/10.1038/s41598-018-30474-x","http://dx.doi.org/10.1038/s41598-018-30474-x")</f>
        <v>http://dx.doi.org/10.1038/s41598-018-30474-x</v>
      </c>
      <c r="BG422" t="s">
        <v>74</v>
      </c>
      <c r="BH422" t="s">
        <v>74</v>
      </c>
      <c r="BI422">
        <v>13</v>
      </c>
      <c r="BJ422" t="s">
        <v>436</v>
      </c>
      <c r="BK422" t="s">
        <v>101</v>
      </c>
      <c r="BL422" t="s">
        <v>437</v>
      </c>
      <c r="BM422" t="s">
        <v>8503</v>
      </c>
      <c r="BN422">
        <v>30108231</v>
      </c>
      <c r="BO422" t="s">
        <v>1566</v>
      </c>
      <c r="BP422" t="s">
        <v>74</v>
      </c>
      <c r="BQ422" t="s">
        <v>74</v>
      </c>
      <c r="BR422" t="s">
        <v>104</v>
      </c>
      <c r="BS422" t="s">
        <v>8504</v>
      </c>
      <c r="BT422" t="str">
        <f>HYPERLINK("https%3A%2F%2Fwww.webofscience.com%2Fwos%2Fwoscc%2Ffull-record%2FWOS:000441538200033","View Full Record in Web of Science")</f>
        <v>View Full Record in Web of Science</v>
      </c>
    </row>
    <row r="423" spans="1:72" x14ac:dyDescent="0.15">
      <c r="A423" t="s">
        <v>72</v>
      </c>
      <c r="B423" t="s">
        <v>8505</v>
      </c>
      <c r="C423" t="s">
        <v>74</v>
      </c>
      <c r="D423" t="s">
        <v>74</v>
      </c>
      <c r="E423" t="s">
        <v>74</v>
      </c>
      <c r="F423" t="s">
        <v>8506</v>
      </c>
      <c r="G423" t="s">
        <v>74</v>
      </c>
      <c r="H423" t="s">
        <v>74</v>
      </c>
      <c r="I423" t="s">
        <v>8507</v>
      </c>
      <c r="J423" t="s">
        <v>3387</v>
      </c>
      <c r="K423" t="s">
        <v>74</v>
      </c>
      <c r="L423" t="s">
        <v>74</v>
      </c>
      <c r="M423" t="s">
        <v>78</v>
      </c>
      <c r="N423" t="s">
        <v>79</v>
      </c>
      <c r="O423" t="s">
        <v>74</v>
      </c>
      <c r="P423" t="s">
        <v>74</v>
      </c>
      <c r="Q423" t="s">
        <v>74</v>
      </c>
      <c r="R423" t="s">
        <v>74</v>
      </c>
      <c r="S423" t="s">
        <v>74</v>
      </c>
      <c r="T423" t="s">
        <v>74</v>
      </c>
      <c r="U423" t="s">
        <v>8508</v>
      </c>
      <c r="V423" t="s">
        <v>8509</v>
      </c>
      <c r="W423" t="s">
        <v>8510</v>
      </c>
      <c r="X423" t="s">
        <v>8511</v>
      </c>
      <c r="Y423" t="s">
        <v>8512</v>
      </c>
      <c r="Z423" t="s">
        <v>8513</v>
      </c>
      <c r="AA423" t="s">
        <v>8514</v>
      </c>
      <c r="AB423" t="s">
        <v>8515</v>
      </c>
      <c r="AC423" t="s">
        <v>8516</v>
      </c>
      <c r="AD423" t="s">
        <v>8517</v>
      </c>
      <c r="AE423" t="s">
        <v>8518</v>
      </c>
      <c r="AF423" t="s">
        <v>74</v>
      </c>
      <c r="AG423">
        <v>38</v>
      </c>
      <c r="AH423">
        <v>37</v>
      </c>
      <c r="AI423">
        <v>42</v>
      </c>
      <c r="AJ423">
        <v>1</v>
      </c>
      <c r="AK423">
        <v>17</v>
      </c>
      <c r="AL423" t="s">
        <v>3353</v>
      </c>
      <c r="AM423" t="s">
        <v>3354</v>
      </c>
      <c r="AN423" t="s">
        <v>3355</v>
      </c>
      <c r="AO423" t="s">
        <v>3399</v>
      </c>
      <c r="AP423" t="s">
        <v>3400</v>
      </c>
      <c r="AQ423" t="s">
        <v>74</v>
      </c>
      <c r="AR423" t="s">
        <v>3401</v>
      </c>
      <c r="AS423" t="s">
        <v>3402</v>
      </c>
      <c r="AT423" t="s">
        <v>8519</v>
      </c>
      <c r="AU423">
        <v>2018</v>
      </c>
      <c r="AV423">
        <v>18</v>
      </c>
      <c r="AW423">
        <v>15</v>
      </c>
      <c r="AX423" t="s">
        <v>74</v>
      </c>
      <c r="AY423" t="s">
        <v>74</v>
      </c>
      <c r="AZ423" t="s">
        <v>74</v>
      </c>
      <c r="BA423" t="s">
        <v>74</v>
      </c>
      <c r="BB423">
        <v>11277</v>
      </c>
      <c r="BC423">
        <v>11287</v>
      </c>
      <c r="BD423" t="s">
        <v>74</v>
      </c>
      <c r="BE423" t="s">
        <v>8520</v>
      </c>
      <c r="BF423" t="str">
        <f>HYPERLINK("http://dx.doi.org/10.5194/acp-18-11277-2018","http://dx.doi.org/10.5194/acp-18-11277-2018")</f>
        <v>http://dx.doi.org/10.5194/acp-18-11277-2018</v>
      </c>
      <c r="BG423" t="s">
        <v>74</v>
      </c>
      <c r="BH423" t="s">
        <v>74</v>
      </c>
      <c r="BI423">
        <v>11</v>
      </c>
      <c r="BJ423" t="s">
        <v>317</v>
      </c>
      <c r="BK423" t="s">
        <v>101</v>
      </c>
      <c r="BL423" t="s">
        <v>318</v>
      </c>
      <c r="BM423" t="s">
        <v>8521</v>
      </c>
      <c r="BN423">
        <v>32742282</v>
      </c>
      <c r="BO423" t="s">
        <v>8522</v>
      </c>
      <c r="BP423" t="s">
        <v>74</v>
      </c>
      <c r="BQ423" t="s">
        <v>74</v>
      </c>
      <c r="BR423" t="s">
        <v>104</v>
      </c>
      <c r="BS423" t="s">
        <v>8523</v>
      </c>
      <c r="BT423" t="str">
        <f>HYPERLINK("https%3A%2F%2Fwww.webofscience.com%2Fwos%2Fwoscc%2Ffull-record%2FWOS:000441403800005","View Full Record in Web of Science")</f>
        <v>View Full Record in Web of Science</v>
      </c>
    </row>
    <row r="424" spans="1:72" x14ac:dyDescent="0.15">
      <c r="A424" t="s">
        <v>72</v>
      </c>
      <c r="B424" t="s">
        <v>8524</v>
      </c>
      <c r="C424" t="s">
        <v>74</v>
      </c>
      <c r="D424" t="s">
        <v>74</v>
      </c>
      <c r="E424" t="s">
        <v>74</v>
      </c>
      <c r="F424" t="s">
        <v>8525</v>
      </c>
      <c r="G424" t="s">
        <v>74</v>
      </c>
      <c r="H424" t="s">
        <v>74</v>
      </c>
      <c r="I424" t="s">
        <v>8526</v>
      </c>
      <c r="J424" t="s">
        <v>3588</v>
      </c>
      <c r="K424" t="s">
        <v>74</v>
      </c>
      <c r="L424" t="s">
        <v>74</v>
      </c>
      <c r="M424" t="s">
        <v>78</v>
      </c>
      <c r="N424" t="s">
        <v>79</v>
      </c>
      <c r="O424" t="s">
        <v>74</v>
      </c>
      <c r="P424" t="s">
        <v>74</v>
      </c>
      <c r="Q424" t="s">
        <v>74</v>
      </c>
      <c r="R424" t="s">
        <v>74</v>
      </c>
      <c r="S424" t="s">
        <v>74</v>
      </c>
      <c r="T424" t="s">
        <v>74</v>
      </c>
      <c r="U424" t="s">
        <v>8527</v>
      </c>
      <c r="V424" t="s">
        <v>8528</v>
      </c>
      <c r="W424" t="s">
        <v>8529</v>
      </c>
      <c r="X424" t="s">
        <v>8530</v>
      </c>
      <c r="Y424" t="s">
        <v>8531</v>
      </c>
      <c r="Z424" t="s">
        <v>8532</v>
      </c>
      <c r="AA424" t="s">
        <v>8533</v>
      </c>
      <c r="AB424" t="s">
        <v>8534</v>
      </c>
      <c r="AC424" t="s">
        <v>8535</v>
      </c>
      <c r="AD424" t="s">
        <v>8536</v>
      </c>
      <c r="AE424" t="s">
        <v>8537</v>
      </c>
      <c r="AF424" t="s">
        <v>74</v>
      </c>
      <c r="AG424">
        <v>65</v>
      </c>
      <c r="AH424">
        <v>9</v>
      </c>
      <c r="AI424">
        <v>9</v>
      </c>
      <c r="AJ424">
        <v>1</v>
      </c>
      <c r="AK424">
        <v>19</v>
      </c>
      <c r="AL424" t="s">
        <v>3599</v>
      </c>
      <c r="AM424" t="s">
        <v>3600</v>
      </c>
      <c r="AN424" t="s">
        <v>3601</v>
      </c>
      <c r="AO424" t="s">
        <v>3602</v>
      </c>
      <c r="AP424" t="s">
        <v>74</v>
      </c>
      <c r="AQ424" t="s">
        <v>74</v>
      </c>
      <c r="AR424" t="s">
        <v>3588</v>
      </c>
      <c r="AS424" t="s">
        <v>3603</v>
      </c>
      <c r="AT424" t="s">
        <v>8519</v>
      </c>
      <c r="AU424">
        <v>2018</v>
      </c>
      <c r="AV424">
        <v>13</v>
      </c>
      <c r="AW424">
        <v>8</v>
      </c>
      <c r="AX424" t="s">
        <v>74</v>
      </c>
      <c r="AY424" t="s">
        <v>74</v>
      </c>
      <c r="AZ424" t="s">
        <v>74</v>
      </c>
      <c r="BA424" t="s">
        <v>74</v>
      </c>
      <c r="BB424" t="s">
        <v>74</v>
      </c>
      <c r="BC424" t="s">
        <v>74</v>
      </c>
      <c r="BD424" t="s">
        <v>8538</v>
      </c>
      <c r="BE424" t="s">
        <v>8539</v>
      </c>
      <c r="BF424" t="str">
        <f>HYPERLINK("http://dx.doi.org/10.1371/journal.pone.0201518","http://dx.doi.org/10.1371/journal.pone.0201518")</f>
        <v>http://dx.doi.org/10.1371/journal.pone.0201518</v>
      </c>
      <c r="BG424" t="s">
        <v>74</v>
      </c>
      <c r="BH424" t="s">
        <v>74</v>
      </c>
      <c r="BI424">
        <v>17</v>
      </c>
      <c r="BJ424" t="s">
        <v>436</v>
      </c>
      <c r="BK424" t="s">
        <v>101</v>
      </c>
      <c r="BL424" t="s">
        <v>437</v>
      </c>
      <c r="BM424" t="s">
        <v>8540</v>
      </c>
      <c r="BN424">
        <v>30102710</v>
      </c>
      <c r="BO424" t="s">
        <v>8541</v>
      </c>
      <c r="BP424" t="s">
        <v>74</v>
      </c>
      <c r="BQ424" t="s">
        <v>74</v>
      </c>
      <c r="BR424" t="s">
        <v>104</v>
      </c>
      <c r="BS424" t="s">
        <v>8542</v>
      </c>
      <c r="BT424" t="str">
        <f>HYPERLINK("https%3A%2F%2Fwww.webofscience.com%2Fwos%2Fwoscc%2Ffull-record%2FWOS:000441452200013","View Full Record in Web of Science")</f>
        <v>View Full Record in Web of Science</v>
      </c>
    </row>
    <row r="425" spans="1:72" x14ac:dyDescent="0.15">
      <c r="A425" t="s">
        <v>72</v>
      </c>
      <c r="B425" t="s">
        <v>8543</v>
      </c>
      <c r="C425" t="s">
        <v>74</v>
      </c>
      <c r="D425" t="s">
        <v>74</v>
      </c>
      <c r="E425" t="s">
        <v>74</v>
      </c>
      <c r="F425" t="s">
        <v>8544</v>
      </c>
      <c r="G425" t="s">
        <v>74</v>
      </c>
      <c r="H425" t="s">
        <v>74</v>
      </c>
      <c r="I425" t="s">
        <v>8545</v>
      </c>
      <c r="J425" t="s">
        <v>8546</v>
      </c>
      <c r="K425" t="s">
        <v>74</v>
      </c>
      <c r="L425" t="s">
        <v>74</v>
      </c>
      <c r="M425" t="s">
        <v>78</v>
      </c>
      <c r="N425" t="s">
        <v>79</v>
      </c>
      <c r="O425" t="s">
        <v>74</v>
      </c>
      <c r="P425" t="s">
        <v>74</v>
      </c>
      <c r="Q425" t="s">
        <v>74</v>
      </c>
      <c r="R425" t="s">
        <v>74</v>
      </c>
      <c r="S425" t="s">
        <v>74</v>
      </c>
      <c r="T425" t="s">
        <v>74</v>
      </c>
      <c r="U425" t="s">
        <v>8547</v>
      </c>
      <c r="V425" t="s">
        <v>8548</v>
      </c>
      <c r="W425" t="s">
        <v>8549</v>
      </c>
      <c r="X425" t="s">
        <v>8550</v>
      </c>
      <c r="Y425" t="s">
        <v>8551</v>
      </c>
      <c r="Z425" t="s">
        <v>8552</v>
      </c>
      <c r="AA425" t="s">
        <v>8553</v>
      </c>
      <c r="AB425" t="s">
        <v>8554</v>
      </c>
      <c r="AC425" t="s">
        <v>8555</v>
      </c>
      <c r="AD425" t="s">
        <v>8556</v>
      </c>
      <c r="AE425" t="s">
        <v>8557</v>
      </c>
      <c r="AF425" t="s">
        <v>74</v>
      </c>
      <c r="AG425">
        <v>30</v>
      </c>
      <c r="AH425">
        <v>4</v>
      </c>
      <c r="AI425">
        <v>4</v>
      </c>
      <c r="AJ425">
        <v>1</v>
      </c>
      <c r="AK425">
        <v>7</v>
      </c>
      <c r="AL425" t="s">
        <v>3353</v>
      </c>
      <c r="AM425" t="s">
        <v>3354</v>
      </c>
      <c r="AN425" t="s">
        <v>3355</v>
      </c>
      <c r="AO425" t="s">
        <v>8558</v>
      </c>
      <c r="AP425" t="s">
        <v>8559</v>
      </c>
      <c r="AQ425" t="s">
        <v>74</v>
      </c>
      <c r="AR425" t="s">
        <v>8560</v>
      </c>
      <c r="AS425" t="s">
        <v>8561</v>
      </c>
      <c r="AT425" t="s">
        <v>8519</v>
      </c>
      <c r="AU425">
        <v>2018</v>
      </c>
      <c r="AV425">
        <v>11</v>
      </c>
      <c r="AW425">
        <v>8</v>
      </c>
      <c r="AX425" t="s">
        <v>74</v>
      </c>
      <c r="AY425" t="s">
        <v>74</v>
      </c>
      <c r="AZ425" t="s">
        <v>74</v>
      </c>
      <c r="BA425" t="s">
        <v>74</v>
      </c>
      <c r="BB425">
        <v>4725</v>
      </c>
      <c r="BC425">
        <v>4736</v>
      </c>
      <c r="BD425" t="s">
        <v>74</v>
      </c>
      <c r="BE425" t="s">
        <v>8562</v>
      </c>
      <c r="BF425" t="str">
        <f>HYPERLINK("http://dx.doi.org/10.5194/amt-11-4725-2018","http://dx.doi.org/10.5194/amt-11-4725-2018")</f>
        <v>http://dx.doi.org/10.5194/amt-11-4725-2018</v>
      </c>
      <c r="BG425" t="s">
        <v>74</v>
      </c>
      <c r="BH425" t="s">
        <v>74</v>
      </c>
      <c r="BI425">
        <v>12</v>
      </c>
      <c r="BJ425" t="s">
        <v>369</v>
      </c>
      <c r="BK425" t="s">
        <v>101</v>
      </c>
      <c r="BL425" t="s">
        <v>369</v>
      </c>
      <c r="BM425" t="s">
        <v>8563</v>
      </c>
      <c r="BN425" t="s">
        <v>74</v>
      </c>
      <c r="BO425" t="s">
        <v>3382</v>
      </c>
      <c r="BP425" t="s">
        <v>74</v>
      </c>
      <c r="BQ425" t="s">
        <v>74</v>
      </c>
      <c r="BR425" t="s">
        <v>104</v>
      </c>
      <c r="BS425" t="s">
        <v>8564</v>
      </c>
      <c r="BT425" t="str">
        <f>HYPERLINK("https%3A%2F%2Fwww.webofscience.com%2Fwos%2Fwoscc%2Ffull-record%2FWOS:000441391300002","View Full Record in Web of Science")</f>
        <v>View Full Record in Web of Science</v>
      </c>
    </row>
    <row r="426" spans="1:72" x14ac:dyDescent="0.15">
      <c r="A426" t="s">
        <v>72</v>
      </c>
      <c r="B426" t="s">
        <v>8565</v>
      </c>
      <c r="C426" t="s">
        <v>74</v>
      </c>
      <c r="D426" t="s">
        <v>74</v>
      </c>
      <c r="E426" t="s">
        <v>74</v>
      </c>
      <c r="F426" t="s">
        <v>8566</v>
      </c>
      <c r="G426" t="s">
        <v>74</v>
      </c>
      <c r="H426" t="s">
        <v>74</v>
      </c>
      <c r="I426" t="s">
        <v>8567</v>
      </c>
      <c r="J426" t="s">
        <v>3268</v>
      </c>
      <c r="K426" t="s">
        <v>74</v>
      </c>
      <c r="L426" t="s">
        <v>74</v>
      </c>
      <c r="M426" t="s">
        <v>78</v>
      </c>
      <c r="N426" t="s">
        <v>79</v>
      </c>
      <c r="O426" t="s">
        <v>74</v>
      </c>
      <c r="P426" t="s">
        <v>74</v>
      </c>
      <c r="Q426" t="s">
        <v>74</v>
      </c>
      <c r="R426" t="s">
        <v>74</v>
      </c>
      <c r="S426" t="s">
        <v>74</v>
      </c>
      <c r="T426" t="s">
        <v>74</v>
      </c>
      <c r="U426" t="s">
        <v>8568</v>
      </c>
      <c r="V426" t="s">
        <v>8569</v>
      </c>
      <c r="W426" t="s">
        <v>8570</v>
      </c>
      <c r="X426" t="s">
        <v>8571</v>
      </c>
      <c r="Y426" t="s">
        <v>8572</v>
      </c>
      <c r="Z426" t="s">
        <v>8573</v>
      </c>
      <c r="AA426" t="s">
        <v>8574</v>
      </c>
      <c r="AB426" t="s">
        <v>8575</v>
      </c>
      <c r="AC426" t="s">
        <v>8576</v>
      </c>
      <c r="AD426" t="s">
        <v>8577</v>
      </c>
      <c r="AE426" t="s">
        <v>8578</v>
      </c>
      <c r="AF426" t="s">
        <v>74</v>
      </c>
      <c r="AG426">
        <v>60</v>
      </c>
      <c r="AH426">
        <v>40</v>
      </c>
      <c r="AI426">
        <v>45</v>
      </c>
      <c r="AJ426">
        <v>2</v>
      </c>
      <c r="AK426">
        <v>23</v>
      </c>
      <c r="AL426" t="s">
        <v>1159</v>
      </c>
      <c r="AM426" t="s">
        <v>704</v>
      </c>
      <c r="AN426" t="s">
        <v>2728</v>
      </c>
      <c r="AO426" t="s">
        <v>3280</v>
      </c>
      <c r="AP426" t="s">
        <v>74</v>
      </c>
      <c r="AQ426" t="s">
        <v>74</v>
      </c>
      <c r="AR426" t="s">
        <v>3281</v>
      </c>
      <c r="AS426" t="s">
        <v>3282</v>
      </c>
      <c r="AT426" t="s">
        <v>8519</v>
      </c>
      <c r="AU426">
        <v>2018</v>
      </c>
      <c r="AV426">
        <v>9</v>
      </c>
      <c r="AW426" t="s">
        <v>74</v>
      </c>
      <c r="AX426" t="s">
        <v>74</v>
      </c>
      <c r="AY426" t="s">
        <v>74</v>
      </c>
      <c r="AZ426" t="s">
        <v>74</v>
      </c>
      <c r="BA426" t="s">
        <v>74</v>
      </c>
      <c r="BB426" t="s">
        <v>74</v>
      </c>
      <c r="BC426" t="s">
        <v>74</v>
      </c>
      <c r="BD426">
        <v>3240</v>
      </c>
      <c r="BE426" t="s">
        <v>8579</v>
      </c>
      <c r="BF426" t="str">
        <f>HYPERLINK("http://dx.doi.org/10.1038/s41467-018-05443-7","http://dx.doi.org/10.1038/s41467-018-05443-7")</f>
        <v>http://dx.doi.org/10.1038/s41467-018-05443-7</v>
      </c>
      <c r="BG426" t="s">
        <v>74</v>
      </c>
      <c r="BH426" t="s">
        <v>74</v>
      </c>
      <c r="BI426">
        <v>11</v>
      </c>
      <c r="BJ426" t="s">
        <v>436</v>
      </c>
      <c r="BK426" t="s">
        <v>101</v>
      </c>
      <c r="BL426" t="s">
        <v>437</v>
      </c>
      <c r="BM426" t="s">
        <v>8580</v>
      </c>
      <c r="BN426">
        <v>30104675</v>
      </c>
      <c r="BO426" t="s">
        <v>239</v>
      </c>
      <c r="BP426" t="s">
        <v>74</v>
      </c>
      <c r="BQ426" t="s">
        <v>74</v>
      </c>
      <c r="BR426" t="s">
        <v>104</v>
      </c>
      <c r="BS426" t="s">
        <v>8581</v>
      </c>
      <c r="BT426" t="str">
        <f>HYPERLINK("https%3A%2F%2Fwww.webofscience.com%2Fwos%2Fwoscc%2Ffull-record%2FWOS:000441382000018","View Full Record in Web of Science")</f>
        <v>View Full Record in Web of Science</v>
      </c>
    </row>
    <row r="427" spans="1:72" x14ac:dyDescent="0.15">
      <c r="A427" t="s">
        <v>72</v>
      </c>
      <c r="B427" t="s">
        <v>8582</v>
      </c>
      <c r="C427" t="s">
        <v>74</v>
      </c>
      <c r="D427" t="s">
        <v>74</v>
      </c>
      <c r="E427" t="s">
        <v>74</v>
      </c>
      <c r="F427" t="s">
        <v>8583</v>
      </c>
      <c r="G427" t="s">
        <v>74</v>
      </c>
      <c r="H427" t="s">
        <v>74</v>
      </c>
      <c r="I427" t="s">
        <v>8584</v>
      </c>
      <c r="J427" t="s">
        <v>4340</v>
      </c>
      <c r="K427" t="s">
        <v>74</v>
      </c>
      <c r="L427" t="s">
        <v>74</v>
      </c>
      <c r="M427" t="s">
        <v>78</v>
      </c>
      <c r="N427" t="s">
        <v>79</v>
      </c>
      <c r="O427" t="s">
        <v>74</v>
      </c>
      <c r="P427" t="s">
        <v>74</v>
      </c>
      <c r="Q427" t="s">
        <v>74</v>
      </c>
      <c r="R427" t="s">
        <v>74</v>
      </c>
      <c r="S427" t="s">
        <v>74</v>
      </c>
      <c r="T427" t="s">
        <v>8585</v>
      </c>
      <c r="U427" t="s">
        <v>8586</v>
      </c>
      <c r="V427" t="s">
        <v>8587</v>
      </c>
      <c r="W427" t="s">
        <v>8588</v>
      </c>
      <c r="X427" t="s">
        <v>8589</v>
      </c>
      <c r="Y427" t="s">
        <v>8590</v>
      </c>
      <c r="Z427" t="s">
        <v>8591</v>
      </c>
      <c r="AA427" t="s">
        <v>74</v>
      </c>
      <c r="AB427" t="s">
        <v>8592</v>
      </c>
      <c r="AC427" t="s">
        <v>8593</v>
      </c>
      <c r="AD427" t="s">
        <v>8593</v>
      </c>
      <c r="AE427" t="s">
        <v>8594</v>
      </c>
      <c r="AF427" t="s">
        <v>74</v>
      </c>
      <c r="AG427">
        <v>70</v>
      </c>
      <c r="AH427">
        <v>11</v>
      </c>
      <c r="AI427">
        <v>11</v>
      </c>
      <c r="AJ427">
        <v>0</v>
      </c>
      <c r="AK427">
        <v>7</v>
      </c>
      <c r="AL427" t="s">
        <v>3326</v>
      </c>
      <c r="AM427" t="s">
        <v>3327</v>
      </c>
      <c r="AN427" t="s">
        <v>3328</v>
      </c>
      <c r="AO427" t="s">
        <v>4344</v>
      </c>
      <c r="AP427" t="s">
        <v>4345</v>
      </c>
      <c r="AQ427" t="s">
        <v>74</v>
      </c>
      <c r="AR427" t="s">
        <v>4346</v>
      </c>
      <c r="AS427" t="s">
        <v>4347</v>
      </c>
      <c r="AT427" t="s">
        <v>8519</v>
      </c>
      <c r="AU427">
        <v>2018</v>
      </c>
      <c r="AV427">
        <v>50</v>
      </c>
      <c r="AW427">
        <v>1</v>
      </c>
      <c r="AX427" t="s">
        <v>74</v>
      </c>
      <c r="AY427" t="s">
        <v>74</v>
      </c>
      <c r="AZ427" t="s">
        <v>74</v>
      </c>
      <c r="BA427" t="s">
        <v>74</v>
      </c>
      <c r="BB427" t="s">
        <v>74</v>
      </c>
      <c r="BC427" t="s">
        <v>74</v>
      </c>
      <c r="BD427" t="s">
        <v>8595</v>
      </c>
      <c r="BE427" t="s">
        <v>8596</v>
      </c>
      <c r="BF427" t="str">
        <f>HYPERLINK("http://dx.doi.org/10.1080/15230430.2018.1487744","http://dx.doi.org/10.1080/15230430.2018.1487744")</f>
        <v>http://dx.doi.org/10.1080/15230430.2018.1487744</v>
      </c>
      <c r="BG427" t="s">
        <v>74</v>
      </c>
      <c r="BH427" t="s">
        <v>74</v>
      </c>
      <c r="BI427">
        <v>16</v>
      </c>
      <c r="BJ427" t="s">
        <v>4350</v>
      </c>
      <c r="BK427" t="s">
        <v>101</v>
      </c>
      <c r="BL427" t="s">
        <v>767</v>
      </c>
      <c r="BM427" t="s">
        <v>8597</v>
      </c>
      <c r="BN427" t="s">
        <v>74</v>
      </c>
      <c r="BO427" t="s">
        <v>1584</v>
      </c>
      <c r="BP427" t="s">
        <v>74</v>
      </c>
      <c r="BQ427" t="s">
        <v>74</v>
      </c>
      <c r="BR427" t="s">
        <v>104</v>
      </c>
      <c r="BS427" t="s">
        <v>8598</v>
      </c>
      <c r="BT427" t="str">
        <f>HYPERLINK("https%3A%2F%2Fwww.webofscience.com%2Fwos%2Fwoscc%2Ffull-record%2FWOS:000442139400001","View Full Record in Web of Science")</f>
        <v>View Full Record in Web of Science</v>
      </c>
    </row>
    <row r="428" spans="1:72" x14ac:dyDescent="0.15">
      <c r="A428" t="s">
        <v>72</v>
      </c>
      <c r="B428" t="s">
        <v>8599</v>
      </c>
      <c r="C428" t="s">
        <v>74</v>
      </c>
      <c r="D428" t="s">
        <v>74</v>
      </c>
      <c r="E428" t="s">
        <v>74</v>
      </c>
      <c r="F428" t="s">
        <v>8600</v>
      </c>
      <c r="G428" t="s">
        <v>74</v>
      </c>
      <c r="H428" t="s">
        <v>74</v>
      </c>
      <c r="I428" t="s">
        <v>8601</v>
      </c>
      <c r="J428" t="s">
        <v>7832</v>
      </c>
      <c r="K428" t="s">
        <v>74</v>
      </c>
      <c r="L428" t="s">
        <v>74</v>
      </c>
      <c r="M428" t="s">
        <v>78</v>
      </c>
      <c r="N428" t="s">
        <v>79</v>
      </c>
      <c r="O428" t="s">
        <v>74</v>
      </c>
      <c r="P428" t="s">
        <v>74</v>
      </c>
      <c r="Q428" t="s">
        <v>74</v>
      </c>
      <c r="R428" t="s">
        <v>74</v>
      </c>
      <c r="S428" t="s">
        <v>74</v>
      </c>
      <c r="T428" t="s">
        <v>74</v>
      </c>
      <c r="U428" t="s">
        <v>8602</v>
      </c>
      <c r="V428" t="s">
        <v>8603</v>
      </c>
      <c r="W428" t="s">
        <v>8604</v>
      </c>
      <c r="X428" t="s">
        <v>8605</v>
      </c>
      <c r="Y428" t="s">
        <v>8606</v>
      </c>
      <c r="Z428" t="s">
        <v>8607</v>
      </c>
      <c r="AA428" t="s">
        <v>8608</v>
      </c>
      <c r="AB428" t="s">
        <v>8609</v>
      </c>
      <c r="AC428" t="s">
        <v>8610</v>
      </c>
      <c r="AD428" t="s">
        <v>8611</v>
      </c>
      <c r="AE428" t="s">
        <v>8612</v>
      </c>
      <c r="AF428" t="s">
        <v>74</v>
      </c>
      <c r="AG428">
        <v>82</v>
      </c>
      <c r="AH428">
        <v>46</v>
      </c>
      <c r="AI428">
        <v>48</v>
      </c>
      <c r="AJ428">
        <v>4</v>
      </c>
      <c r="AK428">
        <v>27</v>
      </c>
      <c r="AL428" t="s">
        <v>3353</v>
      </c>
      <c r="AM428" t="s">
        <v>3354</v>
      </c>
      <c r="AN428" t="s">
        <v>3355</v>
      </c>
      <c r="AO428" t="s">
        <v>7844</v>
      </c>
      <c r="AP428" t="s">
        <v>7845</v>
      </c>
      <c r="AQ428" t="s">
        <v>74</v>
      </c>
      <c r="AR428" t="s">
        <v>7832</v>
      </c>
      <c r="AS428" t="s">
        <v>7846</v>
      </c>
      <c r="AT428" t="s">
        <v>8519</v>
      </c>
      <c r="AU428">
        <v>2018</v>
      </c>
      <c r="AV428">
        <v>15</v>
      </c>
      <c r="AW428">
        <v>15</v>
      </c>
      <c r="AX428" t="s">
        <v>74</v>
      </c>
      <c r="AY428" t="s">
        <v>74</v>
      </c>
      <c r="AZ428" t="s">
        <v>74</v>
      </c>
      <c r="BA428" t="s">
        <v>74</v>
      </c>
      <c r="BB428">
        <v>4781</v>
      </c>
      <c r="BC428">
        <v>4798</v>
      </c>
      <c r="BD428" t="s">
        <v>74</v>
      </c>
      <c r="BE428" t="s">
        <v>8613</v>
      </c>
      <c r="BF428" t="str">
        <f>HYPERLINK("http://dx.doi.org/10.5194/bg-15-4781-2018","http://dx.doi.org/10.5194/bg-15-4781-2018")</f>
        <v>http://dx.doi.org/10.5194/bg-15-4781-2018</v>
      </c>
      <c r="BG428" t="s">
        <v>74</v>
      </c>
      <c r="BH428" t="s">
        <v>74</v>
      </c>
      <c r="BI428">
        <v>18</v>
      </c>
      <c r="BJ428" t="s">
        <v>7849</v>
      </c>
      <c r="BK428" t="s">
        <v>101</v>
      </c>
      <c r="BL428" t="s">
        <v>5223</v>
      </c>
      <c r="BM428" t="s">
        <v>8614</v>
      </c>
      <c r="BN428" t="s">
        <v>74</v>
      </c>
      <c r="BO428" t="s">
        <v>8615</v>
      </c>
      <c r="BP428" t="s">
        <v>74</v>
      </c>
      <c r="BQ428" t="s">
        <v>74</v>
      </c>
      <c r="BR428" t="s">
        <v>104</v>
      </c>
      <c r="BS428" t="s">
        <v>8616</v>
      </c>
      <c r="BT428" t="str">
        <f>HYPERLINK("https%3A%2F%2Fwww.webofscience.com%2Fwos%2Fwoscc%2Ffull-record%2FWOS:000441391700001","View Full Record in Web of Science")</f>
        <v>View Full Record in Web of Science</v>
      </c>
    </row>
    <row r="429" spans="1:72" x14ac:dyDescent="0.15">
      <c r="A429" t="s">
        <v>72</v>
      </c>
      <c r="B429" t="s">
        <v>8617</v>
      </c>
      <c r="C429" t="s">
        <v>74</v>
      </c>
      <c r="D429" t="s">
        <v>74</v>
      </c>
      <c r="E429" t="s">
        <v>74</v>
      </c>
      <c r="F429" t="s">
        <v>8618</v>
      </c>
      <c r="G429" t="s">
        <v>74</v>
      </c>
      <c r="H429" t="s">
        <v>74</v>
      </c>
      <c r="I429" t="s">
        <v>8619</v>
      </c>
      <c r="J429" t="s">
        <v>4109</v>
      </c>
      <c r="K429" t="s">
        <v>74</v>
      </c>
      <c r="L429" t="s">
        <v>74</v>
      </c>
      <c r="M429" t="s">
        <v>78</v>
      </c>
      <c r="N429" t="s">
        <v>79</v>
      </c>
      <c r="O429" t="s">
        <v>74</v>
      </c>
      <c r="P429" t="s">
        <v>74</v>
      </c>
      <c r="Q429" t="s">
        <v>74</v>
      </c>
      <c r="R429" t="s">
        <v>74</v>
      </c>
      <c r="S429" t="s">
        <v>74</v>
      </c>
      <c r="T429" t="s">
        <v>74</v>
      </c>
      <c r="U429" t="s">
        <v>8620</v>
      </c>
      <c r="V429" t="s">
        <v>8621</v>
      </c>
      <c r="W429" t="s">
        <v>8622</v>
      </c>
      <c r="X429" t="s">
        <v>8623</v>
      </c>
      <c r="Y429" t="s">
        <v>8624</v>
      </c>
      <c r="Z429" t="s">
        <v>8625</v>
      </c>
      <c r="AA429" t="s">
        <v>8626</v>
      </c>
      <c r="AB429" t="s">
        <v>8627</v>
      </c>
      <c r="AC429" t="s">
        <v>8628</v>
      </c>
      <c r="AD429" t="s">
        <v>8629</v>
      </c>
      <c r="AE429" t="s">
        <v>8630</v>
      </c>
      <c r="AF429" t="s">
        <v>74</v>
      </c>
      <c r="AG429">
        <v>88</v>
      </c>
      <c r="AH429">
        <v>10</v>
      </c>
      <c r="AI429">
        <v>11</v>
      </c>
      <c r="AJ429">
        <v>0</v>
      </c>
      <c r="AK429">
        <v>12</v>
      </c>
      <c r="AL429" t="s">
        <v>1159</v>
      </c>
      <c r="AM429" t="s">
        <v>704</v>
      </c>
      <c r="AN429" t="s">
        <v>2728</v>
      </c>
      <c r="AO429" t="s">
        <v>4121</v>
      </c>
      <c r="AP429" t="s">
        <v>74</v>
      </c>
      <c r="AQ429" t="s">
        <v>74</v>
      </c>
      <c r="AR429" t="s">
        <v>4122</v>
      </c>
      <c r="AS429" t="s">
        <v>4123</v>
      </c>
      <c r="AT429" t="s">
        <v>8631</v>
      </c>
      <c r="AU429">
        <v>2018</v>
      </c>
      <c r="AV429">
        <v>8</v>
      </c>
      <c r="AW429" t="s">
        <v>74</v>
      </c>
      <c r="AX429" t="s">
        <v>74</v>
      </c>
      <c r="AY429" t="s">
        <v>74</v>
      </c>
      <c r="AZ429" t="s">
        <v>74</v>
      </c>
      <c r="BA429" t="s">
        <v>74</v>
      </c>
      <c r="BB429" t="s">
        <v>74</v>
      </c>
      <c r="BC429" t="s">
        <v>74</v>
      </c>
      <c r="BD429">
        <v>11983</v>
      </c>
      <c r="BE429" t="s">
        <v>8632</v>
      </c>
      <c r="BF429" t="str">
        <f>HYPERLINK("http://dx.doi.org/10.1038/s41598-018-30496-5","http://dx.doi.org/10.1038/s41598-018-30496-5")</f>
        <v>http://dx.doi.org/10.1038/s41598-018-30496-5</v>
      </c>
      <c r="BG429" t="s">
        <v>74</v>
      </c>
      <c r="BH429" t="s">
        <v>74</v>
      </c>
      <c r="BI429">
        <v>10</v>
      </c>
      <c r="BJ429" t="s">
        <v>436</v>
      </c>
      <c r="BK429" t="s">
        <v>101</v>
      </c>
      <c r="BL429" t="s">
        <v>437</v>
      </c>
      <c r="BM429" t="s">
        <v>8633</v>
      </c>
      <c r="BN429">
        <v>30097646</v>
      </c>
      <c r="BO429" t="s">
        <v>1278</v>
      </c>
      <c r="BP429" t="s">
        <v>74</v>
      </c>
      <c r="BQ429" t="s">
        <v>74</v>
      </c>
      <c r="BR429" t="s">
        <v>104</v>
      </c>
      <c r="BS429" t="s">
        <v>8634</v>
      </c>
      <c r="BT429" t="str">
        <f>HYPERLINK("https%3A%2F%2Fwww.webofscience.com%2Fwos%2Fwoscc%2Ffull-record%2FWOS:000441300700027","View Full Record in Web of Science")</f>
        <v>View Full Record in Web of Science</v>
      </c>
    </row>
    <row r="430" spans="1:72" x14ac:dyDescent="0.15">
      <c r="A430" t="s">
        <v>72</v>
      </c>
      <c r="B430" t="s">
        <v>8635</v>
      </c>
      <c r="C430" t="s">
        <v>74</v>
      </c>
      <c r="D430" t="s">
        <v>74</v>
      </c>
      <c r="E430" t="s">
        <v>74</v>
      </c>
      <c r="F430" t="s">
        <v>8636</v>
      </c>
      <c r="G430" t="s">
        <v>74</v>
      </c>
      <c r="H430" t="s">
        <v>74</v>
      </c>
      <c r="I430" t="s">
        <v>8637</v>
      </c>
      <c r="J430" t="s">
        <v>3341</v>
      </c>
      <c r="K430" t="s">
        <v>74</v>
      </c>
      <c r="L430" t="s">
        <v>74</v>
      </c>
      <c r="M430" t="s">
        <v>78</v>
      </c>
      <c r="N430" t="s">
        <v>79</v>
      </c>
      <c r="O430" t="s">
        <v>74</v>
      </c>
      <c r="P430" t="s">
        <v>74</v>
      </c>
      <c r="Q430" t="s">
        <v>74</v>
      </c>
      <c r="R430" t="s">
        <v>74</v>
      </c>
      <c r="S430" t="s">
        <v>74</v>
      </c>
      <c r="T430" t="s">
        <v>74</v>
      </c>
      <c r="U430" t="s">
        <v>8638</v>
      </c>
      <c r="V430" t="s">
        <v>8639</v>
      </c>
      <c r="W430" t="s">
        <v>8640</v>
      </c>
      <c r="X430" t="s">
        <v>8641</v>
      </c>
      <c r="Y430" t="s">
        <v>8642</v>
      </c>
      <c r="Z430" t="s">
        <v>8643</v>
      </c>
      <c r="AA430" t="s">
        <v>8644</v>
      </c>
      <c r="AB430" t="s">
        <v>8645</v>
      </c>
      <c r="AC430" t="s">
        <v>8646</v>
      </c>
      <c r="AD430" t="s">
        <v>8647</v>
      </c>
      <c r="AE430" t="s">
        <v>8648</v>
      </c>
      <c r="AF430" t="s">
        <v>74</v>
      </c>
      <c r="AG430">
        <v>84</v>
      </c>
      <c r="AH430">
        <v>126</v>
      </c>
      <c r="AI430">
        <v>126</v>
      </c>
      <c r="AJ430">
        <v>0</v>
      </c>
      <c r="AK430">
        <v>8</v>
      </c>
      <c r="AL430" t="s">
        <v>3353</v>
      </c>
      <c r="AM430" t="s">
        <v>3354</v>
      </c>
      <c r="AN430" t="s">
        <v>3355</v>
      </c>
      <c r="AO430" t="s">
        <v>3356</v>
      </c>
      <c r="AP430" t="s">
        <v>3357</v>
      </c>
      <c r="AQ430" t="s">
        <v>74</v>
      </c>
      <c r="AR430" t="s">
        <v>3358</v>
      </c>
      <c r="AS430" t="s">
        <v>3359</v>
      </c>
      <c r="AT430" t="s">
        <v>8631</v>
      </c>
      <c r="AU430">
        <v>2018</v>
      </c>
      <c r="AV430">
        <v>11</v>
      </c>
      <c r="AW430">
        <v>8</v>
      </c>
      <c r="AX430" t="s">
        <v>74</v>
      </c>
      <c r="AY430" t="s">
        <v>74</v>
      </c>
      <c r="AZ430" t="s">
        <v>74</v>
      </c>
      <c r="BA430" t="s">
        <v>74</v>
      </c>
      <c r="BB430">
        <v>3187</v>
      </c>
      <c r="BC430">
        <v>3213</v>
      </c>
      <c r="BD430" t="s">
        <v>74</v>
      </c>
      <c r="BE430" t="s">
        <v>8649</v>
      </c>
      <c r="BF430" t="str">
        <f>HYPERLINK("http://dx.doi.org/10.5194/gmd-11-3187-2018","http://dx.doi.org/10.5194/gmd-11-3187-2018")</f>
        <v>http://dx.doi.org/10.5194/gmd-11-3187-2018</v>
      </c>
      <c r="BG430" t="s">
        <v>74</v>
      </c>
      <c r="BH430" t="s">
        <v>74</v>
      </c>
      <c r="BI430">
        <v>27</v>
      </c>
      <c r="BJ430" t="s">
        <v>182</v>
      </c>
      <c r="BK430" t="s">
        <v>101</v>
      </c>
      <c r="BL430" t="s">
        <v>183</v>
      </c>
      <c r="BM430" t="s">
        <v>8650</v>
      </c>
      <c r="BN430" t="s">
        <v>74</v>
      </c>
      <c r="BO430" t="s">
        <v>8651</v>
      </c>
      <c r="BP430" t="s">
        <v>74</v>
      </c>
      <c r="BQ430" t="s">
        <v>74</v>
      </c>
      <c r="BR430" t="s">
        <v>104</v>
      </c>
      <c r="BS430" t="s">
        <v>8652</v>
      </c>
      <c r="BT430" t="str">
        <f>HYPERLINK("https%3A%2F%2Fwww.webofscience.com%2Fwos%2Fwoscc%2Ffull-record%2FWOS:000441298000002","View Full Record in Web of Science")</f>
        <v>View Full Record in Web of Science</v>
      </c>
    </row>
    <row r="431" spans="1:72" x14ac:dyDescent="0.15">
      <c r="A431" t="s">
        <v>72</v>
      </c>
      <c r="B431" t="s">
        <v>8653</v>
      </c>
      <c r="C431" t="s">
        <v>74</v>
      </c>
      <c r="D431" t="s">
        <v>74</v>
      </c>
      <c r="E431" t="s">
        <v>74</v>
      </c>
      <c r="F431" t="s">
        <v>8654</v>
      </c>
      <c r="G431" t="s">
        <v>74</v>
      </c>
      <c r="H431" t="s">
        <v>74</v>
      </c>
      <c r="I431" t="s">
        <v>8655</v>
      </c>
      <c r="J431" t="s">
        <v>3588</v>
      </c>
      <c r="K431" t="s">
        <v>74</v>
      </c>
      <c r="L431" t="s">
        <v>74</v>
      </c>
      <c r="M431" t="s">
        <v>78</v>
      </c>
      <c r="N431" t="s">
        <v>79</v>
      </c>
      <c r="O431" t="s">
        <v>74</v>
      </c>
      <c r="P431" t="s">
        <v>74</v>
      </c>
      <c r="Q431" t="s">
        <v>74</v>
      </c>
      <c r="R431" t="s">
        <v>74</v>
      </c>
      <c r="S431" t="s">
        <v>74</v>
      </c>
      <c r="T431" t="s">
        <v>74</v>
      </c>
      <c r="U431" t="s">
        <v>74</v>
      </c>
      <c r="V431" t="s">
        <v>8656</v>
      </c>
      <c r="W431" t="s">
        <v>8657</v>
      </c>
      <c r="X431" t="s">
        <v>8658</v>
      </c>
      <c r="Y431" t="s">
        <v>8659</v>
      </c>
      <c r="Z431" t="s">
        <v>8660</v>
      </c>
      <c r="AA431" t="s">
        <v>74</v>
      </c>
      <c r="AB431" t="s">
        <v>8661</v>
      </c>
      <c r="AC431" t="s">
        <v>8662</v>
      </c>
      <c r="AD431" t="s">
        <v>8663</v>
      </c>
      <c r="AE431" t="s">
        <v>8664</v>
      </c>
      <c r="AF431" t="s">
        <v>74</v>
      </c>
      <c r="AG431">
        <v>21</v>
      </c>
      <c r="AH431">
        <v>5</v>
      </c>
      <c r="AI431">
        <v>6</v>
      </c>
      <c r="AJ431">
        <v>0</v>
      </c>
      <c r="AK431">
        <v>2</v>
      </c>
      <c r="AL431" t="s">
        <v>3599</v>
      </c>
      <c r="AM431" t="s">
        <v>3600</v>
      </c>
      <c r="AN431" t="s">
        <v>3601</v>
      </c>
      <c r="AO431" t="s">
        <v>3602</v>
      </c>
      <c r="AP431" t="s">
        <v>74</v>
      </c>
      <c r="AQ431" t="s">
        <v>74</v>
      </c>
      <c r="AR431" t="s">
        <v>3588</v>
      </c>
      <c r="AS431" t="s">
        <v>3603</v>
      </c>
      <c r="AT431" t="s">
        <v>8631</v>
      </c>
      <c r="AU431">
        <v>2018</v>
      </c>
      <c r="AV431">
        <v>13</v>
      </c>
      <c r="AW431">
        <v>8</v>
      </c>
      <c r="AX431" t="s">
        <v>74</v>
      </c>
      <c r="AY431" t="s">
        <v>74</v>
      </c>
      <c r="AZ431" t="s">
        <v>74</v>
      </c>
      <c r="BA431" t="s">
        <v>74</v>
      </c>
      <c r="BB431" t="s">
        <v>74</v>
      </c>
      <c r="BC431" t="s">
        <v>74</v>
      </c>
      <c r="BD431" t="s">
        <v>8665</v>
      </c>
      <c r="BE431" t="s">
        <v>8666</v>
      </c>
      <c r="BF431" t="str">
        <f>HYPERLINK("http://dx.doi.org/10.1371/journal.pone.0202027","http://dx.doi.org/10.1371/journal.pone.0202027")</f>
        <v>http://dx.doi.org/10.1371/journal.pone.0202027</v>
      </c>
      <c r="BG431" t="s">
        <v>74</v>
      </c>
      <c r="BH431" t="s">
        <v>74</v>
      </c>
      <c r="BI431">
        <v>12</v>
      </c>
      <c r="BJ431" t="s">
        <v>436</v>
      </c>
      <c r="BK431" t="s">
        <v>101</v>
      </c>
      <c r="BL431" t="s">
        <v>437</v>
      </c>
      <c r="BM431" t="s">
        <v>8667</v>
      </c>
      <c r="BN431">
        <v>30096169</v>
      </c>
      <c r="BO431" t="s">
        <v>439</v>
      </c>
      <c r="BP431" t="s">
        <v>74</v>
      </c>
      <c r="BQ431" t="s">
        <v>74</v>
      </c>
      <c r="BR431" t="s">
        <v>104</v>
      </c>
      <c r="BS431" t="s">
        <v>8668</v>
      </c>
      <c r="BT431" t="str">
        <f>HYPERLINK("https%3A%2F%2Fwww.webofscience.com%2Fwos%2Fwoscc%2Ffull-record%2FWOS:000441308500040","View Full Record in Web of Science")</f>
        <v>View Full Record in Web of Science</v>
      </c>
    </row>
    <row r="432" spans="1:72" x14ac:dyDescent="0.15">
      <c r="A432" t="s">
        <v>72</v>
      </c>
      <c r="B432" t="s">
        <v>8669</v>
      </c>
      <c r="C432" t="s">
        <v>74</v>
      </c>
      <c r="D432" t="s">
        <v>74</v>
      </c>
      <c r="E432" t="s">
        <v>74</v>
      </c>
      <c r="F432" t="s">
        <v>8670</v>
      </c>
      <c r="G432" t="s">
        <v>74</v>
      </c>
      <c r="H432" t="s">
        <v>74</v>
      </c>
      <c r="I432" t="s">
        <v>8671</v>
      </c>
      <c r="J432" t="s">
        <v>4315</v>
      </c>
      <c r="K432" t="s">
        <v>74</v>
      </c>
      <c r="L432" t="s">
        <v>74</v>
      </c>
      <c r="M432" t="s">
        <v>78</v>
      </c>
      <c r="N432" t="s">
        <v>79</v>
      </c>
      <c r="O432" t="s">
        <v>74</v>
      </c>
      <c r="P432" t="s">
        <v>74</v>
      </c>
      <c r="Q432" t="s">
        <v>74</v>
      </c>
      <c r="R432" t="s">
        <v>74</v>
      </c>
      <c r="S432" t="s">
        <v>74</v>
      </c>
      <c r="T432" t="s">
        <v>8672</v>
      </c>
      <c r="U432" t="s">
        <v>8673</v>
      </c>
      <c r="V432" t="s">
        <v>8674</v>
      </c>
      <c r="W432" t="s">
        <v>8675</v>
      </c>
      <c r="X432" t="s">
        <v>8676</v>
      </c>
      <c r="Y432" t="s">
        <v>8677</v>
      </c>
      <c r="Z432" t="s">
        <v>8678</v>
      </c>
      <c r="AA432" t="s">
        <v>8679</v>
      </c>
      <c r="AB432" t="s">
        <v>8680</v>
      </c>
      <c r="AC432" t="s">
        <v>74</v>
      </c>
      <c r="AD432" t="s">
        <v>74</v>
      </c>
      <c r="AE432" t="s">
        <v>74</v>
      </c>
      <c r="AF432" t="s">
        <v>74</v>
      </c>
      <c r="AG432">
        <v>44</v>
      </c>
      <c r="AH432">
        <v>3</v>
      </c>
      <c r="AI432">
        <v>3</v>
      </c>
      <c r="AJ432">
        <v>0</v>
      </c>
      <c r="AK432">
        <v>4</v>
      </c>
      <c r="AL432" t="s">
        <v>4328</v>
      </c>
      <c r="AM432" t="s">
        <v>4329</v>
      </c>
      <c r="AN432" t="s">
        <v>4330</v>
      </c>
      <c r="AO432" t="s">
        <v>4331</v>
      </c>
      <c r="AP432" t="s">
        <v>4332</v>
      </c>
      <c r="AQ432" t="s">
        <v>74</v>
      </c>
      <c r="AR432" t="s">
        <v>4315</v>
      </c>
      <c r="AS432" t="s">
        <v>4333</v>
      </c>
      <c r="AT432" t="s">
        <v>8681</v>
      </c>
      <c r="AU432">
        <v>2018</v>
      </c>
      <c r="AV432">
        <v>4457</v>
      </c>
      <c r="AW432">
        <v>3</v>
      </c>
      <c r="AX432" t="s">
        <v>74</v>
      </c>
      <c r="AY432" t="s">
        <v>74</v>
      </c>
      <c r="AZ432" t="s">
        <v>74</v>
      </c>
      <c r="BA432" t="s">
        <v>74</v>
      </c>
      <c r="BB432">
        <v>397</v>
      </c>
      <c r="BC432">
        <v>414</v>
      </c>
      <c r="BD432" t="s">
        <v>74</v>
      </c>
      <c r="BE432" t="s">
        <v>8682</v>
      </c>
      <c r="BF432" t="str">
        <f>HYPERLINK("http://dx.doi.org/10.11646/zootaxa.4457.3.3","http://dx.doi.org/10.11646/zootaxa.4457.3.3")</f>
        <v>http://dx.doi.org/10.11646/zootaxa.4457.3.3</v>
      </c>
      <c r="BG432" t="s">
        <v>74</v>
      </c>
      <c r="BH432" t="s">
        <v>74</v>
      </c>
      <c r="BI432">
        <v>18</v>
      </c>
      <c r="BJ432" t="s">
        <v>2343</v>
      </c>
      <c r="BK432" t="s">
        <v>101</v>
      </c>
      <c r="BL432" t="s">
        <v>2343</v>
      </c>
      <c r="BM432" t="s">
        <v>8683</v>
      </c>
      <c r="BN432">
        <v>30314156</v>
      </c>
      <c r="BO432" t="s">
        <v>74</v>
      </c>
      <c r="BP432" t="s">
        <v>74</v>
      </c>
      <c r="BQ432" t="s">
        <v>74</v>
      </c>
      <c r="BR432" t="s">
        <v>104</v>
      </c>
      <c r="BS432" t="s">
        <v>8684</v>
      </c>
      <c r="BT432" t="str">
        <f>HYPERLINK("https%3A%2F%2Fwww.webofscience.com%2Fwos%2Fwoscc%2Ffull-record%2FWOS:000441336300003","View Full Record in Web of Science")</f>
        <v>View Full Record in Web of Science</v>
      </c>
    </row>
    <row r="433" spans="1:72" x14ac:dyDescent="0.15">
      <c r="A433" t="s">
        <v>72</v>
      </c>
      <c r="B433" t="s">
        <v>8685</v>
      </c>
      <c r="C433" t="s">
        <v>74</v>
      </c>
      <c r="D433" t="s">
        <v>74</v>
      </c>
      <c r="E433" t="s">
        <v>74</v>
      </c>
      <c r="F433" t="s">
        <v>8686</v>
      </c>
      <c r="G433" t="s">
        <v>74</v>
      </c>
      <c r="H433" t="s">
        <v>74</v>
      </c>
      <c r="I433" t="s">
        <v>8687</v>
      </c>
      <c r="J433" t="s">
        <v>3268</v>
      </c>
      <c r="K433" t="s">
        <v>74</v>
      </c>
      <c r="L433" t="s">
        <v>74</v>
      </c>
      <c r="M433" t="s">
        <v>78</v>
      </c>
      <c r="N433" t="s">
        <v>79</v>
      </c>
      <c r="O433" t="s">
        <v>74</v>
      </c>
      <c r="P433" t="s">
        <v>74</v>
      </c>
      <c r="Q433" t="s">
        <v>74</v>
      </c>
      <c r="R433" t="s">
        <v>74</v>
      </c>
      <c r="S433" t="s">
        <v>74</v>
      </c>
      <c r="T433" t="s">
        <v>74</v>
      </c>
      <c r="U433" t="s">
        <v>8688</v>
      </c>
      <c r="V433" t="s">
        <v>8689</v>
      </c>
      <c r="W433" t="s">
        <v>8690</v>
      </c>
      <c r="X433" t="s">
        <v>8691</v>
      </c>
      <c r="Y433" t="s">
        <v>8692</v>
      </c>
      <c r="Z433" t="s">
        <v>8693</v>
      </c>
      <c r="AA433" t="s">
        <v>8694</v>
      </c>
      <c r="AB433" t="s">
        <v>8695</v>
      </c>
      <c r="AC433" t="s">
        <v>8696</v>
      </c>
      <c r="AD433" t="s">
        <v>8696</v>
      </c>
      <c r="AE433" t="s">
        <v>8697</v>
      </c>
      <c r="AF433" t="s">
        <v>74</v>
      </c>
      <c r="AG433">
        <v>54</v>
      </c>
      <c r="AH433">
        <v>43</v>
      </c>
      <c r="AI433">
        <v>48</v>
      </c>
      <c r="AJ433">
        <v>2</v>
      </c>
      <c r="AK433">
        <v>11</v>
      </c>
      <c r="AL433" t="s">
        <v>1159</v>
      </c>
      <c r="AM433" t="s">
        <v>704</v>
      </c>
      <c r="AN433" t="s">
        <v>2728</v>
      </c>
      <c r="AO433" t="s">
        <v>3280</v>
      </c>
      <c r="AP433" t="s">
        <v>74</v>
      </c>
      <c r="AQ433" t="s">
        <v>74</v>
      </c>
      <c r="AR433" t="s">
        <v>3281</v>
      </c>
      <c r="AS433" t="s">
        <v>3282</v>
      </c>
      <c r="AT433" t="s">
        <v>8681</v>
      </c>
      <c r="AU433">
        <v>2018</v>
      </c>
      <c r="AV433">
        <v>9</v>
      </c>
      <c r="AW433" t="s">
        <v>74</v>
      </c>
      <c r="AX433" t="s">
        <v>74</v>
      </c>
      <c r="AY433" t="s">
        <v>74</v>
      </c>
      <c r="AZ433" t="s">
        <v>74</v>
      </c>
      <c r="BA433" t="s">
        <v>74</v>
      </c>
      <c r="BB433" t="s">
        <v>74</v>
      </c>
      <c r="BC433" t="s">
        <v>74</v>
      </c>
      <c r="BD433">
        <v>3189</v>
      </c>
      <c r="BE433" t="s">
        <v>8698</v>
      </c>
      <c r="BF433" t="str">
        <f>HYPERLINK("http://dx.doi.org/10.1038/s41467-018-05270-w","http://dx.doi.org/10.1038/s41467-018-05270-w")</f>
        <v>http://dx.doi.org/10.1038/s41467-018-05270-w</v>
      </c>
      <c r="BG433" t="s">
        <v>74</v>
      </c>
      <c r="BH433" t="s">
        <v>74</v>
      </c>
      <c r="BI433">
        <v>10</v>
      </c>
      <c r="BJ433" t="s">
        <v>436</v>
      </c>
      <c r="BK433" t="s">
        <v>101</v>
      </c>
      <c r="BL433" t="s">
        <v>437</v>
      </c>
      <c r="BM433" t="s">
        <v>8699</v>
      </c>
      <c r="BN433">
        <v>30093679</v>
      </c>
      <c r="BO433" t="s">
        <v>1063</v>
      </c>
      <c r="BP433" t="s">
        <v>74</v>
      </c>
      <c r="BQ433" t="s">
        <v>74</v>
      </c>
      <c r="BR433" t="s">
        <v>104</v>
      </c>
      <c r="BS433" t="s">
        <v>8700</v>
      </c>
      <c r="BT433" t="str">
        <f>HYPERLINK("https%3A%2F%2Fwww.webofscience.com%2Fwos%2Fwoscc%2Ffull-record%2FWOS:000441157600024","View Full Record in Web of Science")</f>
        <v>View Full Record in Web of Science</v>
      </c>
    </row>
    <row r="434" spans="1:72" x14ac:dyDescent="0.15">
      <c r="A434" t="s">
        <v>72</v>
      </c>
      <c r="B434" t="s">
        <v>8701</v>
      </c>
      <c r="C434" t="s">
        <v>74</v>
      </c>
      <c r="D434" t="s">
        <v>74</v>
      </c>
      <c r="E434" t="s">
        <v>74</v>
      </c>
      <c r="F434" t="s">
        <v>8702</v>
      </c>
      <c r="G434" t="s">
        <v>74</v>
      </c>
      <c r="H434" t="s">
        <v>74</v>
      </c>
      <c r="I434" t="s">
        <v>8703</v>
      </c>
      <c r="J434" t="s">
        <v>3268</v>
      </c>
      <c r="K434" t="s">
        <v>74</v>
      </c>
      <c r="L434" t="s">
        <v>74</v>
      </c>
      <c r="M434" t="s">
        <v>78</v>
      </c>
      <c r="N434" t="s">
        <v>79</v>
      </c>
      <c r="O434" t="s">
        <v>74</v>
      </c>
      <c r="P434" t="s">
        <v>74</v>
      </c>
      <c r="Q434" t="s">
        <v>74</v>
      </c>
      <c r="R434" t="s">
        <v>74</v>
      </c>
      <c r="S434" t="s">
        <v>74</v>
      </c>
      <c r="T434" t="s">
        <v>74</v>
      </c>
      <c r="U434" t="s">
        <v>8704</v>
      </c>
      <c r="V434" t="s">
        <v>8705</v>
      </c>
      <c r="W434" t="s">
        <v>8706</v>
      </c>
      <c r="X434" t="s">
        <v>8707</v>
      </c>
      <c r="Y434" t="s">
        <v>8708</v>
      </c>
      <c r="Z434" t="s">
        <v>8709</v>
      </c>
      <c r="AA434" t="s">
        <v>8710</v>
      </c>
      <c r="AB434" t="s">
        <v>8711</v>
      </c>
      <c r="AC434" t="s">
        <v>8712</v>
      </c>
      <c r="AD434" t="s">
        <v>8713</v>
      </c>
      <c r="AE434" t="s">
        <v>8714</v>
      </c>
      <c r="AF434" t="s">
        <v>74</v>
      </c>
      <c r="AG434">
        <v>76</v>
      </c>
      <c r="AH434">
        <v>37</v>
      </c>
      <c r="AI434">
        <v>42</v>
      </c>
      <c r="AJ434">
        <v>1</v>
      </c>
      <c r="AK434">
        <v>6</v>
      </c>
      <c r="AL434" t="s">
        <v>1159</v>
      </c>
      <c r="AM434" t="s">
        <v>704</v>
      </c>
      <c r="AN434" t="s">
        <v>2728</v>
      </c>
      <c r="AO434" t="s">
        <v>3280</v>
      </c>
      <c r="AP434" t="s">
        <v>74</v>
      </c>
      <c r="AQ434" t="s">
        <v>74</v>
      </c>
      <c r="AR434" t="s">
        <v>3281</v>
      </c>
      <c r="AS434" t="s">
        <v>3282</v>
      </c>
      <c r="AT434" t="s">
        <v>8681</v>
      </c>
      <c r="AU434">
        <v>2018</v>
      </c>
      <c r="AV434">
        <v>9</v>
      </c>
      <c r="AW434" t="s">
        <v>74</v>
      </c>
      <c r="AX434" t="s">
        <v>74</v>
      </c>
      <c r="AY434" t="s">
        <v>74</v>
      </c>
      <c r="AZ434" t="s">
        <v>74</v>
      </c>
      <c r="BA434" t="s">
        <v>74</v>
      </c>
      <c r="BB434" t="s">
        <v>74</v>
      </c>
      <c r="BC434" t="s">
        <v>74</v>
      </c>
      <c r="BD434">
        <v>3176</v>
      </c>
      <c r="BE434" t="s">
        <v>8715</v>
      </c>
      <c r="BF434" t="str">
        <f>HYPERLINK("http://dx.doi.org/10.1038/s41467-018-05625-3","http://dx.doi.org/10.1038/s41467-018-05625-3")</f>
        <v>http://dx.doi.org/10.1038/s41467-018-05625-3</v>
      </c>
      <c r="BG434" t="s">
        <v>74</v>
      </c>
      <c r="BH434" t="s">
        <v>74</v>
      </c>
      <c r="BI434">
        <v>12</v>
      </c>
      <c r="BJ434" t="s">
        <v>436</v>
      </c>
      <c r="BK434" t="s">
        <v>101</v>
      </c>
      <c r="BL434" t="s">
        <v>437</v>
      </c>
      <c r="BM434" t="s">
        <v>8699</v>
      </c>
      <c r="BN434">
        <v>30093609</v>
      </c>
      <c r="BO434" t="s">
        <v>439</v>
      </c>
      <c r="BP434" t="s">
        <v>74</v>
      </c>
      <c r="BQ434" t="s">
        <v>74</v>
      </c>
      <c r="BR434" t="s">
        <v>104</v>
      </c>
      <c r="BS434" t="s">
        <v>8716</v>
      </c>
      <c r="BT434" t="str">
        <f>HYPERLINK("https%3A%2F%2Fwww.webofscience.com%2Fwos%2Fwoscc%2Ffull-record%2FWOS:000441157600011","View Full Record in Web of Science")</f>
        <v>View Full Record in Web of Science</v>
      </c>
    </row>
    <row r="435" spans="1:72" x14ac:dyDescent="0.15">
      <c r="A435" t="s">
        <v>72</v>
      </c>
      <c r="B435" t="s">
        <v>8717</v>
      </c>
      <c r="C435" t="s">
        <v>74</v>
      </c>
      <c r="D435" t="s">
        <v>74</v>
      </c>
      <c r="E435" t="s">
        <v>74</v>
      </c>
      <c r="F435" t="s">
        <v>8718</v>
      </c>
      <c r="G435" t="s">
        <v>74</v>
      </c>
      <c r="H435" t="s">
        <v>74</v>
      </c>
      <c r="I435" t="s">
        <v>8719</v>
      </c>
      <c r="J435" t="s">
        <v>3628</v>
      </c>
      <c r="K435" t="s">
        <v>74</v>
      </c>
      <c r="L435" t="s">
        <v>74</v>
      </c>
      <c r="M435" t="s">
        <v>78</v>
      </c>
      <c r="N435" t="s">
        <v>79</v>
      </c>
      <c r="O435" t="s">
        <v>74</v>
      </c>
      <c r="P435" t="s">
        <v>74</v>
      </c>
      <c r="Q435" t="s">
        <v>74</v>
      </c>
      <c r="R435" t="s">
        <v>74</v>
      </c>
      <c r="S435" t="s">
        <v>74</v>
      </c>
      <c r="T435" t="s">
        <v>8720</v>
      </c>
      <c r="U435" t="s">
        <v>8721</v>
      </c>
      <c r="V435" t="s">
        <v>8722</v>
      </c>
      <c r="W435" t="s">
        <v>8723</v>
      </c>
      <c r="X435" t="s">
        <v>8724</v>
      </c>
      <c r="Y435" t="s">
        <v>8725</v>
      </c>
      <c r="Z435" t="s">
        <v>8726</v>
      </c>
      <c r="AA435" t="s">
        <v>8727</v>
      </c>
      <c r="AB435" t="s">
        <v>8728</v>
      </c>
      <c r="AC435" t="s">
        <v>8729</v>
      </c>
      <c r="AD435" t="s">
        <v>8730</v>
      </c>
      <c r="AE435" t="s">
        <v>8731</v>
      </c>
      <c r="AF435" t="s">
        <v>74</v>
      </c>
      <c r="AG435">
        <v>80</v>
      </c>
      <c r="AH435">
        <v>7</v>
      </c>
      <c r="AI435">
        <v>7</v>
      </c>
      <c r="AJ435">
        <v>2</v>
      </c>
      <c r="AK435">
        <v>15</v>
      </c>
      <c r="AL435" t="s">
        <v>3641</v>
      </c>
      <c r="AM435" t="s">
        <v>3642</v>
      </c>
      <c r="AN435" t="s">
        <v>3643</v>
      </c>
      <c r="AO435" t="s">
        <v>3644</v>
      </c>
      <c r="AP435" t="s">
        <v>3645</v>
      </c>
      <c r="AQ435" t="s">
        <v>74</v>
      </c>
      <c r="AR435" t="s">
        <v>3646</v>
      </c>
      <c r="AS435" t="s">
        <v>3647</v>
      </c>
      <c r="AT435" t="s">
        <v>8681</v>
      </c>
      <c r="AU435">
        <v>2018</v>
      </c>
      <c r="AV435">
        <v>601</v>
      </c>
      <c r="AW435" t="s">
        <v>74</v>
      </c>
      <c r="AX435" t="s">
        <v>74</v>
      </c>
      <c r="AY435" t="s">
        <v>74</v>
      </c>
      <c r="AZ435" t="s">
        <v>74</v>
      </c>
      <c r="BA435" t="s">
        <v>74</v>
      </c>
      <c r="BB435">
        <v>77</v>
      </c>
      <c r="BC435">
        <v>95</v>
      </c>
      <c r="BD435" t="s">
        <v>74</v>
      </c>
      <c r="BE435" t="s">
        <v>8732</v>
      </c>
      <c r="BF435" t="str">
        <f>HYPERLINK("http://dx.doi.org/10.3354/meps12685","http://dx.doi.org/10.3354/meps12685")</f>
        <v>http://dx.doi.org/10.3354/meps12685</v>
      </c>
      <c r="BG435" t="s">
        <v>74</v>
      </c>
      <c r="BH435" t="s">
        <v>74</v>
      </c>
      <c r="BI435">
        <v>19</v>
      </c>
      <c r="BJ435" t="s">
        <v>3650</v>
      </c>
      <c r="BK435" t="s">
        <v>101</v>
      </c>
      <c r="BL435" t="s">
        <v>3651</v>
      </c>
      <c r="BM435" t="s">
        <v>8733</v>
      </c>
      <c r="BN435" t="s">
        <v>74</v>
      </c>
      <c r="BO435" t="s">
        <v>3043</v>
      </c>
      <c r="BP435" t="s">
        <v>74</v>
      </c>
      <c r="BQ435" t="s">
        <v>74</v>
      </c>
      <c r="BR435" t="s">
        <v>104</v>
      </c>
      <c r="BS435" t="s">
        <v>8734</v>
      </c>
      <c r="BT435" t="str">
        <f>HYPERLINK("https%3A%2F%2Fwww.webofscience.com%2Fwos%2Fwoscc%2Ffull-record%2FWOS:000441331000006","View Full Record in Web of Science")</f>
        <v>View Full Record in Web of Science</v>
      </c>
    </row>
    <row r="436" spans="1:72" x14ac:dyDescent="0.15">
      <c r="A436" t="s">
        <v>72</v>
      </c>
      <c r="B436" t="s">
        <v>8735</v>
      </c>
      <c r="C436" t="s">
        <v>74</v>
      </c>
      <c r="D436" t="s">
        <v>74</v>
      </c>
      <c r="E436" t="s">
        <v>74</v>
      </c>
      <c r="F436" t="s">
        <v>8736</v>
      </c>
      <c r="G436" t="s">
        <v>74</v>
      </c>
      <c r="H436" t="s">
        <v>74</v>
      </c>
      <c r="I436" t="s">
        <v>8737</v>
      </c>
      <c r="J436" t="s">
        <v>3628</v>
      </c>
      <c r="K436" t="s">
        <v>74</v>
      </c>
      <c r="L436" t="s">
        <v>74</v>
      </c>
      <c r="M436" t="s">
        <v>78</v>
      </c>
      <c r="N436" t="s">
        <v>79</v>
      </c>
      <c r="O436" t="s">
        <v>74</v>
      </c>
      <c r="P436" t="s">
        <v>74</v>
      </c>
      <c r="Q436" t="s">
        <v>74</v>
      </c>
      <c r="R436" t="s">
        <v>74</v>
      </c>
      <c r="S436" t="s">
        <v>74</v>
      </c>
      <c r="T436" t="s">
        <v>8738</v>
      </c>
      <c r="U436" t="s">
        <v>8739</v>
      </c>
      <c r="V436" t="s">
        <v>8740</v>
      </c>
      <c r="W436" t="s">
        <v>8741</v>
      </c>
      <c r="X436" t="s">
        <v>8742</v>
      </c>
      <c r="Y436" t="s">
        <v>8743</v>
      </c>
      <c r="Z436" t="s">
        <v>8744</v>
      </c>
      <c r="AA436" t="s">
        <v>74</v>
      </c>
      <c r="AB436" t="s">
        <v>8745</v>
      </c>
      <c r="AC436" t="s">
        <v>8746</v>
      </c>
      <c r="AD436" t="s">
        <v>8747</v>
      </c>
      <c r="AE436" t="s">
        <v>8748</v>
      </c>
      <c r="AF436" t="s">
        <v>74</v>
      </c>
      <c r="AG436">
        <v>82</v>
      </c>
      <c r="AH436">
        <v>36</v>
      </c>
      <c r="AI436">
        <v>37</v>
      </c>
      <c r="AJ436">
        <v>0</v>
      </c>
      <c r="AK436">
        <v>31</v>
      </c>
      <c r="AL436" t="s">
        <v>3641</v>
      </c>
      <c r="AM436" t="s">
        <v>3642</v>
      </c>
      <c r="AN436" t="s">
        <v>3643</v>
      </c>
      <c r="AO436" t="s">
        <v>3644</v>
      </c>
      <c r="AP436" t="s">
        <v>3645</v>
      </c>
      <c r="AQ436" t="s">
        <v>74</v>
      </c>
      <c r="AR436" t="s">
        <v>3646</v>
      </c>
      <c r="AS436" t="s">
        <v>3647</v>
      </c>
      <c r="AT436" t="s">
        <v>8681</v>
      </c>
      <c r="AU436">
        <v>2018</v>
      </c>
      <c r="AV436">
        <v>601</v>
      </c>
      <c r="AW436" t="s">
        <v>74</v>
      </c>
      <c r="AX436" t="s">
        <v>74</v>
      </c>
      <c r="AY436" t="s">
        <v>74</v>
      </c>
      <c r="AZ436" t="s">
        <v>74</v>
      </c>
      <c r="BA436" t="s">
        <v>74</v>
      </c>
      <c r="BB436">
        <v>239</v>
      </c>
      <c r="BC436">
        <v>251</v>
      </c>
      <c r="BD436" t="s">
        <v>74</v>
      </c>
      <c r="BE436" t="s">
        <v>8749</v>
      </c>
      <c r="BF436" t="str">
        <f>HYPERLINK("http://dx.doi.org/10.3354/meps12687","http://dx.doi.org/10.3354/meps12687")</f>
        <v>http://dx.doi.org/10.3354/meps12687</v>
      </c>
      <c r="BG436" t="s">
        <v>74</v>
      </c>
      <c r="BH436" t="s">
        <v>74</v>
      </c>
      <c r="BI436">
        <v>13</v>
      </c>
      <c r="BJ436" t="s">
        <v>3650</v>
      </c>
      <c r="BK436" t="s">
        <v>101</v>
      </c>
      <c r="BL436" t="s">
        <v>3651</v>
      </c>
      <c r="BM436" t="s">
        <v>8733</v>
      </c>
      <c r="BN436" t="s">
        <v>74</v>
      </c>
      <c r="BO436" t="s">
        <v>712</v>
      </c>
      <c r="BP436" t="s">
        <v>74</v>
      </c>
      <c r="BQ436" t="s">
        <v>74</v>
      </c>
      <c r="BR436" t="s">
        <v>104</v>
      </c>
      <c r="BS436" t="s">
        <v>8750</v>
      </c>
      <c r="BT436" t="str">
        <f>HYPERLINK("https%3A%2F%2Fwww.webofscience.com%2Fwos%2Fwoscc%2Ffull-record%2FWOS:000441331000017","View Full Record in Web of Science")</f>
        <v>View Full Record in Web of Science</v>
      </c>
    </row>
    <row r="437" spans="1:72" x14ac:dyDescent="0.15">
      <c r="A437" t="s">
        <v>72</v>
      </c>
      <c r="B437" t="s">
        <v>8751</v>
      </c>
      <c r="C437" t="s">
        <v>74</v>
      </c>
      <c r="D437" t="s">
        <v>74</v>
      </c>
      <c r="E437" t="s">
        <v>74</v>
      </c>
      <c r="F437" t="s">
        <v>8752</v>
      </c>
      <c r="G437" t="s">
        <v>74</v>
      </c>
      <c r="H437" t="s">
        <v>74</v>
      </c>
      <c r="I437" t="s">
        <v>8753</v>
      </c>
      <c r="J437" t="s">
        <v>3628</v>
      </c>
      <c r="K437" t="s">
        <v>74</v>
      </c>
      <c r="L437" t="s">
        <v>74</v>
      </c>
      <c r="M437" t="s">
        <v>78</v>
      </c>
      <c r="N437" t="s">
        <v>79</v>
      </c>
      <c r="O437" t="s">
        <v>74</v>
      </c>
      <c r="P437" t="s">
        <v>74</v>
      </c>
      <c r="Q437" t="s">
        <v>74</v>
      </c>
      <c r="R437" t="s">
        <v>74</v>
      </c>
      <c r="S437" t="s">
        <v>74</v>
      </c>
      <c r="T437" t="s">
        <v>8754</v>
      </c>
      <c r="U437" t="s">
        <v>8755</v>
      </c>
      <c r="V437" t="s">
        <v>8756</v>
      </c>
      <c r="W437" t="s">
        <v>8757</v>
      </c>
      <c r="X437" t="s">
        <v>8758</v>
      </c>
      <c r="Y437" t="s">
        <v>8759</v>
      </c>
      <c r="Z437" t="s">
        <v>8760</v>
      </c>
      <c r="AA437" t="s">
        <v>8761</v>
      </c>
      <c r="AB437" t="s">
        <v>8762</v>
      </c>
      <c r="AC437" t="s">
        <v>8763</v>
      </c>
      <c r="AD437" t="s">
        <v>8764</v>
      </c>
      <c r="AE437" t="s">
        <v>8765</v>
      </c>
      <c r="AF437" t="s">
        <v>74</v>
      </c>
      <c r="AG437">
        <v>122</v>
      </c>
      <c r="AH437">
        <v>4</v>
      </c>
      <c r="AI437">
        <v>4</v>
      </c>
      <c r="AJ437">
        <v>0</v>
      </c>
      <c r="AK437">
        <v>18</v>
      </c>
      <c r="AL437" t="s">
        <v>3641</v>
      </c>
      <c r="AM437" t="s">
        <v>3642</v>
      </c>
      <c r="AN437" t="s">
        <v>3643</v>
      </c>
      <c r="AO437" t="s">
        <v>3644</v>
      </c>
      <c r="AP437" t="s">
        <v>3645</v>
      </c>
      <c r="AQ437" t="s">
        <v>74</v>
      </c>
      <c r="AR437" t="s">
        <v>3646</v>
      </c>
      <c r="AS437" t="s">
        <v>3647</v>
      </c>
      <c r="AT437" t="s">
        <v>8681</v>
      </c>
      <c r="AU437">
        <v>2018</v>
      </c>
      <c r="AV437">
        <v>601</v>
      </c>
      <c r="AW437" t="s">
        <v>74</v>
      </c>
      <c r="AX437" t="s">
        <v>74</v>
      </c>
      <c r="AY437" t="s">
        <v>74</v>
      </c>
      <c r="AZ437" t="s">
        <v>74</v>
      </c>
      <c r="BA437" t="s">
        <v>74</v>
      </c>
      <c r="BB437">
        <v>153</v>
      </c>
      <c r="BC437">
        <v>166</v>
      </c>
      <c r="BD437" t="s">
        <v>74</v>
      </c>
      <c r="BE437" t="s">
        <v>8766</v>
      </c>
      <c r="BF437" t="str">
        <f>HYPERLINK("http://dx.doi.org/10.3354/meps12648","http://dx.doi.org/10.3354/meps12648")</f>
        <v>http://dx.doi.org/10.3354/meps12648</v>
      </c>
      <c r="BG437" t="s">
        <v>74</v>
      </c>
      <c r="BH437" t="s">
        <v>74</v>
      </c>
      <c r="BI437">
        <v>14</v>
      </c>
      <c r="BJ437" t="s">
        <v>3650</v>
      </c>
      <c r="BK437" t="s">
        <v>101</v>
      </c>
      <c r="BL437" t="s">
        <v>3651</v>
      </c>
      <c r="BM437" t="s">
        <v>8733</v>
      </c>
      <c r="BN437" t="s">
        <v>74</v>
      </c>
      <c r="BO437" t="s">
        <v>835</v>
      </c>
      <c r="BP437" t="s">
        <v>74</v>
      </c>
      <c r="BQ437" t="s">
        <v>74</v>
      </c>
      <c r="BR437" t="s">
        <v>104</v>
      </c>
      <c r="BS437" t="s">
        <v>8767</v>
      </c>
      <c r="BT437" t="str">
        <f>HYPERLINK("https%3A%2F%2Fwww.webofscience.com%2Fwos%2Fwoscc%2Ffull-record%2FWOS:000441331000011","View Full Record in Web of Science")</f>
        <v>View Full Record in Web of Science</v>
      </c>
    </row>
    <row r="438" spans="1:72" x14ac:dyDescent="0.15">
      <c r="A438" t="s">
        <v>72</v>
      </c>
      <c r="B438" t="s">
        <v>8768</v>
      </c>
      <c r="C438" t="s">
        <v>74</v>
      </c>
      <c r="D438" t="s">
        <v>74</v>
      </c>
      <c r="E438" t="s">
        <v>74</v>
      </c>
      <c r="F438" t="s">
        <v>8769</v>
      </c>
      <c r="G438" t="s">
        <v>74</v>
      </c>
      <c r="H438" t="s">
        <v>74</v>
      </c>
      <c r="I438" t="s">
        <v>8770</v>
      </c>
      <c r="J438" t="s">
        <v>4219</v>
      </c>
      <c r="K438" t="s">
        <v>74</v>
      </c>
      <c r="L438" t="s">
        <v>74</v>
      </c>
      <c r="M438" t="s">
        <v>78</v>
      </c>
      <c r="N438" t="s">
        <v>79</v>
      </c>
      <c r="O438" t="s">
        <v>74</v>
      </c>
      <c r="P438" t="s">
        <v>74</v>
      </c>
      <c r="Q438" t="s">
        <v>74</v>
      </c>
      <c r="R438" t="s">
        <v>74</v>
      </c>
      <c r="S438" t="s">
        <v>74</v>
      </c>
      <c r="T438" t="s">
        <v>8771</v>
      </c>
      <c r="U438" t="s">
        <v>8772</v>
      </c>
      <c r="V438" t="s">
        <v>8773</v>
      </c>
      <c r="W438" t="s">
        <v>8774</v>
      </c>
      <c r="X438" t="s">
        <v>8775</v>
      </c>
      <c r="Y438" t="s">
        <v>8776</v>
      </c>
      <c r="Z438" t="s">
        <v>8777</v>
      </c>
      <c r="AA438" t="s">
        <v>8778</v>
      </c>
      <c r="AB438" t="s">
        <v>8779</v>
      </c>
      <c r="AC438" t="s">
        <v>8780</v>
      </c>
      <c r="AD438" t="s">
        <v>8781</v>
      </c>
      <c r="AE438" t="s">
        <v>8782</v>
      </c>
      <c r="AF438" t="s">
        <v>74</v>
      </c>
      <c r="AG438">
        <v>57</v>
      </c>
      <c r="AH438">
        <v>11</v>
      </c>
      <c r="AI438">
        <v>11</v>
      </c>
      <c r="AJ438">
        <v>6</v>
      </c>
      <c r="AK438">
        <v>44</v>
      </c>
      <c r="AL438" t="s">
        <v>4232</v>
      </c>
      <c r="AM438" t="s">
        <v>704</v>
      </c>
      <c r="AN438" t="s">
        <v>4233</v>
      </c>
      <c r="AO438" t="s">
        <v>4234</v>
      </c>
      <c r="AP438" t="s">
        <v>74</v>
      </c>
      <c r="AQ438" t="s">
        <v>74</v>
      </c>
      <c r="AR438" t="s">
        <v>4219</v>
      </c>
      <c r="AS438" t="s">
        <v>4235</v>
      </c>
      <c r="AT438" t="s">
        <v>8783</v>
      </c>
      <c r="AU438">
        <v>2018</v>
      </c>
      <c r="AV438">
        <v>6</v>
      </c>
      <c r="AW438" t="s">
        <v>74</v>
      </c>
      <c r="AX438" t="s">
        <v>74</v>
      </c>
      <c r="AY438" t="s">
        <v>74</v>
      </c>
      <c r="AZ438" t="s">
        <v>74</v>
      </c>
      <c r="BA438" t="s">
        <v>74</v>
      </c>
      <c r="BB438" t="s">
        <v>74</v>
      </c>
      <c r="BC438" t="s">
        <v>74</v>
      </c>
      <c r="BD438" t="s">
        <v>8784</v>
      </c>
      <c r="BE438" t="s">
        <v>8785</v>
      </c>
      <c r="BF438" t="str">
        <f>HYPERLINK("http://dx.doi.org/10.7717/peerj.5306","http://dx.doi.org/10.7717/peerj.5306")</f>
        <v>http://dx.doi.org/10.7717/peerj.5306</v>
      </c>
      <c r="BG438" t="s">
        <v>74</v>
      </c>
      <c r="BH438" t="s">
        <v>74</v>
      </c>
      <c r="BI438">
        <v>20</v>
      </c>
      <c r="BJ438" t="s">
        <v>436</v>
      </c>
      <c r="BK438" t="s">
        <v>101</v>
      </c>
      <c r="BL438" t="s">
        <v>437</v>
      </c>
      <c r="BM438" t="s">
        <v>8786</v>
      </c>
      <c r="BN438">
        <v>30123694</v>
      </c>
      <c r="BO438" t="s">
        <v>8787</v>
      </c>
      <c r="BP438" t="s">
        <v>74</v>
      </c>
      <c r="BQ438" t="s">
        <v>74</v>
      </c>
      <c r="BR438" t="s">
        <v>104</v>
      </c>
      <c r="BS438" t="s">
        <v>8788</v>
      </c>
      <c r="BT438" t="str">
        <f>HYPERLINK("https%3A%2F%2Fwww.webofscience.com%2Fwos%2Fwoscc%2Ffull-record%2FWOS:000441110900003","View Full Record in Web of Science")</f>
        <v>View Full Record in Web of Science</v>
      </c>
    </row>
    <row r="439" spans="1:72" x14ac:dyDescent="0.15">
      <c r="A439" t="s">
        <v>72</v>
      </c>
      <c r="B439" t="s">
        <v>8789</v>
      </c>
      <c r="C439" t="s">
        <v>74</v>
      </c>
      <c r="D439" t="s">
        <v>74</v>
      </c>
      <c r="E439" t="s">
        <v>74</v>
      </c>
      <c r="F439" t="s">
        <v>8790</v>
      </c>
      <c r="G439" t="s">
        <v>74</v>
      </c>
      <c r="H439" t="s">
        <v>74</v>
      </c>
      <c r="I439" t="s">
        <v>8791</v>
      </c>
      <c r="J439" t="s">
        <v>8792</v>
      </c>
      <c r="K439" t="s">
        <v>74</v>
      </c>
      <c r="L439" t="s">
        <v>74</v>
      </c>
      <c r="M439" t="s">
        <v>78</v>
      </c>
      <c r="N439" t="s">
        <v>79</v>
      </c>
      <c r="O439" t="s">
        <v>74</v>
      </c>
      <c r="P439" t="s">
        <v>74</v>
      </c>
      <c r="Q439" t="s">
        <v>74</v>
      </c>
      <c r="R439" t="s">
        <v>74</v>
      </c>
      <c r="S439" t="s">
        <v>74</v>
      </c>
      <c r="T439" t="s">
        <v>74</v>
      </c>
      <c r="U439" t="s">
        <v>8793</v>
      </c>
      <c r="V439" t="s">
        <v>8794</v>
      </c>
      <c r="W439" t="s">
        <v>8795</v>
      </c>
      <c r="X439" t="s">
        <v>8796</v>
      </c>
      <c r="Y439" t="s">
        <v>8797</v>
      </c>
      <c r="Z439" t="s">
        <v>8798</v>
      </c>
      <c r="AA439" t="s">
        <v>8799</v>
      </c>
      <c r="AB439" t="s">
        <v>8800</v>
      </c>
      <c r="AC439" t="s">
        <v>8801</v>
      </c>
      <c r="AD439" t="s">
        <v>8802</v>
      </c>
      <c r="AE439" t="s">
        <v>8803</v>
      </c>
      <c r="AF439" t="s">
        <v>74</v>
      </c>
      <c r="AG439">
        <v>85</v>
      </c>
      <c r="AH439">
        <v>5</v>
      </c>
      <c r="AI439">
        <v>8</v>
      </c>
      <c r="AJ439">
        <v>1</v>
      </c>
      <c r="AK439">
        <v>14</v>
      </c>
      <c r="AL439" t="s">
        <v>8804</v>
      </c>
      <c r="AM439" t="s">
        <v>8805</v>
      </c>
      <c r="AN439" t="s">
        <v>8806</v>
      </c>
      <c r="AO439" t="s">
        <v>8807</v>
      </c>
      <c r="AP439" t="s">
        <v>8808</v>
      </c>
      <c r="AQ439" t="s">
        <v>74</v>
      </c>
      <c r="AR439" t="s">
        <v>8809</v>
      </c>
      <c r="AS439" t="s">
        <v>8810</v>
      </c>
      <c r="AT439" t="s">
        <v>8811</v>
      </c>
      <c r="AU439">
        <v>2018</v>
      </c>
      <c r="AV439">
        <v>88</v>
      </c>
      <c r="AW439">
        <v>8</v>
      </c>
      <c r="AX439" t="s">
        <v>74</v>
      </c>
      <c r="AY439" t="s">
        <v>74</v>
      </c>
      <c r="AZ439" t="s">
        <v>74</v>
      </c>
      <c r="BA439" t="s">
        <v>74</v>
      </c>
      <c r="BB439">
        <v>898</v>
      </c>
      <c r="BC439">
        <v>916</v>
      </c>
      <c r="BD439" t="s">
        <v>74</v>
      </c>
      <c r="BE439" t="s">
        <v>8812</v>
      </c>
      <c r="BF439" t="str">
        <f>HYPERLINK("http://dx.doi.org/10.2110/jsr.2018.48","http://dx.doi.org/10.2110/jsr.2018.48")</f>
        <v>http://dx.doi.org/10.2110/jsr.2018.48</v>
      </c>
      <c r="BG439" t="s">
        <v>74</v>
      </c>
      <c r="BH439" t="s">
        <v>74</v>
      </c>
      <c r="BI439">
        <v>19</v>
      </c>
      <c r="BJ439" t="s">
        <v>183</v>
      </c>
      <c r="BK439" t="s">
        <v>101</v>
      </c>
      <c r="BL439" t="s">
        <v>183</v>
      </c>
      <c r="BM439" t="s">
        <v>8813</v>
      </c>
      <c r="BN439" t="s">
        <v>74</v>
      </c>
      <c r="BO439" t="s">
        <v>74</v>
      </c>
      <c r="BP439" t="s">
        <v>74</v>
      </c>
      <c r="BQ439" t="s">
        <v>74</v>
      </c>
      <c r="BR439" t="s">
        <v>104</v>
      </c>
      <c r="BS439" t="s">
        <v>8814</v>
      </c>
      <c r="BT439" t="str">
        <f>HYPERLINK("https%3A%2F%2Fwww.webofscience.com%2Fwos%2Fwoscc%2Ffull-record%2FWOS:000442084100002","View Full Record in Web of Science")</f>
        <v>View Full Record in Web of Science</v>
      </c>
    </row>
    <row r="440" spans="1:72" x14ac:dyDescent="0.15">
      <c r="A440" t="s">
        <v>72</v>
      </c>
      <c r="B440" t="s">
        <v>8815</v>
      </c>
      <c r="C440" t="s">
        <v>74</v>
      </c>
      <c r="D440" t="s">
        <v>74</v>
      </c>
      <c r="E440" t="s">
        <v>74</v>
      </c>
      <c r="F440" t="s">
        <v>8816</v>
      </c>
      <c r="G440" t="s">
        <v>74</v>
      </c>
      <c r="H440" t="s">
        <v>74</v>
      </c>
      <c r="I440" t="s">
        <v>8817</v>
      </c>
      <c r="J440" t="s">
        <v>3268</v>
      </c>
      <c r="K440" t="s">
        <v>74</v>
      </c>
      <c r="L440" t="s">
        <v>74</v>
      </c>
      <c r="M440" t="s">
        <v>78</v>
      </c>
      <c r="N440" t="s">
        <v>79</v>
      </c>
      <c r="O440" t="s">
        <v>74</v>
      </c>
      <c r="P440" t="s">
        <v>74</v>
      </c>
      <c r="Q440" t="s">
        <v>74</v>
      </c>
      <c r="R440" t="s">
        <v>74</v>
      </c>
      <c r="S440" t="s">
        <v>74</v>
      </c>
      <c r="T440" t="s">
        <v>74</v>
      </c>
      <c r="U440" t="s">
        <v>8818</v>
      </c>
      <c r="V440" t="s">
        <v>8819</v>
      </c>
      <c r="W440" t="s">
        <v>8820</v>
      </c>
      <c r="X440" t="s">
        <v>8821</v>
      </c>
      <c r="Y440" t="s">
        <v>8822</v>
      </c>
      <c r="Z440" t="s">
        <v>8823</v>
      </c>
      <c r="AA440" t="s">
        <v>8824</v>
      </c>
      <c r="AB440" t="s">
        <v>8825</v>
      </c>
      <c r="AC440" t="s">
        <v>8826</v>
      </c>
      <c r="AD440" t="s">
        <v>8827</v>
      </c>
      <c r="AE440" t="s">
        <v>8828</v>
      </c>
      <c r="AF440" t="s">
        <v>74</v>
      </c>
      <c r="AG440">
        <v>45</v>
      </c>
      <c r="AH440">
        <v>23</v>
      </c>
      <c r="AI440">
        <v>27</v>
      </c>
      <c r="AJ440">
        <v>0</v>
      </c>
      <c r="AK440">
        <v>12</v>
      </c>
      <c r="AL440" t="s">
        <v>1159</v>
      </c>
      <c r="AM440" t="s">
        <v>704</v>
      </c>
      <c r="AN440" t="s">
        <v>2728</v>
      </c>
      <c r="AO440" t="s">
        <v>3280</v>
      </c>
      <c r="AP440" t="s">
        <v>74</v>
      </c>
      <c r="AQ440" t="s">
        <v>74</v>
      </c>
      <c r="AR440" t="s">
        <v>3281</v>
      </c>
      <c r="AS440" t="s">
        <v>3282</v>
      </c>
      <c r="AT440" t="s">
        <v>8811</v>
      </c>
      <c r="AU440">
        <v>2018</v>
      </c>
      <c r="AV440">
        <v>9</v>
      </c>
      <c r="AW440" t="s">
        <v>74</v>
      </c>
      <c r="AX440" t="s">
        <v>74</v>
      </c>
      <c r="AY440" t="s">
        <v>74</v>
      </c>
      <c r="AZ440" t="s">
        <v>74</v>
      </c>
      <c r="BA440" t="s">
        <v>74</v>
      </c>
      <c r="BB440" t="s">
        <v>74</v>
      </c>
      <c r="BC440" t="s">
        <v>74</v>
      </c>
      <c r="BD440">
        <v>3141</v>
      </c>
      <c r="BE440" t="s">
        <v>8829</v>
      </c>
      <c r="BF440" t="str">
        <f>HYPERLINK("http://dx.doi.org/10.1038/s41467-018-05618-2","http://dx.doi.org/10.1038/s41467-018-05618-2")</f>
        <v>http://dx.doi.org/10.1038/s41467-018-05618-2</v>
      </c>
      <c r="BG440" t="s">
        <v>74</v>
      </c>
      <c r="BH440" t="s">
        <v>74</v>
      </c>
      <c r="BI440">
        <v>8</v>
      </c>
      <c r="BJ440" t="s">
        <v>436</v>
      </c>
      <c r="BK440" t="s">
        <v>101</v>
      </c>
      <c r="BL440" t="s">
        <v>437</v>
      </c>
      <c r="BM440" t="s">
        <v>8830</v>
      </c>
      <c r="BN440">
        <v>30087352</v>
      </c>
      <c r="BO440" t="s">
        <v>1502</v>
      </c>
      <c r="BP440" t="s">
        <v>74</v>
      </c>
      <c r="BQ440" t="s">
        <v>74</v>
      </c>
      <c r="BR440" t="s">
        <v>104</v>
      </c>
      <c r="BS440" t="s">
        <v>8831</v>
      </c>
      <c r="BT440" t="str">
        <f>HYPERLINK("https%3A%2F%2Fwww.webofscience.com%2Fwos%2Fwoscc%2Ffull-record%2FWOS:000440981600018","View Full Record in Web of Science")</f>
        <v>View Full Record in Web of Science</v>
      </c>
    </row>
    <row r="441" spans="1:72" x14ac:dyDescent="0.15">
      <c r="A441" t="s">
        <v>72</v>
      </c>
      <c r="B441" t="s">
        <v>8832</v>
      </c>
      <c r="C441" t="s">
        <v>74</v>
      </c>
      <c r="D441" t="s">
        <v>74</v>
      </c>
      <c r="E441" t="s">
        <v>74</v>
      </c>
      <c r="F441" t="s">
        <v>8833</v>
      </c>
      <c r="G441" t="s">
        <v>74</v>
      </c>
      <c r="H441" t="s">
        <v>74</v>
      </c>
      <c r="I441" t="s">
        <v>8834</v>
      </c>
      <c r="J441" t="s">
        <v>3268</v>
      </c>
      <c r="K441" t="s">
        <v>74</v>
      </c>
      <c r="L441" t="s">
        <v>74</v>
      </c>
      <c r="M441" t="s">
        <v>78</v>
      </c>
      <c r="N441" t="s">
        <v>79</v>
      </c>
      <c r="O441" t="s">
        <v>74</v>
      </c>
      <c r="P441" t="s">
        <v>74</v>
      </c>
      <c r="Q441" t="s">
        <v>74</v>
      </c>
      <c r="R441" t="s">
        <v>74</v>
      </c>
      <c r="S441" t="s">
        <v>74</v>
      </c>
      <c r="T441" t="s">
        <v>74</v>
      </c>
      <c r="U441" t="s">
        <v>8835</v>
      </c>
      <c r="V441" t="s">
        <v>8836</v>
      </c>
      <c r="W441" t="s">
        <v>8837</v>
      </c>
      <c r="X441" t="s">
        <v>8838</v>
      </c>
      <c r="Y441" t="s">
        <v>8839</v>
      </c>
      <c r="Z441" t="s">
        <v>8840</v>
      </c>
      <c r="AA441" t="s">
        <v>8841</v>
      </c>
      <c r="AB441" t="s">
        <v>8842</v>
      </c>
      <c r="AC441" t="s">
        <v>8843</v>
      </c>
      <c r="AD441" t="s">
        <v>8844</v>
      </c>
      <c r="AE441" t="s">
        <v>8845</v>
      </c>
      <c r="AF441" t="s">
        <v>74</v>
      </c>
      <c r="AG441">
        <v>28</v>
      </c>
      <c r="AH441">
        <v>28</v>
      </c>
      <c r="AI441">
        <v>31</v>
      </c>
      <c r="AJ441">
        <v>3</v>
      </c>
      <c r="AK441">
        <v>9</v>
      </c>
      <c r="AL441" t="s">
        <v>1159</v>
      </c>
      <c r="AM441" t="s">
        <v>704</v>
      </c>
      <c r="AN441" t="s">
        <v>2728</v>
      </c>
      <c r="AO441" t="s">
        <v>3280</v>
      </c>
      <c r="AP441" t="s">
        <v>74</v>
      </c>
      <c r="AQ441" t="s">
        <v>74</v>
      </c>
      <c r="AR441" t="s">
        <v>3281</v>
      </c>
      <c r="AS441" t="s">
        <v>3282</v>
      </c>
      <c r="AT441" t="s">
        <v>8811</v>
      </c>
      <c r="AU441">
        <v>2018</v>
      </c>
      <c r="AV441">
        <v>9</v>
      </c>
      <c r="AW441" t="s">
        <v>74</v>
      </c>
      <c r="AX441" t="s">
        <v>74</v>
      </c>
      <c r="AY441" t="s">
        <v>74</v>
      </c>
      <c r="AZ441" t="s">
        <v>74</v>
      </c>
      <c r="BA441" t="s">
        <v>74</v>
      </c>
      <c r="BB441" t="s">
        <v>74</v>
      </c>
      <c r="BC441" t="s">
        <v>74</v>
      </c>
      <c r="BD441">
        <v>3131</v>
      </c>
      <c r="BE441" t="s">
        <v>8846</v>
      </c>
      <c r="BF441" t="str">
        <f>HYPERLINK("http://dx.doi.org/10.1038/s41467-018-05431-x","http://dx.doi.org/10.1038/s41467-018-05431-x")</f>
        <v>http://dx.doi.org/10.1038/s41467-018-05431-x</v>
      </c>
      <c r="BG441" t="s">
        <v>74</v>
      </c>
      <c r="BH441" t="s">
        <v>74</v>
      </c>
      <c r="BI441">
        <v>6</v>
      </c>
      <c r="BJ441" t="s">
        <v>436</v>
      </c>
      <c r="BK441" t="s">
        <v>101</v>
      </c>
      <c r="BL441" t="s">
        <v>437</v>
      </c>
      <c r="BM441" t="s">
        <v>8830</v>
      </c>
      <c r="BN441">
        <v>30087326</v>
      </c>
      <c r="BO441" t="s">
        <v>1502</v>
      </c>
      <c r="BP441" t="s">
        <v>74</v>
      </c>
      <c r="BQ441" t="s">
        <v>74</v>
      </c>
      <c r="BR441" t="s">
        <v>104</v>
      </c>
      <c r="BS441" t="s">
        <v>8847</v>
      </c>
      <c r="BT441" t="str">
        <f>HYPERLINK("https%3A%2F%2Fwww.webofscience.com%2Fwos%2Fwoscc%2Ffull-record%2FWOS:000440981600008","View Full Record in Web of Science")</f>
        <v>View Full Record in Web of Science</v>
      </c>
    </row>
    <row r="442" spans="1:72" x14ac:dyDescent="0.15">
      <c r="A442" t="s">
        <v>72</v>
      </c>
      <c r="B442" t="s">
        <v>8848</v>
      </c>
      <c r="C442" t="s">
        <v>74</v>
      </c>
      <c r="D442" t="s">
        <v>74</v>
      </c>
      <c r="E442" t="s">
        <v>74</v>
      </c>
      <c r="F442" t="s">
        <v>8849</v>
      </c>
      <c r="G442" t="s">
        <v>74</v>
      </c>
      <c r="H442" t="s">
        <v>74</v>
      </c>
      <c r="I442" t="s">
        <v>8850</v>
      </c>
      <c r="J442" t="s">
        <v>3435</v>
      </c>
      <c r="K442" t="s">
        <v>74</v>
      </c>
      <c r="L442" t="s">
        <v>74</v>
      </c>
      <c r="M442" t="s">
        <v>78</v>
      </c>
      <c r="N442" t="s">
        <v>79</v>
      </c>
      <c r="O442" t="s">
        <v>74</v>
      </c>
      <c r="P442" t="s">
        <v>74</v>
      </c>
      <c r="Q442" t="s">
        <v>74</v>
      </c>
      <c r="R442" t="s">
        <v>74</v>
      </c>
      <c r="S442" t="s">
        <v>74</v>
      </c>
      <c r="T442" t="s">
        <v>8851</v>
      </c>
      <c r="U442" t="s">
        <v>8852</v>
      </c>
      <c r="V442" t="s">
        <v>8853</v>
      </c>
      <c r="W442" t="s">
        <v>8854</v>
      </c>
      <c r="X442" t="s">
        <v>8855</v>
      </c>
      <c r="Y442" t="s">
        <v>8856</v>
      </c>
      <c r="Z442" t="s">
        <v>8857</v>
      </c>
      <c r="AA442" t="s">
        <v>8858</v>
      </c>
      <c r="AB442" t="s">
        <v>8859</v>
      </c>
      <c r="AC442" t="s">
        <v>8860</v>
      </c>
      <c r="AD442" t="s">
        <v>8860</v>
      </c>
      <c r="AE442" t="s">
        <v>8861</v>
      </c>
      <c r="AF442" t="s">
        <v>74</v>
      </c>
      <c r="AG442">
        <v>26</v>
      </c>
      <c r="AH442">
        <v>32</v>
      </c>
      <c r="AI442">
        <v>32</v>
      </c>
      <c r="AJ442">
        <v>2</v>
      </c>
      <c r="AK442">
        <v>23</v>
      </c>
      <c r="AL442" t="s">
        <v>3174</v>
      </c>
      <c r="AM442" t="s">
        <v>3175</v>
      </c>
      <c r="AN442" t="s">
        <v>3176</v>
      </c>
      <c r="AO442" t="s">
        <v>74</v>
      </c>
      <c r="AP442" t="s">
        <v>3445</v>
      </c>
      <c r="AQ442" t="s">
        <v>74</v>
      </c>
      <c r="AR442" t="s">
        <v>3446</v>
      </c>
      <c r="AS442" t="s">
        <v>3447</v>
      </c>
      <c r="AT442" t="s">
        <v>8862</v>
      </c>
      <c r="AU442">
        <v>2018</v>
      </c>
      <c r="AV442">
        <v>5</v>
      </c>
      <c r="AW442" t="s">
        <v>74</v>
      </c>
      <c r="AX442" t="s">
        <v>74</v>
      </c>
      <c r="AY442" t="s">
        <v>74</v>
      </c>
      <c r="AZ442" t="s">
        <v>74</v>
      </c>
      <c r="BA442" t="s">
        <v>74</v>
      </c>
      <c r="BB442" t="s">
        <v>74</v>
      </c>
      <c r="BC442" t="s">
        <v>74</v>
      </c>
      <c r="BD442">
        <v>264</v>
      </c>
      <c r="BE442" t="s">
        <v>8863</v>
      </c>
      <c r="BF442" t="str">
        <f>HYPERLINK("http://dx.doi.org/10.3389/fmars.2018.00264","http://dx.doi.org/10.3389/fmars.2018.00264")</f>
        <v>http://dx.doi.org/10.3389/fmars.2018.00264</v>
      </c>
      <c r="BG442" t="s">
        <v>74</v>
      </c>
      <c r="BH442" t="s">
        <v>74</v>
      </c>
      <c r="BI442">
        <v>7</v>
      </c>
      <c r="BJ442" t="s">
        <v>3450</v>
      </c>
      <c r="BK442" t="s">
        <v>101</v>
      </c>
      <c r="BL442" t="s">
        <v>3451</v>
      </c>
      <c r="BM442" t="s">
        <v>8864</v>
      </c>
      <c r="BN442" t="s">
        <v>74</v>
      </c>
      <c r="BO442" t="s">
        <v>1566</v>
      </c>
      <c r="BP442" t="s">
        <v>74</v>
      </c>
      <c r="BQ442" t="s">
        <v>74</v>
      </c>
      <c r="BR442" t="s">
        <v>104</v>
      </c>
      <c r="BS442" t="s">
        <v>8865</v>
      </c>
      <c r="BT442" t="str">
        <f>HYPERLINK("https%3A%2F%2Fwww.webofscience.com%2Fwos%2Fwoscc%2Ffull-record%2FWOS:000457360900002","View Full Record in Web of Science")</f>
        <v>View Full Record in Web of Science</v>
      </c>
    </row>
    <row r="443" spans="1:72" x14ac:dyDescent="0.15">
      <c r="A443" t="s">
        <v>72</v>
      </c>
      <c r="B443" t="s">
        <v>8866</v>
      </c>
      <c r="C443" t="s">
        <v>74</v>
      </c>
      <c r="D443" t="s">
        <v>74</v>
      </c>
      <c r="E443" t="s">
        <v>74</v>
      </c>
      <c r="F443" t="s">
        <v>8867</v>
      </c>
      <c r="G443" t="s">
        <v>74</v>
      </c>
      <c r="H443" t="s">
        <v>74</v>
      </c>
      <c r="I443" t="s">
        <v>8868</v>
      </c>
      <c r="J443" t="s">
        <v>8869</v>
      </c>
      <c r="K443" t="s">
        <v>74</v>
      </c>
      <c r="L443" t="s">
        <v>74</v>
      </c>
      <c r="M443" t="s">
        <v>78</v>
      </c>
      <c r="N443" t="s">
        <v>79</v>
      </c>
      <c r="O443" t="s">
        <v>74</v>
      </c>
      <c r="P443" t="s">
        <v>74</v>
      </c>
      <c r="Q443" t="s">
        <v>74</v>
      </c>
      <c r="R443" t="s">
        <v>74</v>
      </c>
      <c r="S443" t="s">
        <v>74</v>
      </c>
      <c r="T443" t="s">
        <v>8870</v>
      </c>
      <c r="U443" t="s">
        <v>8871</v>
      </c>
      <c r="V443" t="s">
        <v>8872</v>
      </c>
      <c r="W443" t="s">
        <v>8873</v>
      </c>
      <c r="X443" t="s">
        <v>8874</v>
      </c>
      <c r="Y443" t="s">
        <v>8875</v>
      </c>
      <c r="Z443" t="s">
        <v>8876</v>
      </c>
      <c r="AA443" t="s">
        <v>8877</v>
      </c>
      <c r="AB443" t="s">
        <v>8878</v>
      </c>
      <c r="AC443" t="s">
        <v>8879</v>
      </c>
      <c r="AD443" t="s">
        <v>8880</v>
      </c>
      <c r="AE443" t="s">
        <v>8881</v>
      </c>
      <c r="AF443" t="s">
        <v>74</v>
      </c>
      <c r="AG443">
        <v>68</v>
      </c>
      <c r="AH443">
        <v>6</v>
      </c>
      <c r="AI443">
        <v>6</v>
      </c>
      <c r="AJ443">
        <v>0</v>
      </c>
      <c r="AK443">
        <v>11</v>
      </c>
      <c r="AL443" t="s">
        <v>3326</v>
      </c>
      <c r="AM443" t="s">
        <v>3327</v>
      </c>
      <c r="AN443" t="s">
        <v>3328</v>
      </c>
      <c r="AO443" t="s">
        <v>8882</v>
      </c>
      <c r="AP443" t="s">
        <v>74</v>
      </c>
      <c r="AQ443" t="s">
        <v>74</v>
      </c>
      <c r="AR443" t="s">
        <v>8883</v>
      </c>
      <c r="AS443" t="s">
        <v>8884</v>
      </c>
      <c r="AT443" t="s">
        <v>8862</v>
      </c>
      <c r="AU443">
        <v>2018</v>
      </c>
      <c r="AV443">
        <v>70</v>
      </c>
      <c r="AW443" t="s">
        <v>74</v>
      </c>
      <c r="AX443" t="s">
        <v>74</v>
      </c>
      <c r="AY443" t="s">
        <v>74</v>
      </c>
      <c r="AZ443" t="s">
        <v>74</v>
      </c>
      <c r="BA443" t="s">
        <v>74</v>
      </c>
      <c r="BB443" t="s">
        <v>74</v>
      </c>
      <c r="BC443" t="s">
        <v>74</v>
      </c>
      <c r="BD443">
        <v>1478594</v>
      </c>
      <c r="BE443" t="s">
        <v>8885</v>
      </c>
      <c r="BF443" t="str">
        <f>HYPERLINK("http://dx.doi.org/10.1080/16000889.2018.1478594","http://dx.doi.org/10.1080/16000889.2018.1478594")</f>
        <v>http://dx.doi.org/10.1080/16000889.2018.1478594</v>
      </c>
      <c r="BG443" t="s">
        <v>74</v>
      </c>
      <c r="BH443" t="s">
        <v>74</v>
      </c>
      <c r="BI443">
        <v>15</v>
      </c>
      <c r="BJ443" t="s">
        <v>369</v>
      </c>
      <c r="BK443" t="s">
        <v>101</v>
      </c>
      <c r="BL443" t="s">
        <v>369</v>
      </c>
      <c r="BM443" t="s">
        <v>8886</v>
      </c>
      <c r="BN443" t="s">
        <v>74</v>
      </c>
      <c r="BO443" t="s">
        <v>1584</v>
      </c>
      <c r="BP443" t="s">
        <v>74</v>
      </c>
      <c r="BQ443" t="s">
        <v>74</v>
      </c>
      <c r="BR443" t="s">
        <v>104</v>
      </c>
      <c r="BS443" t="s">
        <v>8887</v>
      </c>
      <c r="BT443" t="str">
        <f>HYPERLINK("https%3A%2F%2Fwww.webofscience.com%2Fwos%2Fwoscc%2Ffull-record%2FWOS:000441062800001","View Full Record in Web of Science")</f>
        <v>View Full Record in Web of Science</v>
      </c>
    </row>
    <row r="444" spans="1:72" x14ac:dyDescent="0.15">
      <c r="A444" t="s">
        <v>72</v>
      </c>
      <c r="B444" t="s">
        <v>8888</v>
      </c>
      <c r="C444" t="s">
        <v>74</v>
      </c>
      <c r="D444" t="s">
        <v>74</v>
      </c>
      <c r="E444" t="s">
        <v>74</v>
      </c>
      <c r="F444" t="s">
        <v>8889</v>
      </c>
      <c r="G444" t="s">
        <v>74</v>
      </c>
      <c r="H444" t="s">
        <v>74</v>
      </c>
      <c r="I444" t="s">
        <v>8890</v>
      </c>
      <c r="J444" t="s">
        <v>3268</v>
      </c>
      <c r="K444" t="s">
        <v>74</v>
      </c>
      <c r="L444" t="s">
        <v>74</v>
      </c>
      <c r="M444" t="s">
        <v>78</v>
      </c>
      <c r="N444" t="s">
        <v>79</v>
      </c>
      <c r="O444" t="s">
        <v>74</v>
      </c>
      <c r="P444" t="s">
        <v>74</v>
      </c>
      <c r="Q444" t="s">
        <v>74</v>
      </c>
      <c r="R444" t="s">
        <v>74</v>
      </c>
      <c r="S444" t="s">
        <v>74</v>
      </c>
      <c r="T444" t="s">
        <v>74</v>
      </c>
      <c r="U444" t="s">
        <v>8891</v>
      </c>
      <c r="V444" t="s">
        <v>8892</v>
      </c>
      <c r="W444" t="s">
        <v>8893</v>
      </c>
      <c r="X444" t="s">
        <v>8894</v>
      </c>
      <c r="Y444" t="s">
        <v>8895</v>
      </c>
      <c r="Z444" t="s">
        <v>8896</v>
      </c>
      <c r="AA444" t="s">
        <v>8897</v>
      </c>
      <c r="AB444" t="s">
        <v>8898</v>
      </c>
      <c r="AC444" t="s">
        <v>8899</v>
      </c>
      <c r="AD444" t="s">
        <v>8900</v>
      </c>
      <c r="AE444" t="s">
        <v>8901</v>
      </c>
      <c r="AF444" t="s">
        <v>74</v>
      </c>
      <c r="AG444">
        <v>43</v>
      </c>
      <c r="AH444">
        <v>60</v>
      </c>
      <c r="AI444">
        <v>65</v>
      </c>
      <c r="AJ444">
        <v>3</v>
      </c>
      <c r="AK444">
        <v>29</v>
      </c>
      <c r="AL444" t="s">
        <v>1159</v>
      </c>
      <c r="AM444" t="s">
        <v>704</v>
      </c>
      <c r="AN444" t="s">
        <v>2728</v>
      </c>
      <c r="AO444" t="s">
        <v>3280</v>
      </c>
      <c r="AP444" t="s">
        <v>74</v>
      </c>
      <c r="AQ444" t="s">
        <v>74</v>
      </c>
      <c r="AR444" t="s">
        <v>3281</v>
      </c>
      <c r="AS444" t="s">
        <v>3282</v>
      </c>
      <c r="AT444" t="s">
        <v>8862</v>
      </c>
      <c r="AU444">
        <v>2018</v>
      </c>
      <c r="AV444">
        <v>9</v>
      </c>
      <c r="AW444" t="s">
        <v>74</v>
      </c>
      <c r="AX444" t="s">
        <v>74</v>
      </c>
      <c r="AY444" t="s">
        <v>74</v>
      </c>
      <c r="AZ444" t="s">
        <v>74</v>
      </c>
      <c r="BA444" t="s">
        <v>74</v>
      </c>
      <c r="BB444" t="s">
        <v>74</v>
      </c>
      <c r="BC444" t="s">
        <v>74</v>
      </c>
      <c r="BD444">
        <v>3094</v>
      </c>
      <c r="BE444" t="s">
        <v>8902</v>
      </c>
      <c r="BF444" t="str">
        <f>HYPERLINK("http://dx.doi.org/10.1038/s41467-018-05521-w","http://dx.doi.org/10.1038/s41467-018-05521-w")</f>
        <v>http://dx.doi.org/10.1038/s41467-018-05521-w</v>
      </c>
      <c r="BG444" t="s">
        <v>74</v>
      </c>
      <c r="BH444" t="s">
        <v>74</v>
      </c>
      <c r="BI444">
        <v>8</v>
      </c>
      <c r="BJ444" t="s">
        <v>436</v>
      </c>
      <c r="BK444" t="s">
        <v>101</v>
      </c>
      <c r="BL444" t="s">
        <v>437</v>
      </c>
      <c r="BM444" t="s">
        <v>8903</v>
      </c>
      <c r="BN444">
        <v>30082897</v>
      </c>
      <c r="BO444" t="s">
        <v>103</v>
      </c>
      <c r="BP444" t="s">
        <v>74</v>
      </c>
      <c r="BQ444" t="s">
        <v>74</v>
      </c>
      <c r="BR444" t="s">
        <v>104</v>
      </c>
      <c r="BS444" t="s">
        <v>8904</v>
      </c>
      <c r="BT444" t="str">
        <f>HYPERLINK("https%3A%2F%2Fwww.webofscience.com%2Fwos%2Fwoscc%2Ffull-record%2FWOS:000440777000024","View Full Record in Web of Science")</f>
        <v>View Full Record in Web of Science</v>
      </c>
    </row>
    <row r="445" spans="1:72" x14ac:dyDescent="0.15">
      <c r="A445" t="s">
        <v>72</v>
      </c>
      <c r="B445" t="s">
        <v>8905</v>
      </c>
      <c r="C445" t="s">
        <v>74</v>
      </c>
      <c r="D445" t="s">
        <v>74</v>
      </c>
      <c r="E445" t="s">
        <v>74</v>
      </c>
      <c r="F445" t="s">
        <v>8906</v>
      </c>
      <c r="G445" t="s">
        <v>74</v>
      </c>
      <c r="H445" t="s">
        <v>74</v>
      </c>
      <c r="I445" t="s">
        <v>8907</v>
      </c>
      <c r="J445" t="s">
        <v>8908</v>
      </c>
      <c r="K445" t="s">
        <v>74</v>
      </c>
      <c r="L445" t="s">
        <v>74</v>
      </c>
      <c r="M445" t="s">
        <v>78</v>
      </c>
      <c r="N445" t="s">
        <v>273</v>
      </c>
      <c r="O445" t="s">
        <v>74</v>
      </c>
      <c r="P445" t="s">
        <v>74</v>
      </c>
      <c r="Q445" t="s">
        <v>74</v>
      </c>
      <c r="R445" t="s">
        <v>74</v>
      </c>
      <c r="S445" t="s">
        <v>74</v>
      </c>
      <c r="T445" t="s">
        <v>8909</v>
      </c>
      <c r="U445" t="s">
        <v>8910</v>
      </c>
      <c r="V445" t="s">
        <v>8911</v>
      </c>
      <c r="W445" t="s">
        <v>8912</v>
      </c>
      <c r="X445" t="s">
        <v>8913</v>
      </c>
      <c r="Y445" t="s">
        <v>8914</v>
      </c>
      <c r="Z445" t="s">
        <v>8915</v>
      </c>
      <c r="AA445" t="s">
        <v>4840</v>
      </c>
      <c r="AB445" t="s">
        <v>8916</v>
      </c>
      <c r="AC445" t="s">
        <v>8917</v>
      </c>
      <c r="AD445" t="s">
        <v>8918</v>
      </c>
      <c r="AE445" t="s">
        <v>8919</v>
      </c>
      <c r="AF445" t="s">
        <v>74</v>
      </c>
      <c r="AG445">
        <v>104</v>
      </c>
      <c r="AH445">
        <v>92</v>
      </c>
      <c r="AI445">
        <v>105</v>
      </c>
      <c r="AJ445">
        <v>20</v>
      </c>
      <c r="AK445">
        <v>272</v>
      </c>
      <c r="AL445" t="s">
        <v>285</v>
      </c>
      <c r="AM445" t="s">
        <v>286</v>
      </c>
      <c r="AN445" t="s">
        <v>287</v>
      </c>
      <c r="AO445" t="s">
        <v>8920</v>
      </c>
      <c r="AP445" t="s">
        <v>8921</v>
      </c>
      <c r="AQ445" t="s">
        <v>74</v>
      </c>
      <c r="AR445" t="s">
        <v>8922</v>
      </c>
      <c r="AS445" t="s">
        <v>8923</v>
      </c>
      <c r="AT445" t="s">
        <v>8924</v>
      </c>
      <c r="AU445">
        <v>2018</v>
      </c>
      <c r="AV445">
        <v>355</v>
      </c>
      <c r="AW445" t="s">
        <v>74</v>
      </c>
      <c r="AX445" t="s">
        <v>74</v>
      </c>
      <c r="AY445" t="s">
        <v>74</v>
      </c>
      <c r="AZ445" t="s">
        <v>74</v>
      </c>
      <c r="BA445" t="s">
        <v>74</v>
      </c>
      <c r="BB445">
        <v>34</v>
      </c>
      <c r="BC445">
        <v>49</v>
      </c>
      <c r="BD445" t="s">
        <v>74</v>
      </c>
      <c r="BE445" t="s">
        <v>8925</v>
      </c>
      <c r="BF445" t="str">
        <f>HYPERLINK("http://dx.doi.org/10.1016/j.jhazmat.2018.04.079","http://dx.doi.org/10.1016/j.jhazmat.2018.04.079")</f>
        <v>http://dx.doi.org/10.1016/j.jhazmat.2018.04.079</v>
      </c>
      <c r="BG445" t="s">
        <v>74</v>
      </c>
      <c r="BH445" t="s">
        <v>74</v>
      </c>
      <c r="BI445">
        <v>16</v>
      </c>
      <c r="BJ445" t="s">
        <v>8926</v>
      </c>
      <c r="BK445" t="s">
        <v>101</v>
      </c>
      <c r="BL445" t="s">
        <v>8927</v>
      </c>
      <c r="BM445" t="s">
        <v>8928</v>
      </c>
      <c r="BN445">
        <v>29763799</v>
      </c>
      <c r="BO445" t="s">
        <v>74</v>
      </c>
      <c r="BP445" t="s">
        <v>74</v>
      </c>
      <c r="BQ445" t="s">
        <v>74</v>
      </c>
      <c r="BR445" t="s">
        <v>104</v>
      </c>
      <c r="BS445" t="s">
        <v>8929</v>
      </c>
      <c r="BT445" t="str">
        <f>HYPERLINK("https%3A%2F%2Fwww.webofscience.com%2Fwos%2Fwoscc%2Ffull-record%2FWOS:000442190000005","View Full Record in Web of Science")</f>
        <v>View Full Record in Web of Science</v>
      </c>
    </row>
    <row r="446" spans="1:72" x14ac:dyDescent="0.15">
      <c r="A446" t="s">
        <v>72</v>
      </c>
      <c r="B446" t="s">
        <v>8930</v>
      </c>
      <c r="C446" t="s">
        <v>74</v>
      </c>
      <c r="D446" t="s">
        <v>74</v>
      </c>
      <c r="E446" t="s">
        <v>74</v>
      </c>
      <c r="F446" t="s">
        <v>8931</v>
      </c>
      <c r="G446" t="s">
        <v>74</v>
      </c>
      <c r="H446" t="s">
        <v>74</v>
      </c>
      <c r="I446" t="s">
        <v>8932</v>
      </c>
      <c r="J446" t="s">
        <v>4340</v>
      </c>
      <c r="K446" t="s">
        <v>74</v>
      </c>
      <c r="L446" t="s">
        <v>74</v>
      </c>
      <c r="M446" t="s">
        <v>78</v>
      </c>
      <c r="N446" t="s">
        <v>79</v>
      </c>
      <c r="O446" t="s">
        <v>74</v>
      </c>
      <c r="P446" t="s">
        <v>74</v>
      </c>
      <c r="Q446" t="s">
        <v>74</v>
      </c>
      <c r="R446" t="s">
        <v>74</v>
      </c>
      <c r="S446" t="s">
        <v>74</v>
      </c>
      <c r="T446" t="s">
        <v>8933</v>
      </c>
      <c r="U446" t="s">
        <v>8934</v>
      </c>
      <c r="V446" t="s">
        <v>8935</v>
      </c>
      <c r="W446" t="s">
        <v>8936</v>
      </c>
      <c r="X446" t="s">
        <v>8937</v>
      </c>
      <c r="Y446" t="s">
        <v>8938</v>
      </c>
      <c r="Z446" t="s">
        <v>8939</v>
      </c>
      <c r="AA446" t="s">
        <v>74</v>
      </c>
      <c r="AB446" t="s">
        <v>8940</v>
      </c>
      <c r="AC446" t="s">
        <v>8941</v>
      </c>
      <c r="AD446" t="s">
        <v>8941</v>
      </c>
      <c r="AE446" t="s">
        <v>8942</v>
      </c>
      <c r="AF446" t="s">
        <v>74</v>
      </c>
      <c r="AG446">
        <v>69</v>
      </c>
      <c r="AH446">
        <v>5</v>
      </c>
      <c r="AI446">
        <v>5</v>
      </c>
      <c r="AJ446">
        <v>0</v>
      </c>
      <c r="AK446">
        <v>11</v>
      </c>
      <c r="AL446" t="s">
        <v>3326</v>
      </c>
      <c r="AM446" t="s">
        <v>3327</v>
      </c>
      <c r="AN446" t="s">
        <v>3328</v>
      </c>
      <c r="AO446" t="s">
        <v>4344</v>
      </c>
      <c r="AP446" t="s">
        <v>4345</v>
      </c>
      <c r="AQ446" t="s">
        <v>74</v>
      </c>
      <c r="AR446" t="s">
        <v>4346</v>
      </c>
      <c r="AS446" t="s">
        <v>4347</v>
      </c>
      <c r="AT446" t="s">
        <v>8943</v>
      </c>
      <c r="AU446">
        <v>2018</v>
      </c>
      <c r="AV446">
        <v>50</v>
      </c>
      <c r="AW446">
        <v>1</v>
      </c>
      <c r="AX446" t="s">
        <v>74</v>
      </c>
      <c r="AY446" t="s">
        <v>74</v>
      </c>
      <c r="AZ446" t="s">
        <v>74</v>
      </c>
      <c r="BA446" t="s">
        <v>74</v>
      </c>
      <c r="BB446" t="s">
        <v>74</v>
      </c>
      <c r="BC446" t="s">
        <v>74</v>
      </c>
      <c r="BD446" t="s">
        <v>8944</v>
      </c>
      <c r="BE446" t="s">
        <v>8945</v>
      </c>
      <c r="BF446" t="str">
        <f>HYPERLINK("http://dx.doi.org/10.1080/15230430.2018.1496565","http://dx.doi.org/10.1080/15230430.2018.1496565")</f>
        <v>http://dx.doi.org/10.1080/15230430.2018.1496565</v>
      </c>
      <c r="BG446" t="s">
        <v>74</v>
      </c>
      <c r="BH446" t="s">
        <v>74</v>
      </c>
      <c r="BI446">
        <v>26</v>
      </c>
      <c r="BJ446" t="s">
        <v>4350</v>
      </c>
      <c r="BK446" t="s">
        <v>101</v>
      </c>
      <c r="BL446" t="s">
        <v>767</v>
      </c>
      <c r="BM446" t="s">
        <v>8946</v>
      </c>
      <c r="BN446" t="s">
        <v>74</v>
      </c>
      <c r="BO446" t="s">
        <v>1584</v>
      </c>
      <c r="BP446" t="s">
        <v>74</v>
      </c>
      <c r="BQ446" t="s">
        <v>74</v>
      </c>
      <c r="BR446" t="s">
        <v>104</v>
      </c>
      <c r="BS446" t="s">
        <v>8947</v>
      </c>
      <c r="BT446" t="str">
        <f>HYPERLINK("https%3A%2F%2Fwww.webofscience.com%2Fwos%2Fwoscc%2Ffull-record%2FWOS:000440967100001","View Full Record in Web of Science")</f>
        <v>View Full Record in Web of Science</v>
      </c>
    </row>
    <row r="447" spans="1:72" x14ac:dyDescent="0.15">
      <c r="A447" t="s">
        <v>72</v>
      </c>
      <c r="B447" t="s">
        <v>8948</v>
      </c>
      <c r="C447" t="s">
        <v>74</v>
      </c>
      <c r="D447" t="s">
        <v>74</v>
      </c>
      <c r="E447" t="s">
        <v>74</v>
      </c>
      <c r="F447" t="s">
        <v>8949</v>
      </c>
      <c r="G447" t="s">
        <v>74</v>
      </c>
      <c r="H447" t="s">
        <v>74</v>
      </c>
      <c r="I447" t="s">
        <v>8950</v>
      </c>
      <c r="J447" t="s">
        <v>3387</v>
      </c>
      <c r="K447" t="s">
        <v>74</v>
      </c>
      <c r="L447" t="s">
        <v>74</v>
      </c>
      <c r="M447" t="s">
        <v>78</v>
      </c>
      <c r="N447" t="s">
        <v>79</v>
      </c>
      <c r="O447" t="s">
        <v>74</v>
      </c>
      <c r="P447" t="s">
        <v>74</v>
      </c>
      <c r="Q447" t="s">
        <v>74</v>
      </c>
      <c r="R447" t="s">
        <v>74</v>
      </c>
      <c r="S447" t="s">
        <v>74</v>
      </c>
      <c r="T447" t="s">
        <v>74</v>
      </c>
      <c r="U447" t="s">
        <v>8951</v>
      </c>
      <c r="V447" t="s">
        <v>8952</v>
      </c>
      <c r="W447" t="s">
        <v>8953</v>
      </c>
      <c r="X447" t="s">
        <v>8954</v>
      </c>
      <c r="Y447" t="s">
        <v>8955</v>
      </c>
      <c r="Z447" t="s">
        <v>8956</v>
      </c>
      <c r="AA447" t="s">
        <v>74</v>
      </c>
      <c r="AB447" t="s">
        <v>74</v>
      </c>
      <c r="AC447" t="s">
        <v>8957</v>
      </c>
      <c r="AD447" t="s">
        <v>8958</v>
      </c>
      <c r="AE447" t="s">
        <v>8959</v>
      </c>
      <c r="AF447" t="s">
        <v>74</v>
      </c>
      <c r="AG447">
        <v>100</v>
      </c>
      <c r="AH447">
        <v>58</v>
      </c>
      <c r="AI447">
        <v>59</v>
      </c>
      <c r="AJ447">
        <v>2</v>
      </c>
      <c r="AK447">
        <v>23</v>
      </c>
      <c r="AL447" t="s">
        <v>3353</v>
      </c>
      <c r="AM447" t="s">
        <v>3354</v>
      </c>
      <c r="AN447" t="s">
        <v>3355</v>
      </c>
      <c r="AO447" t="s">
        <v>3399</v>
      </c>
      <c r="AP447" t="s">
        <v>3400</v>
      </c>
      <c r="AQ447" t="s">
        <v>74</v>
      </c>
      <c r="AR447" t="s">
        <v>3401</v>
      </c>
      <c r="AS447" t="s">
        <v>3402</v>
      </c>
      <c r="AT447" t="s">
        <v>8943</v>
      </c>
      <c r="AU447">
        <v>2018</v>
      </c>
      <c r="AV447">
        <v>18</v>
      </c>
      <c r="AW447">
        <v>15</v>
      </c>
      <c r="AX447" t="s">
        <v>74</v>
      </c>
      <c r="AY447" t="s">
        <v>74</v>
      </c>
      <c r="AZ447" t="s">
        <v>74</v>
      </c>
      <c r="BA447" t="s">
        <v>74</v>
      </c>
      <c r="BB447">
        <v>10881</v>
      </c>
      <c r="BC447">
        <v>10913</v>
      </c>
      <c r="BD447" t="s">
        <v>74</v>
      </c>
      <c r="BE447" t="s">
        <v>8960</v>
      </c>
      <c r="BF447" t="str">
        <f>HYPERLINK("http://dx.doi.org/10.5194/acp-18-10881-2018","http://dx.doi.org/10.5194/acp-18-10881-2018")</f>
        <v>http://dx.doi.org/10.5194/acp-18-10881-2018</v>
      </c>
      <c r="BG447" t="s">
        <v>74</v>
      </c>
      <c r="BH447" t="s">
        <v>74</v>
      </c>
      <c r="BI447">
        <v>33</v>
      </c>
      <c r="BJ447" t="s">
        <v>317</v>
      </c>
      <c r="BK447" t="s">
        <v>101</v>
      </c>
      <c r="BL447" t="s">
        <v>318</v>
      </c>
      <c r="BM447" t="s">
        <v>8961</v>
      </c>
      <c r="BN447" t="s">
        <v>74</v>
      </c>
      <c r="BO447" t="s">
        <v>1584</v>
      </c>
      <c r="BP447" t="s">
        <v>74</v>
      </c>
      <c r="BQ447" t="s">
        <v>74</v>
      </c>
      <c r="BR447" t="s">
        <v>104</v>
      </c>
      <c r="BS447" t="s">
        <v>8962</v>
      </c>
      <c r="BT447" t="str">
        <f>HYPERLINK("https%3A%2F%2Fwww.webofscience.com%2Fwos%2Fwoscc%2Ffull-record%2FWOS:000440686500003","View Full Record in Web of Science")</f>
        <v>View Full Record in Web of Science</v>
      </c>
    </row>
    <row r="448" spans="1:72" x14ac:dyDescent="0.15">
      <c r="A448" t="s">
        <v>72</v>
      </c>
      <c r="B448" t="s">
        <v>8963</v>
      </c>
      <c r="C448" t="s">
        <v>74</v>
      </c>
      <c r="D448" t="s">
        <v>74</v>
      </c>
      <c r="E448" t="s">
        <v>74</v>
      </c>
      <c r="F448" t="s">
        <v>8964</v>
      </c>
      <c r="G448" t="s">
        <v>74</v>
      </c>
      <c r="H448" t="s">
        <v>74</v>
      </c>
      <c r="I448" t="s">
        <v>8965</v>
      </c>
      <c r="J448" t="s">
        <v>4315</v>
      </c>
      <c r="K448" t="s">
        <v>74</v>
      </c>
      <c r="L448" t="s">
        <v>74</v>
      </c>
      <c r="M448" t="s">
        <v>78</v>
      </c>
      <c r="N448" t="s">
        <v>79</v>
      </c>
      <c r="O448" t="s">
        <v>74</v>
      </c>
      <c r="P448" t="s">
        <v>74</v>
      </c>
      <c r="Q448" t="s">
        <v>74</v>
      </c>
      <c r="R448" t="s">
        <v>74</v>
      </c>
      <c r="S448" t="s">
        <v>74</v>
      </c>
      <c r="T448" t="s">
        <v>8966</v>
      </c>
      <c r="U448" t="s">
        <v>8967</v>
      </c>
      <c r="V448" t="s">
        <v>8968</v>
      </c>
      <c r="W448" t="s">
        <v>8969</v>
      </c>
      <c r="X448" t="s">
        <v>8970</v>
      </c>
      <c r="Y448" t="s">
        <v>8971</v>
      </c>
      <c r="Z448" t="s">
        <v>8972</v>
      </c>
      <c r="AA448" t="s">
        <v>8973</v>
      </c>
      <c r="AB448" t="s">
        <v>8974</v>
      </c>
      <c r="AC448" t="s">
        <v>8975</v>
      </c>
      <c r="AD448" t="s">
        <v>8976</v>
      </c>
      <c r="AE448" t="s">
        <v>8977</v>
      </c>
      <c r="AF448" t="s">
        <v>74</v>
      </c>
      <c r="AG448">
        <v>49</v>
      </c>
      <c r="AH448">
        <v>3</v>
      </c>
      <c r="AI448">
        <v>3</v>
      </c>
      <c r="AJ448">
        <v>0</v>
      </c>
      <c r="AK448">
        <v>11</v>
      </c>
      <c r="AL448" t="s">
        <v>4328</v>
      </c>
      <c r="AM448" t="s">
        <v>4329</v>
      </c>
      <c r="AN448" t="s">
        <v>4330</v>
      </c>
      <c r="AO448" t="s">
        <v>4331</v>
      </c>
      <c r="AP448" t="s">
        <v>4332</v>
      </c>
      <c r="AQ448" t="s">
        <v>74</v>
      </c>
      <c r="AR448" t="s">
        <v>4315</v>
      </c>
      <c r="AS448" t="s">
        <v>4333</v>
      </c>
      <c r="AT448" t="s">
        <v>8978</v>
      </c>
      <c r="AU448">
        <v>2018</v>
      </c>
      <c r="AV448">
        <v>4455</v>
      </c>
      <c r="AW448">
        <v>2</v>
      </c>
      <c r="AX448" t="s">
        <v>74</v>
      </c>
      <c r="AY448" t="s">
        <v>74</v>
      </c>
      <c r="AZ448" t="s">
        <v>74</v>
      </c>
      <c r="BA448" t="s">
        <v>74</v>
      </c>
      <c r="BB448">
        <v>295</v>
      </c>
      <c r="BC448">
        <v>321</v>
      </c>
      <c r="BD448" t="s">
        <v>74</v>
      </c>
      <c r="BE448" t="s">
        <v>8979</v>
      </c>
      <c r="BF448" t="str">
        <f>HYPERLINK("http://dx.doi.org/10.11646/zootaxa.4455.2.3","http://dx.doi.org/10.11646/zootaxa.4455.2.3")</f>
        <v>http://dx.doi.org/10.11646/zootaxa.4455.2.3</v>
      </c>
      <c r="BG448" t="s">
        <v>74</v>
      </c>
      <c r="BH448" t="s">
        <v>74</v>
      </c>
      <c r="BI448">
        <v>27</v>
      </c>
      <c r="BJ448" t="s">
        <v>2343</v>
      </c>
      <c r="BK448" t="s">
        <v>101</v>
      </c>
      <c r="BL448" t="s">
        <v>2343</v>
      </c>
      <c r="BM448" t="s">
        <v>8980</v>
      </c>
      <c r="BN448">
        <v>30314211</v>
      </c>
      <c r="BO448" t="s">
        <v>1142</v>
      </c>
      <c r="BP448" t="s">
        <v>74</v>
      </c>
      <c r="BQ448" t="s">
        <v>74</v>
      </c>
      <c r="BR448" t="s">
        <v>104</v>
      </c>
      <c r="BS448" t="s">
        <v>8981</v>
      </c>
      <c r="BT448" t="str">
        <f>HYPERLINK("https%3A%2F%2Fwww.webofscience.com%2Fwos%2Fwoscc%2Ffull-record%2FWOS:000441334000003","View Full Record in Web of Science")</f>
        <v>View Full Record in Web of Science</v>
      </c>
    </row>
    <row r="449" spans="1:72" x14ac:dyDescent="0.15">
      <c r="A449" t="s">
        <v>72</v>
      </c>
      <c r="B449" t="s">
        <v>8982</v>
      </c>
      <c r="C449" t="s">
        <v>74</v>
      </c>
      <c r="D449" t="s">
        <v>74</v>
      </c>
      <c r="E449" t="s">
        <v>74</v>
      </c>
      <c r="F449" t="s">
        <v>8983</v>
      </c>
      <c r="G449" t="s">
        <v>74</v>
      </c>
      <c r="H449" t="s">
        <v>74</v>
      </c>
      <c r="I449" t="s">
        <v>8984</v>
      </c>
      <c r="J449" t="s">
        <v>4340</v>
      </c>
      <c r="K449" t="s">
        <v>74</v>
      </c>
      <c r="L449" t="s">
        <v>74</v>
      </c>
      <c r="M449" t="s">
        <v>78</v>
      </c>
      <c r="N449" t="s">
        <v>79</v>
      </c>
      <c r="O449" t="s">
        <v>74</v>
      </c>
      <c r="P449" t="s">
        <v>74</v>
      </c>
      <c r="Q449" t="s">
        <v>74</v>
      </c>
      <c r="R449" t="s">
        <v>74</v>
      </c>
      <c r="S449" t="s">
        <v>74</v>
      </c>
      <c r="T449" t="s">
        <v>8985</v>
      </c>
      <c r="U449" t="s">
        <v>8986</v>
      </c>
      <c r="V449" t="s">
        <v>8987</v>
      </c>
      <c r="W449" t="s">
        <v>8988</v>
      </c>
      <c r="X449" t="s">
        <v>8989</v>
      </c>
      <c r="Y449" t="s">
        <v>8990</v>
      </c>
      <c r="Z449" t="s">
        <v>8991</v>
      </c>
      <c r="AA449" t="s">
        <v>8992</v>
      </c>
      <c r="AB449" t="s">
        <v>8993</v>
      </c>
      <c r="AC449" t="s">
        <v>8994</v>
      </c>
      <c r="AD449" t="s">
        <v>8995</v>
      </c>
      <c r="AE449" t="s">
        <v>8996</v>
      </c>
      <c r="AF449" t="s">
        <v>74</v>
      </c>
      <c r="AG449">
        <v>60</v>
      </c>
      <c r="AH449">
        <v>12</v>
      </c>
      <c r="AI449">
        <v>14</v>
      </c>
      <c r="AJ449">
        <v>0</v>
      </c>
      <c r="AK449">
        <v>17</v>
      </c>
      <c r="AL449" t="s">
        <v>3326</v>
      </c>
      <c r="AM449" t="s">
        <v>3327</v>
      </c>
      <c r="AN449" t="s">
        <v>3328</v>
      </c>
      <c r="AO449" t="s">
        <v>4344</v>
      </c>
      <c r="AP449" t="s">
        <v>4345</v>
      </c>
      <c r="AQ449" t="s">
        <v>74</v>
      </c>
      <c r="AR449" t="s">
        <v>4346</v>
      </c>
      <c r="AS449" t="s">
        <v>4347</v>
      </c>
      <c r="AT449" t="s">
        <v>8978</v>
      </c>
      <c r="AU449">
        <v>2018</v>
      </c>
      <c r="AV449">
        <v>50</v>
      </c>
      <c r="AW449">
        <v>1</v>
      </c>
      <c r="AX449" t="s">
        <v>74</v>
      </c>
      <c r="AY449" t="s">
        <v>74</v>
      </c>
      <c r="AZ449" t="s">
        <v>74</v>
      </c>
      <c r="BA449" t="s">
        <v>74</v>
      </c>
      <c r="BB449" t="s">
        <v>74</v>
      </c>
      <c r="BC449" t="s">
        <v>74</v>
      </c>
      <c r="BD449" t="s">
        <v>8997</v>
      </c>
      <c r="BE449" t="s">
        <v>8998</v>
      </c>
      <c r="BF449" t="str">
        <f>HYPERLINK("http://dx.doi.org/10.1080/15230430.2018.1495445","http://dx.doi.org/10.1080/15230430.2018.1495445")</f>
        <v>http://dx.doi.org/10.1080/15230430.2018.1495445</v>
      </c>
      <c r="BG449" t="s">
        <v>74</v>
      </c>
      <c r="BH449" t="s">
        <v>74</v>
      </c>
      <c r="BI449">
        <v>18</v>
      </c>
      <c r="BJ449" t="s">
        <v>4350</v>
      </c>
      <c r="BK449" t="s">
        <v>101</v>
      </c>
      <c r="BL449" t="s">
        <v>767</v>
      </c>
      <c r="BM449" t="s">
        <v>8999</v>
      </c>
      <c r="BN449" t="s">
        <v>74</v>
      </c>
      <c r="BO449" t="s">
        <v>1584</v>
      </c>
      <c r="BP449" t="s">
        <v>74</v>
      </c>
      <c r="BQ449" t="s">
        <v>74</v>
      </c>
      <c r="BR449" t="s">
        <v>104</v>
      </c>
      <c r="BS449" t="s">
        <v>9000</v>
      </c>
      <c r="BT449" t="str">
        <f>HYPERLINK("https%3A%2F%2Fwww.webofscience.com%2Fwos%2Fwoscc%2Ffull-record%2FWOS:000440555300001","View Full Record in Web of Science")</f>
        <v>View Full Record in Web of Science</v>
      </c>
    </row>
    <row r="450" spans="1:72" x14ac:dyDescent="0.15">
      <c r="A450" t="s">
        <v>72</v>
      </c>
      <c r="B450" t="s">
        <v>9001</v>
      </c>
      <c r="C450" t="s">
        <v>74</v>
      </c>
      <c r="D450" t="s">
        <v>74</v>
      </c>
      <c r="E450" t="s">
        <v>74</v>
      </c>
      <c r="F450" t="s">
        <v>9002</v>
      </c>
      <c r="G450" t="s">
        <v>74</v>
      </c>
      <c r="H450" t="s">
        <v>74</v>
      </c>
      <c r="I450" t="s">
        <v>9003</v>
      </c>
      <c r="J450" t="s">
        <v>4340</v>
      </c>
      <c r="K450" t="s">
        <v>74</v>
      </c>
      <c r="L450" t="s">
        <v>74</v>
      </c>
      <c r="M450" t="s">
        <v>78</v>
      </c>
      <c r="N450" t="s">
        <v>79</v>
      </c>
      <c r="O450" t="s">
        <v>74</v>
      </c>
      <c r="P450" t="s">
        <v>74</v>
      </c>
      <c r="Q450" t="s">
        <v>74</v>
      </c>
      <c r="R450" t="s">
        <v>74</v>
      </c>
      <c r="S450" t="s">
        <v>74</v>
      </c>
      <c r="T450" t="s">
        <v>9004</v>
      </c>
      <c r="U450" t="s">
        <v>9005</v>
      </c>
      <c r="V450" t="s">
        <v>9006</v>
      </c>
      <c r="W450" t="s">
        <v>9007</v>
      </c>
      <c r="X450" t="s">
        <v>9008</v>
      </c>
      <c r="Y450" t="s">
        <v>9009</v>
      </c>
      <c r="Z450" t="s">
        <v>9010</v>
      </c>
      <c r="AA450" t="s">
        <v>74</v>
      </c>
      <c r="AB450" t="s">
        <v>9011</v>
      </c>
      <c r="AC450" t="s">
        <v>9012</v>
      </c>
      <c r="AD450" t="s">
        <v>9013</v>
      </c>
      <c r="AE450" t="s">
        <v>9014</v>
      </c>
      <c r="AF450" t="s">
        <v>74</v>
      </c>
      <c r="AG450">
        <v>69</v>
      </c>
      <c r="AH450">
        <v>11</v>
      </c>
      <c r="AI450">
        <v>12</v>
      </c>
      <c r="AJ450">
        <v>3</v>
      </c>
      <c r="AK450">
        <v>76</v>
      </c>
      <c r="AL450" t="s">
        <v>3326</v>
      </c>
      <c r="AM450" t="s">
        <v>3327</v>
      </c>
      <c r="AN450" t="s">
        <v>3328</v>
      </c>
      <c r="AO450" t="s">
        <v>4344</v>
      </c>
      <c r="AP450" t="s">
        <v>4345</v>
      </c>
      <c r="AQ450" t="s">
        <v>74</v>
      </c>
      <c r="AR450" t="s">
        <v>4346</v>
      </c>
      <c r="AS450" t="s">
        <v>4347</v>
      </c>
      <c r="AT450" t="s">
        <v>8978</v>
      </c>
      <c r="AU450">
        <v>2018</v>
      </c>
      <c r="AV450">
        <v>50</v>
      </c>
      <c r="AW450">
        <v>1</v>
      </c>
      <c r="AX450" t="s">
        <v>74</v>
      </c>
      <c r="AY450" t="s">
        <v>74</v>
      </c>
      <c r="AZ450" t="s">
        <v>74</v>
      </c>
      <c r="BA450" t="s">
        <v>74</v>
      </c>
      <c r="BB450" t="s">
        <v>74</v>
      </c>
      <c r="BC450" t="s">
        <v>74</v>
      </c>
      <c r="BD450" t="s">
        <v>9015</v>
      </c>
      <c r="BE450" t="s">
        <v>9016</v>
      </c>
      <c r="BF450" t="str">
        <f>HYPERLINK("http://dx.doi.org/10.1080/15230430.2018.1494941","http://dx.doi.org/10.1080/15230430.2018.1494941")</f>
        <v>http://dx.doi.org/10.1080/15230430.2018.1494941</v>
      </c>
      <c r="BG450" t="s">
        <v>74</v>
      </c>
      <c r="BH450" t="s">
        <v>74</v>
      </c>
      <c r="BI450">
        <v>10</v>
      </c>
      <c r="BJ450" t="s">
        <v>4350</v>
      </c>
      <c r="BK450" t="s">
        <v>101</v>
      </c>
      <c r="BL450" t="s">
        <v>767</v>
      </c>
      <c r="BM450" t="s">
        <v>9017</v>
      </c>
      <c r="BN450" t="s">
        <v>74</v>
      </c>
      <c r="BO450" t="s">
        <v>1584</v>
      </c>
      <c r="BP450" t="s">
        <v>74</v>
      </c>
      <c r="BQ450" t="s">
        <v>74</v>
      </c>
      <c r="BR450" t="s">
        <v>104</v>
      </c>
      <c r="BS450" t="s">
        <v>9018</v>
      </c>
      <c r="BT450" t="str">
        <f>HYPERLINK("https%3A%2F%2Fwww.webofscience.com%2Fwos%2Fwoscc%2Ffull-record%2FWOS:000440555100001","View Full Record in Web of Science")</f>
        <v>View Full Record in Web of Science</v>
      </c>
    </row>
    <row r="451" spans="1:72" x14ac:dyDescent="0.15">
      <c r="A451" t="s">
        <v>72</v>
      </c>
      <c r="B451" t="s">
        <v>9019</v>
      </c>
      <c r="C451" t="s">
        <v>74</v>
      </c>
      <c r="D451" t="s">
        <v>74</v>
      </c>
      <c r="E451" t="s">
        <v>74</v>
      </c>
      <c r="F451" t="s">
        <v>9020</v>
      </c>
      <c r="G451" t="s">
        <v>74</v>
      </c>
      <c r="H451" t="s">
        <v>74</v>
      </c>
      <c r="I451" t="s">
        <v>9021</v>
      </c>
      <c r="J451" t="s">
        <v>3543</v>
      </c>
      <c r="K451" t="s">
        <v>74</v>
      </c>
      <c r="L451" t="s">
        <v>74</v>
      </c>
      <c r="M451" t="s">
        <v>78</v>
      </c>
      <c r="N451" t="s">
        <v>79</v>
      </c>
      <c r="O451" t="s">
        <v>74</v>
      </c>
      <c r="P451" t="s">
        <v>74</v>
      </c>
      <c r="Q451" t="s">
        <v>74</v>
      </c>
      <c r="R451" t="s">
        <v>74</v>
      </c>
      <c r="S451" t="s">
        <v>74</v>
      </c>
      <c r="T451" t="s">
        <v>74</v>
      </c>
      <c r="U451" t="s">
        <v>9022</v>
      </c>
      <c r="V451" t="s">
        <v>9023</v>
      </c>
      <c r="W451" t="s">
        <v>9024</v>
      </c>
      <c r="X451" t="s">
        <v>9025</v>
      </c>
      <c r="Y451" t="s">
        <v>9026</v>
      </c>
      <c r="Z451" t="s">
        <v>9027</v>
      </c>
      <c r="AA451" t="s">
        <v>9028</v>
      </c>
      <c r="AB451" t="s">
        <v>9029</v>
      </c>
      <c r="AC451" t="s">
        <v>9030</v>
      </c>
      <c r="AD451" t="s">
        <v>9031</v>
      </c>
      <c r="AE451" t="s">
        <v>9032</v>
      </c>
      <c r="AF451" t="s">
        <v>74</v>
      </c>
      <c r="AG451">
        <v>47</v>
      </c>
      <c r="AH451">
        <v>181</v>
      </c>
      <c r="AI451">
        <v>196</v>
      </c>
      <c r="AJ451">
        <v>18</v>
      </c>
      <c r="AK451">
        <v>419</v>
      </c>
      <c r="AL451" t="s">
        <v>3555</v>
      </c>
      <c r="AM451" t="s">
        <v>1131</v>
      </c>
      <c r="AN451" t="s">
        <v>1132</v>
      </c>
      <c r="AO451" t="s">
        <v>3556</v>
      </c>
      <c r="AP451" t="s">
        <v>3557</v>
      </c>
      <c r="AQ451" t="s">
        <v>74</v>
      </c>
      <c r="AR451" t="s">
        <v>3543</v>
      </c>
      <c r="AS451" t="s">
        <v>3558</v>
      </c>
      <c r="AT451" t="s">
        <v>8978</v>
      </c>
      <c r="AU451">
        <v>2018</v>
      </c>
      <c r="AV451">
        <v>560</v>
      </c>
      <c r="AW451">
        <v>7716</v>
      </c>
      <c r="AX451" t="s">
        <v>74</v>
      </c>
      <c r="AY451" t="s">
        <v>74</v>
      </c>
      <c r="AZ451" t="s">
        <v>74</v>
      </c>
      <c r="BA451" t="s">
        <v>74</v>
      </c>
      <c r="BB451">
        <v>92</v>
      </c>
      <c r="BC451" t="s">
        <v>1137</v>
      </c>
      <c r="BD451" t="s">
        <v>74</v>
      </c>
      <c r="BE451" t="s">
        <v>9033</v>
      </c>
      <c r="BF451" t="str">
        <f>HYPERLINK("http://dx.doi.org/10.1038/s41586-018-0359-9","http://dx.doi.org/10.1038/s41586-018-0359-9")</f>
        <v>http://dx.doi.org/10.1038/s41586-018-0359-9</v>
      </c>
      <c r="BG451" t="s">
        <v>74</v>
      </c>
      <c r="BH451" t="s">
        <v>74</v>
      </c>
      <c r="BI451">
        <v>16</v>
      </c>
      <c r="BJ451" t="s">
        <v>436</v>
      </c>
      <c r="BK451" t="s">
        <v>101</v>
      </c>
      <c r="BL451" t="s">
        <v>437</v>
      </c>
      <c r="BM451" t="s">
        <v>9034</v>
      </c>
      <c r="BN451">
        <v>30046108</v>
      </c>
      <c r="BO451" t="s">
        <v>1142</v>
      </c>
      <c r="BP451" t="s">
        <v>74</v>
      </c>
      <c r="BQ451" t="s">
        <v>74</v>
      </c>
      <c r="BR451" t="s">
        <v>104</v>
      </c>
      <c r="BS451" t="s">
        <v>9035</v>
      </c>
      <c r="BT451" t="str">
        <f>HYPERLINK("https%3A%2F%2Fwww.webofscience.com%2Fwos%2Fwoscc%2Ffull-record%2FWOS:000440552600050","View Full Record in Web of Science")</f>
        <v>View Full Record in Web of Science</v>
      </c>
    </row>
    <row r="452" spans="1:72" x14ac:dyDescent="0.15">
      <c r="A452" t="s">
        <v>72</v>
      </c>
      <c r="B452" t="s">
        <v>9036</v>
      </c>
      <c r="C452" t="s">
        <v>74</v>
      </c>
      <c r="D452" t="s">
        <v>74</v>
      </c>
      <c r="E452" t="s">
        <v>74</v>
      </c>
      <c r="F452" t="s">
        <v>9037</v>
      </c>
      <c r="G452" t="s">
        <v>74</v>
      </c>
      <c r="H452" t="s">
        <v>74</v>
      </c>
      <c r="I452" t="s">
        <v>9038</v>
      </c>
      <c r="J452" t="s">
        <v>9039</v>
      </c>
      <c r="K452" t="s">
        <v>74</v>
      </c>
      <c r="L452" t="s">
        <v>74</v>
      </c>
      <c r="M452" t="s">
        <v>78</v>
      </c>
      <c r="N452" t="s">
        <v>52</v>
      </c>
      <c r="O452" t="s">
        <v>9040</v>
      </c>
      <c r="P452" t="s">
        <v>9041</v>
      </c>
      <c r="Q452" t="s">
        <v>9042</v>
      </c>
      <c r="R452" t="s">
        <v>74</v>
      </c>
      <c r="S452" t="s">
        <v>74</v>
      </c>
      <c r="T452" t="s">
        <v>74</v>
      </c>
      <c r="U452" t="s">
        <v>74</v>
      </c>
      <c r="V452" t="s">
        <v>74</v>
      </c>
      <c r="W452" t="s">
        <v>9043</v>
      </c>
      <c r="X452" t="s">
        <v>9044</v>
      </c>
      <c r="Y452" t="s">
        <v>74</v>
      </c>
      <c r="Z452" t="s">
        <v>74</v>
      </c>
      <c r="AA452" t="s">
        <v>9045</v>
      </c>
      <c r="AB452" t="s">
        <v>74</v>
      </c>
      <c r="AC452" t="s">
        <v>74</v>
      </c>
      <c r="AD452" t="s">
        <v>74</v>
      </c>
      <c r="AE452" t="s">
        <v>74</v>
      </c>
      <c r="AF452" t="s">
        <v>74</v>
      </c>
      <c r="AG452">
        <v>0</v>
      </c>
      <c r="AH452">
        <v>0</v>
      </c>
      <c r="AI452">
        <v>0</v>
      </c>
      <c r="AJ452">
        <v>0</v>
      </c>
      <c r="AK452">
        <v>0</v>
      </c>
      <c r="AL452" t="s">
        <v>92</v>
      </c>
      <c r="AM452" t="s">
        <v>93</v>
      </c>
      <c r="AN452" t="s">
        <v>94</v>
      </c>
      <c r="AO452" t="s">
        <v>9046</v>
      </c>
      <c r="AP452" t="s">
        <v>9047</v>
      </c>
      <c r="AQ452" t="s">
        <v>74</v>
      </c>
      <c r="AR452" t="s">
        <v>9048</v>
      </c>
      <c r="AS452" t="s">
        <v>9049</v>
      </c>
      <c r="AT452" t="s">
        <v>9050</v>
      </c>
      <c r="AU452">
        <v>2018</v>
      </c>
      <c r="AV452">
        <v>39</v>
      </c>
      <c r="AW452" t="s">
        <v>74</v>
      </c>
      <c r="AX452" t="s">
        <v>74</v>
      </c>
      <c r="AY452">
        <v>1</v>
      </c>
      <c r="AZ452" t="s">
        <v>74</v>
      </c>
      <c r="BA452" t="s">
        <v>9051</v>
      </c>
      <c r="BB452">
        <v>349</v>
      </c>
      <c r="BC452">
        <v>350</v>
      </c>
      <c r="BD452" t="s">
        <v>74</v>
      </c>
      <c r="BE452" t="s">
        <v>74</v>
      </c>
      <c r="BF452" t="s">
        <v>74</v>
      </c>
      <c r="BG452" t="s">
        <v>74</v>
      </c>
      <c r="BH452" t="s">
        <v>74</v>
      </c>
      <c r="BI452">
        <v>2</v>
      </c>
      <c r="BJ452" t="s">
        <v>9052</v>
      </c>
      <c r="BK452" t="s">
        <v>158</v>
      </c>
      <c r="BL452" t="s">
        <v>9053</v>
      </c>
      <c r="BM452" t="s">
        <v>9054</v>
      </c>
      <c r="BN452" t="s">
        <v>74</v>
      </c>
      <c r="BO452" t="s">
        <v>74</v>
      </c>
      <c r="BP452" t="s">
        <v>74</v>
      </c>
      <c r="BQ452" t="s">
        <v>74</v>
      </c>
      <c r="BR452" t="s">
        <v>104</v>
      </c>
      <c r="BS452" t="s">
        <v>9055</v>
      </c>
      <c r="BT452" t="str">
        <f>HYPERLINK("https%3A%2F%2Fwww.webofscience.com%2Fwos%2Fwoscc%2Ffull-record%2FWOS:000459824001121","View Full Record in Web of Science")</f>
        <v>View Full Record in Web of Science</v>
      </c>
    </row>
    <row r="453" spans="1:72" x14ac:dyDescent="0.15">
      <c r="A453" t="s">
        <v>72</v>
      </c>
      <c r="B453" t="s">
        <v>9056</v>
      </c>
      <c r="C453" t="s">
        <v>74</v>
      </c>
      <c r="D453" t="s">
        <v>74</v>
      </c>
      <c r="E453" t="s">
        <v>74</v>
      </c>
      <c r="F453" t="s">
        <v>9057</v>
      </c>
      <c r="G453" t="s">
        <v>74</v>
      </c>
      <c r="H453" t="s">
        <v>9058</v>
      </c>
      <c r="I453" t="s">
        <v>9059</v>
      </c>
      <c r="J453" t="s">
        <v>9039</v>
      </c>
      <c r="K453" t="s">
        <v>74</v>
      </c>
      <c r="L453" t="s">
        <v>74</v>
      </c>
      <c r="M453" t="s">
        <v>78</v>
      </c>
      <c r="N453" t="s">
        <v>52</v>
      </c>
      <c r="O453" t="s">
        <v>9060</v>
      </c>
      <c r="P453" t="s">
        <v>9041</v>
      </c>
      <c r="Q453" t="s">
        <v>9042</v>
      </c>
      <c r="R453" t="s">
        <v>74</v>
      </c>
      <c r="S453" t="s">
        <v>74</v>
      </c>
      <c r="T453" t="s">
        <v>74</v>
      </c>
      <c r="U453" t="s">
        <v>74</v>
      </c>
      <c r="V453" t="s">
        <v>74</v>
      </c>
      <c r="W453" t="s">
        <v>9061</v>
      </c>
      <c r="X453" t="s">
        <v>9062</v>
      </c>
      <c r="Y453" t="s">
        <v>74</v>
      </c>
      <c r="Z453" t="s">
        <v>74</v>
      </c>
      <c r="AA453" t="s">
        <v>9045</v>
      </c>
      <c r="AB453" t="s">
        <v>74</v>
      </c>
      <c r="AC453" t="s">
        <v>74</v>
      </c>
      <c r="AD453" t="s">
        <v>74</v>
      </c>
      <c r="AE453" t="s">
        <v>74</v>
      </c>
      <c r="AF453" t="s">
        <v>74</v>
      </c>
      <c r="AG453">
        <v>0</v>
      </c>
      <c r="AH453">
        <v>0</v>
      </c>
      <c r="AI453">
        <v>0</v>
      </c>
      <c r="AJ453">
        <v>0</v>
      </c>
      <c r="AK453">
        <v>0</v>
      </c>
      <c r="AL453" t="s">
        <v>92</v>
      </c>
      <c r="AM453" t="s">
        <v>93</v>
      </c>
      <c r="AN453" t="s">
        <v>94</v>
      </c>
      <c r="AO453" t="s">
        <v>9046</v>
      </c>
      <c r="AP453" t="s">
        <v>9047</v>
      </c>
      <c r="AQ453" t="s">
        <v>74</v>
      </c>
      <c r="AR453" t="s">
        <v>9048</v>
      </c>
      <c r="AS453" t="s">
        <v>9049</v>
      </c>
      <c r="AT453" t="s">
        <v>9050</v>
      </c>
      <c r="AU453">
        <v>2018</v>
      </c>
      <c r="AV453">
        <v>39</v>
      </c>
      <c r="AW453" t="s">
        <v>74</v>
      </c>
      <c r="AX453" t="s">
        <v>74</v>
      </c>
      <c r="AY453">
        <v>1</v>
      </c>
      <c r="AZ453" t="s">
        <v>74</v>
      </c>
      <c r="BA453" t="s">
        <v>9063</v>
      </c>
      <c r="BB453">
        <v>440</v>
      </c>
      <c r="BC453">
        <v>441</v>
      </c>
      <c r="BD453" t="s">
        <v>74</v>
      </c>
      <c r="BE453" t="s">
        <v>74</v>
      </c>
      <c r="BF453" t="s">
        <v>74</v>
      </c>
      <c r="BG453" t="s">
        <v>74</v>
      </c>
      <c r="BH453" t="s">
        <v>74</v>
      </c>
      <c r="BI453">
        <v>2</v>
      </c>
      <c r="BJ453" t="s">
        <v>9052</v>
      </c>
      <c r="BK453" t="s">
        <v>158</v>
      </c>
      <c r="BL453" t="s">
        <v>9053</v>
      </c>
      <c r="BM453" t="s">
        <v>9054</v>
      </c>
      <c r="BN453" t="s">
        <v>74</v>
      </c>
      <c r="BO453" t="s">
        <v>74</v>
      </c>
      <c r="BP453" t="s">
        <v>74</v>
      </c>
      <c r="BQ453" t="s">
        <v>74</v>
      </c>
      <c r="BR453" t="s">
        <v>104</v>
      </c>
      <c r="BS453" t="s">
        <v>9064</v>
      </c>
      <c r="BT453" t="str">
        <f>HYPERLINK("https%3A%2F%2Fwww.webofscience.com%2Fwos%2Fwoscc%2Ffull-record%2FWOS:000459824001395","View Full Record in Web of Science")</f>
        <v>View Full Record in Web of Science</v>
      </c>
    </row>
    <row r="454" spans="1:72" x14ac:dyDescent="0.15">
      <c r="A454" t="s">
        <v>72</v>
      </c>
      <c r="B454" t="s">
        <v>9065</v>
      </c>
      <c r="C454" t="s">
        <v>74</v>
      </c>
      <c r="D454" t="s">
        <v>74</v>
      </c>
      <c r="E454" t="s">
        <v>74</v>
      </c>
      <c r="F454" t="s">
        <v>9066</v>
      </c>
      <c r="G454" t="s">
        <v>74</v>
      </c>
      <c r="H454" t="s">
        <v>74</v>
      </c>
      <c r="I454" t="s">
        <v>9067</v>
      </c>
      <c r="J454" t="s">
        <v>9039</v>
      </c>
      <c r="K454" t="s">
        <v>74</v>
      </c>
      <c r="L454" t="s">
        <v>74</v>
      </c>
      <c r="M454" t="s">
        <v>78</v>
      </c>
      <c r="N454" t="s">
        <v>52</v>
      </c>
      <c r="O454" t="s">
        <v>9060</v>
      </c>
      <c r="P454" t="s">
        <v>9041</v>
      </c>
      <c r="Q454" t="s">
        <v>9042</v>
      </c>
      <c r="R454" t="s">
        <v>74</v>
      </c>
      <c r="S454" t="s">
        <v>74</v>
      </c>
      <c r="T454" t="s">
        <v>74</v>
      </c>
      <c r="U454" t="s">
        <v>74</v>
      </c>
      <c r="V454" t="s">
        <v>74</v>
      </c>
      <c r="W454" t="s">
        <v>9068</v>
      </c>
      <c r="X454" t="s">
        <v>9069</v>
      </c>
      <c r="Y454" t="s">
        <v>74</v>
      </c>
      <c r="Z454" t="s">
        <v>74</v>
      </c>
      <c r="AA454" t="s">
        <v>74</v>
      </c>
      <c r="AB454" t="s">
        <v>74</v>
      </c>
      <c r="AC454" t="s">
        <v>9070</v>
      </c>
      <c r="AD454" t="s">
        <v>9071</v>
      </c>
      <c r="AE454" t="s">
        <v>9072</v>
      </c>
      <c r="AF454" t="s">
        <v>74</v>
      </c>
      <c r="AG454">
        <v>0</v>
      </c>
      <c r="AH454">
        <v>0</v>
      </c>
      <c r="AI454">
        <v>0</v>
      </c>
      <c r="AJ454">
        <v>0</v>
      </c>
      <c r="AK454">
        <v>0</v>
      </c>
      <c r="AL454" t="s">
        <v>92</v>
      </c>
      <c r="AM454" t="s">
        <v>93</v>
      </c>
      <c r="AN454" t="s">
        <v>94</v>
      </c>
      <c r="AO454" t="s">
        <v>9046</v>
      </c>
      <c r="AP454" t="s">
        <v>9047</v>
      </c>
      <c r="AQ454" t="s">
        <v>74</v>
      </c>
      <c r="AR454" t="s">
        <v>9048</v>
      </c>
      <c r="AS454" t="s">
        <v>9049</v>
      </c>
      <c r="AT454" t="s">
        <v>9050</v>
      </c>
      <c r="AU454">
        <v>2018</v>
      </c>
      <c r="AV454">
        <v>39</v>
      </c>
      <c r="AW454" t="s">
        <v>74</v>
      </c>
      <c r="AX454" t="s">
        <v>74</v>
      </c>
      <c r="AY454">
        <v>1</v>
      </c>
      <c r="AZ454" t="s">
        <v>74</v>
      </c>
      <c r="BA454">
        <v>5914</v>
      </c>
      <c r="BB454">
        <v>1235</v>
      </c>
      <c r="BC454">
        <v>1235</v>
      </c>
      <c r="BD454" t="s">
        <v>74</v>
      </c>
      <c r="BE454" t="s">
        <v>74</v>
      </c>
      <c r="BF454" t="s">
        <v>74</v>
      </c>
      <c r="BG454" t="s">
        <v>74</v>
      </c>
      <c r="BH454" t="s">
        <v>74</v>
      </c>
      <c r="BI454">
        <v>1</v>
      </c>
      <c r="BJ454" t="s">
        <v>9052</v>
      </c>
      <c r="BK454" t="s">
        <v>158</v>
      </c>
      <c r="BL454" t="s">
        <v>9053</v>
      </c>
      <c r="BM454" t="s">
        <v>9054</v>
      </c>
      <c r="BN454" t="s">
        <v>74</v>
      </c>
      <c r="BO454" t="s">
        <v>74</v>
      </c>
      <c r="BP454" t="s">
        <v>74</v>
      </c>
      <c r="BQ454" t="s">
        <v>74</v>
      </c>
      <c r="BR454" t="s">
        <v>104</v>
      </c>
      <c r="BS454" t="s">
        <v>9073</v>
      </c>
      <c r="BT454" t="str">
        <f>HYPERLINK("https%3A%2F%2Fwww.webofscience.com%2Fwos%2Fwoscc%2Ffull-record%2FWOS:000459824003890","View Full Record in Web of Science")</f>
        <v>View Full Record in Web of Science</v>
      </c>
    </row>
    <row r="455" spans="1:72" x14ac:dyDescent="0.15">
      <c r="A455" t="s">
        <v>72</v>
      </c>
      <c r="B455" t="s">
        <v>9074</v>
      </c>
      <c r="C455" t="s">
        <v>74</v>
      </c>
      <c r="D455" t="s">
        <v>74</v>
      </c>
      <c r="E455" t="s">
        <v>74</v>
      </c>
      <c r="F455" t="s">
        <v>9075</v>
      </c>
      <c r="G455" t="s">
        <v>74</v>
      </c>
      <c r="H455" t="s">
        <v>9058</v>
      </c>
      <c r="I455" t="s">
        <v>9076</v>
      </c>
      <c r="J455" t="s">
        <v>9039</v>
      </c>
      <c r="K455" t="s">
        <v>74</v>
      </c>
      <c r="L455" t="s">
        <v>74</v>
      </c>
      <c r="M455" t="s">
        <v>78</v>
      </c>
      <c r="N455" t="s">
        <v>52</v>
      </c>
      <c r="O455" t="s">
        <v>9040</v>
      </c>
      <c r="P455" t="s">
        <v>9041</v>
      </c>
      <c r="Q455" t="s">
        <v>9042</v>
      </c>
      <c r="R455" t="s">
        <v>74</v>
      </c>
      <c r="S455" t="s">
        <v>74</v>
      </c>
      <c r="T455" t="s">
        <v>74</v>
      </c>
      <c r="U455" t="s">
        <v>74</v>
      </c>
      <c r="V455" t="s">
        <v>74</v>
      </c>
      <c r="W455" t="s">
        <v>9077</v>
      </c>
      <c r="X455" t="s">
        <v>9078</v>
      </c>
      <c r="Y455" t="s">
        <v>74</v>
      </c>
      <c r="Z455" t="s">
        <v>74</v>
      </c>
      <c r="AA455" t="s">
        <v>9079</v>
      </c>
      <c r="AB455" t="s">
        <v>9080</v>
      </c>
      <c r="AC455" t="s">
        <v>74</v>
      </c>
      <c r="AD455" t="s">
        <v>74</v>
      </c>
      <c r="AE455" t="s">
        <v>74</v>
      </c>
      <c r="AF455" t="s">
        <v>74</v>
      </c>
      <c r="AG455">
        <v>0</v>
      </c>
      <c r="AH455">
        <v>0</v>
      </c>
      <c r="AI455">
        <v>0</v>
      </c>
      <c r="AJ455">
        <v>0</v>
      </c>
      <c r="AK455">
        <v>0</v>
      </c>
      <c r="AL455" t="s">
        <v>92</v>
      </c>
      <c r="AM455" t="s">
        <v>93</v>
      </c>
      <c r="AN455" t="s">
        <v>94</v>
      </c>
      <c r="AO455" t="s">
        <v>9046</v>
      </c>
      <c r="AP455" t="s">
        <v>9047</v>
      </c>
      <c r="AQ455" t="s">
        <v>74</v>
      </c>
      <c r="AR455" t="s">
        <v>9048</v>
      </c>
      <c r="AS455" t="s">
        <v>9049</v>
      </c>
      <c r="AT455" t="s">
        <v>9050</v>
      </c>
      <c r="AU455">
        <v>2018</v>
      </c>
      <c r="AV455">
        <v>39</v>
      </c>
      <c r="AW455" t="s">
        <v>74</v>
      </c>
      <c r="AX455" t="s">
        <v>74</v>
      </c>
      <c r="AY455">
        <v>1</v>
      </c>
      <c r="AZ455" t="s">
        <v>74</v>
      </c>
      <c r="BA455">
        <v>5916</v>
      </c>
      <c r="BB455">
        <v>1236</v>
      </c>
      <c r="BC455">
        <v>1236</v>
      </c>
      <c r="BD455" t="s">
        <v>74</v>
      </c>
      <c r="BE455" t="s">
        <v>74</v>
      </c>
      <c r="BF455" t="s">
        <v>74</v>
      </c>
      <c r="BG455" t="s">
        <v>74</v>
      </c>
      <c r="BH455" t="s">
        <v>74</v>
      </c>
      <c r="BI455">
        <v>1</v>
      </c>
      <c r="BJ455" t="s">
        <v>9052</v>
      </c>
      <c r="BK455" t="s">
        <v>158</v>
      </c>
      <c r="BL455" t="s">
        <v>9053</v>
      </c>
      <c r="BM455" t="s">
        <v>9054</v>
      </c>
      <c r="BN455" t="s">
        <v>74</v>
      </c>
      <c r="BO455" t="s">
        <v>74</v>
      </c>
      <c r="BP455" t="s">
        <v>74</v>
      </c>
      <c r="BQ455" t="s">
        <v>74</v>
      </c>
      <c r="BR455" t="s">
        <v>104</v>
      </c>
      <c r="BS455" t="s">
        <v>9081</v>
      </c>
      <c r="BT455" t="str">
        <f>HYPERLINK("https%3A%2F%2Fwww.webofscience.com%2Fwos%2Fwoscc%2Ffull-record%2FWOS:000459824003892","View Full Record in Web of Science")</f>
        <v>View Full Record in Web of Science</v>
      </c>
    </row>
    <row r="456" spans="1:72" x14ac:dyDescent="0.15">
      <c r="A456" t="s">
        <v>72</v>
      </c>
      <c r="B456" t="s">
        <v>9082</v>
      </c>
      <c r="C456" t="s">
        <v>74</v>
      </c>
      <c r="D456" t="s">
        <v>74</v>
      </c>
      <c r="E456" t="s">
        <v>74</v>
      </c>
      <c r="F456" t="s">
        <v>9083</v>
      </c>
      <c r="G456" t="s">
        <v>74</v>
      </c>
      <c r="H456" t="s">
        <v>74</v>
      </c>
      <c r="I456" t="s">
        <v>9084</v>
      </c>
      <c r="J456" t="s">
        <v>1041</v>
      </c>
      <c r="K456" t="s">
        <v>74</v>
      </c>
      <c r="L456" t="s">
        <v>74</v>
      </c>
      <c r="M456" t="s">
        <v>78</v>
      </c>
      <c r="N456" t="s">
        <v>79</v>
      </c>
      <c r="O456" t="s">
        <v>74</v>
      </c>
      <c r="P456" t="s">
        <v>74</v>
      </c>
      <c r="Q456" t="s">
        <v>74</v>
      </c>
      <c r="R456" t="s">
        <v>74</v>
      </c>
      <c r="S456" t="s">
        <v>74</v>
      </c>
      <c r="T456" t="s">
        <v>9085</v>
      </c>
      <c r="U456" t="s">
        <v>9086</v>
      </c>
      <c r="V456" t="s">
        <v>9087</v>
      </c>
      <c r="W456" t="s">
        <v>9088</v>
      </c>
      <c r="X456" t="s">
        <v>9089</v>
      </c>
      <c r="Y456" t="s">
        <v>9090</v>
      </c>
      <c r="Z456" t="s">
        <v>9091</v>
      </c>
      <c r="AA456" t="s">
        <v>9092</v>
      </c>
      <c r="AB456" t="s">
        <v>9093</v>
      </c>
      <c r="AC456" t="s">
        <v>9094</v>
      </c>
      <c r="AD456" t="s">
        <v>9095</v>
      </c>
      <c r="AE456" t="s">
        <v>9096</v>
      </c>
      <c r="AF456" t="s">
        <v>74</v>
      </c>
      <c r="AG456">
        <v>56</v>
      </c>
      <c r="AH456">
        <v>20</v>
      </c>
      <c r="AI456">
        <v>21</v>
      </c>
      <c r="AJ456">
        <v>4</v>
      </c>
      <c r="AK456">
        <v>26</v>
      </c>
      <c r="AL456" t="s">
        <v>1053</v>
      </c>
      <c r="AM456" t="s">
        <v>1054</v>
      </c>
      <c r="AN456" t="s">
        <v>1055</v>
      </c>
      <c r="AO456" t="s">
        <v>1056</v>
      </c>
      <c r="AP456" t="s">
        <v>74</v>
      </c>
      <c r="AQ456" t="s">
        <v>74</v>
      </c>
      <c r="AR456" t="s">
        <v>1057</v>
      </c>
      <c r="AS456" t="s">
        <v>1058</v>
      </c>
      <c r="AT456" t="s">
        <v>9050</v>
      </c>
      <c r="AU456">
        <v>2018</v>
      </c>
      <c r="AV456">
        <v>16</v>
      </c>
      <c r="AW456">
        <v>8</v>
      </c>
      <c r="AX456" t="s">
        <v>74</v>
      </c>
      <c r="AY456" t="s">
        <v>74</v>
      </c>
      <c r="AZ456" t="s">
        <v>74</v>
      </c>
      <c r="BA456" t="s">
        <v>74</v>
      </c>
      <c r="BB456" t="s">
        <v>74</v>
      </c>
      <c r="BC456" t="s">
        <v>74</v>
      </c>
      <c r="BD456">
        <v>268</v>
      </c>
      <c r="BE456" t="s">
        <v>9097</v>
      </c>
      <c r="BF456" t="str">
        <f>HYPERLINK("http://dx.doi.org/10.3390/md16080268","http://dx.doi.org/10.3390/md16080268")</f>
        <v>http://dx.doi.org/10.3390/md16080268</v>
      </c>
      <c r="BG456" t="s">
        <v>74</v>
      </c>
      <c r="BH456" t="s">
        <v>74</v>
      </c>
      <c r="BI456">
        <v>17</v>
      </c>
      <c r="BJ456" t="s">
        <v>1060</v>
      </c>
      <c r="BK456" t="s">
        <v>101</v>
      </c>
      <c r="BL456" t="s">
        <v>1061</v>
      </c>
      <c r="BM456" t="s">
        <v>9098</v>
      </c>
      <c r="BN456">
        <v>30072656</v>
      </c>
      <c r="BO456" t="s">
        <v>4168</v>
      </c>
      <c r="BP456" t="s">
        <v>74</v>
      </c>
      <c r="BQ456" t="s">
        <v>74</v>
      </c>
      <c r="BR456" t="s">
        <v>104</v>
      </c>
      <c r="BS456" t="s">
        <v>9099</v>
      </c>
      <c r="BT456" t="str">
        <f>HYPERLINK("https%3A%2F%2Fwww.webofscience.com%2Fwos%2Fwoscc%2Ffull-record%2FWOS:000456736900020","View Full Record in Web of Science")</f>
        <v>View Full Record in Web of Science</v>
      </c>
    </row>
    <row r="457" spans="1:72" x14ac:dyDescent="0.15">
      <c r="A457" t="s">
        <v>72</v>
      </c>
      <c r="B457" t="s">
        <v>9100</v>
      </c>
      <c r="C457" t="s">
        <v>74</v>
      </c>
      <c r="D457" t="s">
        <v>74</v>
      </c>
      <c r="E457" t="s">
        <v>74</v>
      </c>
      <c r="F457" t="s">
        <v>9101</v>
      </c>
      <c r="G457" t="s">
        <v>74</v>
      </c>
      <c r="H457" t="s">
        <v>74</v>
      </c>
      <c r="I457" t="s">
        <v>9102</v>
      </c>
      <c r="J457" t="s">
        <v>9103</v>
      </c>
      <c r="K457" t="s">
        <v>74</v>
      </c>
      <c r="L457" t="s">
        <v>74</v>
      </c>
      <c r="M457" t="s">
        <v>78</v>
      </c>
      <c r="N457" t="s">
        <v>79</v>
      </c>
      <c r="O457" t="s">
        <v>74</v>
      </c>
      <c r="P457" t="s">
        <v>74</v>
      </c>
      <c r="Q457" t="s">
        <v>74</v>
      </c>
      <c r="R457" t="s">
        <v>74</v>
      </c>
      <c r="S457" t="s">
        <v>74</v>
      </c>
      <c r="T457" t="s">
        <v>9104</v>
      </c>
      <c r="U457" t="s">
        <v>9105</v>
      </c>
      <c r="V457" t="s">
        <v>9106</v>
      </c>
      <c r="W457" t="s">
        <v>9107</v>
      </c>
      <c r="X457" t="s">
        <v>9108</v>
      </c>
      <c r="Y457" t="s">
        <v>9109</v>
      </c>
      <c r="Z457" t="s">
        <v>9110</v>
      </c>
      <c r="AA457" t="s">
        <v>9111</v>
      </c>
      <c r="AB457" t="s">
        <v>74</v>
      </c>
      <c r="AC457" t="s">
        <v>9112</v>
      </c>
      <c r="AD457" t="s">
        <v>9113</v>
      </c>
      <c r="AE457" t="s">
        <v>9114</v>
      </c>
      <c r="AF457" t="s">
        <v>74</v>
      </c>
      <c r="AG457">
        <v>32</v>
      </c>
      <c r="AH457">
        <v>7</v>
      </c>
      <c r="AI457">
        <v>11</v>
      </c>
      <c r="AJ457">
        <v>7</v>
      </c>
      <c r="AK457">
        <v>27</v>
      </c>
      <c r="AL457" t="s">
        <v>337</v>
      </c>
      <c r="AM457" t="s">
        <v>258</v>
      </c>
      <c r="AN457" t="s">
        <v>387</v>
      </c>
      <c r="AO457" t="s">
        <v>9115</v>
      </c>
      <c r="AP457" t="s">
        <v>9116</v>
      </c>
      <c r="AQ457" t="s">
        <v>74</v>
      </c>
      <c r="AR457" t="s">
        <v>9117</v>
      </c>
      <c r="AS457" t="s">
        <v>9118</v>
      </c>
      <c r="AT457" t="s">
        <v>9050</v>
      </c>
      <c r="AU457">
        <v>2018</v>
      </c>
      <c r="AV457">
        <v>37</v>
      </c>
      <c r="AW457">
        <v>8</v>
      </c>
      <c r="AX457" t="s">
        <v>74</v>
      </c>
      <c r="AY457" t="s">
        <v>74</v>
      </c>
      <c r="AZ457" t="s">
        <v>74</v>
      </c>
      <c r="BA457" t="s">
        <v>74</v>
      </c>
      <c r="BB457">
        <v>46</v>
      </c>
      <c r="BC457">
        <v>53</v>
      </c>
      <c r="BD457" t="s">
        <v>74</v>
      </c>
      <c r="BE457" t="s">
        <v>9119</v>
      </c>
      <c r="BF457" t="str">
        <f>HYPERLINK("http://dx.doi.org/10.1007/s13131-018-1227-z","http://dx.doi.org/10.1007/s13131-018-1227-z")</f>
        <v>http://dx.doi.org/10.1007/s13131-018-1227-z</v>
      </c>
      <c r="BG457" t="s">
        <v>74</v>
      </c>
      <c r="BH457" t="s">
        <v>74</v>
      </c>
      <c r="BI457">
        <v>8</v>
      </c>
      <c r="BJ457" t="s">
        <v>157</v>
      </c>
      <c r="BK457" t="s">
        <v>101</v>
      </c>
      <c r="BL457" t="s">
        <v>157</v>
      </c>
      <c r="BM457" t="s">
        <v>9120</v>
      </c>
      <c r="BN457" t="s">
        <v>74</v>
      </c>
      <c r="BO457" t="s">
        <v>74</v>
      </c>
      <c r="BP457" t="s">
        <v>74</v>
      </c>
      <c r="BQ457" t="s">
        <v>74</v>
      </c>
      <c r="BR457" t="s">
        <v>104</v>
      </c>
      <c r="BS457" t="s">
        <v>9121</v>
      </c>
      <c r="BT457" t="str">
        <f>HYPERLINK("https%3A%2F%2Fwww.webofscience.com%2Fwos%2Fwoscc%2Ffull-record%2FWOS:000441239100007","View Full Record in Web of Science")</f>
        <v>View Full Record in Web of Science</v>
      </c>
    </row>
    <row r="458" spans="1:72" x14ac:dyDescent="0.15">
      <c r="A458" t="s">
        <v>72</v>
      </c>
      <c r="B458" t="s">
        <v>9122</v>
      </c>
      <c r="C458" t="s">
        <v>74</v>
      </c>
      <c r="D458" t="s">
        <v>74</v>
      </c>
      <c r="E458" t="s">
        <v>74</v>
      </c>
      <c r="F458" t="s">
        <v>9123</v>
      </c>
      <c r="G458" t="s">
        <v>74</v>
      </c>
      <c r="H458" t="s">
        <v>74</v>
      </c>
      <c r="I458" t="s">
        <v>9124</v>
      </c>
      <c r="J458" t="s">
        <v>9125</v>
      </c>
      <c r="K458" t="s">
        <v>74</v>
      </c>
      <c r="L458" t="s">
        <v>74</v>
      </c>
      <c r="M458" t="s">
        <v>78</v>
      </c>
      <c r="N458" t="s">
        <v>79</v>
      </c>
      <c r="O458" t="s">
        <v>74</v>
      </c>
      <c r="P458" t="s">
        <v>74</v>
      </c>
      <c r="Q458" t="s">
        <v>74</v>
      </c>
      <c r="R458" t="s">
        <v>74</v>
      </c>
      <c r="S458" t="s">
        <v>74</v>
      </c>
      <c r="T458" t="s">
        <v>9126</v>
      </c>
      <c r="U458" t="s">
        <v>74</v>
      </c>
      <c r="V458" t="s">
        <v>9127</v>
      </c>
      <c r="W458" t="s">
        <v>9128</v>
      </c>
      <c r="X458" t="s">
        <v>9129</v>
      </c>
      <c r="Y458" t="s">
        <v>9130</v>
      </c>
      <c r="Z458" t="s">
        <v>9131</v>
      </c>
      <c r="AA458" t="s">
        <v>9132</v>
      </c>
      <c r="AB458" t="s">
        <v>9133</v>
      </c>
      <c r="AC458" t="s">
        <v>9134</v>
      </c>
      <c r="AD458" t="s">
        <v>9135</v>
      </c>
      <c r="AE458" t="s">
        <v>9136</v>
      </c>
      <c r="AF458" t="s">
        <v>74</v>
      </c>
      <c r="AG458">
        <v>16</v>
      </c>
      <c r="AH458">
        <v>2</v>
      </c>
      <c r="AI458">
        <v>2</v>
      </c>
      <c r="AJ458">
        <v>0</v>
      </c>
      <c r="AK458">
        <v>5</v>
      </c>
      <c r="AL458" t="s">
        <v>9137</v>
      </c>
      <c r="AM458" t="s">
        <v>9138</v>
      </c>
      <c r="AN458" t="s">
        <v>9139</v>
      </c>
      <c r="AO458" t="s">
        <v>9140</v>
      </c>
      <c r="AP458" t="s">
        <v>9141</v>
      </c>
      <c r="AQ458" t="s">
        <v>74</v>
      </c>
      <c r="AR458" t="s">
        <v>9142</v>
      </c>
      <c r="AS458" t="s">
        <v>9143</v>
      </c>
      <c r="AT458" t="s">
        <v>9050</v>
      </c>
      <c r="AU458">
        <v>2018</v>
      </c>
      <c r="AV458">
        <v>90</v>
      </c>
      <c r="AW458">
        <v>2</v>
      </c>
      <c r="AX458" t="s">
        <v>74</v>
      </c>
      <c r="AY458">
        <v>1</v>
      </c>
      <c r="AZ458" t="s">
        <v>74</v>
      </c>
      <c r="BA458" t="s">
        <v>74</v>
      </c>
      <c r="BB458">
        <v>2001</v>
      </c>
      <c r="BC458">
        <v>2010</v>
      </c>
      <c r="BD458" t="s">
        <v>74</v>
      </c>
      <c r="BE458" t="s">
        <v>9144</v>
      </c>
      <c r="BF458" t="str">
        <f>HYPERLINK("http://dx.doi.org/10.1590/0001-3765201820170296","http://dx.doi.org/10.1590/0001-3765201820170296")</f>
        <v>http://dx.doi.org/10.1590/0001-3765201820170296</v>
      </c>
      <c r="BG458" t="s">
        <v>74</v>
      </c>
      <c r="BH458" t="s">
        <v>74</v>
      </c>
      <c r="BI458">
        <v>10</v>
      </c>
      <c r="BJ458" t="s">
        <v>436</v>
      </c>
      <c r="BK458" t="s">
        <v>101</v>
      </c>
      <c r="BL458" t="s">
        <v>437</v>
      </c>
      <c r="BM458" t="s">
        <v>9145</v>
      </c>
      <c r="BN458">
        <v>30066744</v>
      </c>
      <c r="BO458" t="s">
        <v>1063</v>
      </c>
      <c r="BP458" t="s">
        <v>74</v>
      </c>
      <c r="BQ458" t="s">
        <v>74</v>
      </c>
      <c r="BR458" t="s">
        <v>104</v>
      </c>
      <c r="BS458" t="s">
        <v>9146</v>
      </c>
      <c r="BT458" t="str">
        <f>HYPERLINK("https%3A%2F%2Fwww.webofscience.com%2Fwos%2Fwoscc%2Ffull-record%2FWOS:000442096300008","View Full Record in Web of Science")</f>
        <v>View Full Record in Web of Science</v>
      </c>
    </row>
    <row r="459" spans="1:72" x14ac:dyDescent="0.15">
      <c r="A459" t="s">
        <v>72</v>
      </c>
      <c r="B459" t="s">
        <v>9147</v>
      </c>
      <c r="C459" t="s">
        <v>74</v>
      </c>
      <c r="D459" t="s">
        <v>74</v>
      </c>
      <c r="E459" t="s">
        <v>74</v>
      </c>
      <c r="F459" t="s">
        <v>9148</v>
      </c>
      <c r="G459" t="s">
        <v>74</v>
      </c>
      <c r="H459" t="s">
        <v>74</v>
      </c>
      <c r="I459" t="s">
        <v>9149</v>
      </c>
      <c r="J459" t="s">
        <v>9150</v>
      </c>
      <c r="K459" t="s">
        <v>74</v>
      </c>
      <c r="L459" t="s">
        <v>74</v>
      </c>
      <c r="M459" t="s">
        <v>78</v>
      </c>
      <c r="N459" t="s">
        <v>79</v>
      </c>
      <c r="O459" t="s">
        <v>74</v>
      </c>
      <c r="P459" t="s">
        <v>74</v>
      </c>
      <c r="Q459" t="s">
        <v>74</v>
      </c>
      <c r="R459" t="s">
        <v>74</v>
      </c>
      <c r="S459" t="s">
        <v>74</v>
      </c>
      <c r="T459" t="s">
        <v>9151</v>
      </c>
      <c r="U459" t="s">
        <v>9152</v>
      </c>
      <c r="V459" t="s">
        <v>9153</v>
      </c>
      <c r="W459" t="s">
        <v>9154</v>
      </c>
      <c r="X459" t="s">
        <v>9155</v>
      </c>
      <c r="Y459" t="s">
        <v>9156</v>
      </c>
      <c r="Z459" t="s">
        <v>9157</v>
      </c>
      <c r="AA459" t="s">
        <v>9158</v>
      </c>
      <c r="AB459" t="s">
        <v>74</v>
      </c>
      <c r="AC459" t="s">
        <v>9159</v>
      </c>
      <c r="AD459" t="s">
        <v>9160</v>
      </c>
      <c r="AE459" t="s">
        <v>9161</v>
      </c>
      <c r="AF459" t="s">
        <v>74</v>
      </c>
      <c r="AG459">
        <v>51</v>
      </c>
      <c r="AH459">
        <v>18</v>
      </c>
      <c r="AI459">
        <v>21</v>
      </c>
      <c r="AJ459">
        <v>1</v>
      </c>
      <c r="AK459">
        <v>39</v>
      </c>
      <c r="AL459" t="s">
        <v>9162</v>
      </c>
      <c r="AM459" t="s">
        <v>9163</v>
      </c>
      <c r="AN459" t="s">
        <v>9164</v>
      </c>
      <c r="AO459" t="s">
        <v>9165</v>
      </c>
      <c r="AP459" t="s">
        <v>9166</v>
      </c>
      <c r="AQ459" t="s">
        <v>74</v>
      </c>
      <c r="AR459" t="s">
        <v>9167</v>
      </c>
      <c r="AS459" t="s">
        <v>9168</v>
      </c>
      <c r="AT459" t="s">
        <v>9050</v>
      </c>
      <c r="AU459">
        <v>2018</v>
      </c>
      <c r="AV459">
        <v>13</v>
      </c>
      <c r="AW459">
        <v>8</v>
      </c>
      <c r="AX459" t="s">
        <v>74</v>
      </c>
      <c r="AY459" t="s">
        <v>74</v>
      </c>
      <c r="AZ459" t="s">
        <v>74</v>
      </c>
      <c r="BA459" t="s">
        <v>74</v>
      </c>
      <c r="BB459" t="s">
        <v>74</v>
      </c>
      <c r="BC459" t="s">
        <v>74</v>
      </c>
      <c r="BD459">
        <v>1700669</v>
      </c>
      <c r="BE459" t="s">
        <v>9169</v>
      </c>
      <c r="BF459" t="str">
        <f>HYPERLINK("http://dx.doi.org/10.1002/biot.201700669","http://dx.doi.org/10.1002/biot.201700669")</f>
        <v>http://dx.doi.org/10.1002/biot.201700669</v>
      </c>
      <c r="BG459" t="s">
        <v>74</v>
      </c>
      <c r="BH459" t="s">
        <v>74</v>
      </c>
      <c r="BI459">
        <v>10</v>
      </c>
      <c r="BJ459" t="s">
        <v>9170</v>
      </c>
      <c r="BK459" t="s">
        <v>101</v>
      </c>
      <c r="BL459" t="s">
        <v>9171</v>
      </c>
      <c r="BM459" t="s">
        <v>9172</v>
      </c>
      <c r="BN459">
        <v>29577665</v>
      </c>
      <c r="BO459" t="s">
        <v>74</v>
      </c>
      <c r="BP459" t="s">
        <v>74</v>
      </c>
      <c r="BQ459" t="s">
        <v>74</v>
      </c>
      <c r="BR459" t="s">
        <v>104</v>
      </c>
      <c r="BS459" t="s">
        <v>9173</v>
      </c>
      <c r="BT459" t="str">
        <f>HYPERLINK("https%3A%2F%2Fwww.webofscience.com%2Fwos%2Fwoscc%2Ffull-record%2FWOS:000440285600003","View Full Record in Web of Science")</f>
        <v>View Full Record in Web of Science</v>
      </c>
    </row>
    <row r="460" spans="1:72" x14ac:dyDescent="0.15">
      <c r="A460" t="s">
        <v>72</v>
      </c>
      <c r="B460" t="s">
        <v>9174</v>
      </c>
      <c r="C460" t="s">
        <v>74</v>
      </c>
      <c r="D460" t="s">
        <v>74</v>
      </c>
      <c r="E460" t="s">
        <v>74</v>
      </c>
      <c r="F460" t="s">
        <v>9175</v>
      </c>
      <c r="G460" t="s">
        <v>74</v>
      </c>
      <c r="H460" t="s">
        <v>74</v>
      </c>
      <c r="I460" t="s">
        <v>9176</v>
      </c>
      <c r="J460" t="s">
        <v>2525</v>
      </c>
      <c r="K460" t="s">
        <v>74</v>
      </c>
      <c r="L460" t="s">
        <v>74</v>
      </c>
      <c r="M460" t="s">
        <v>78</v>
      </c>
      <c r="N460" t="s">
        <v>79</v>
      </c>
      <c r="O460" t="s">
        <v>74</v>
      </c>
      <c r="P460" t="s">
        <v>74</v>
      </c>
      <c r="Q460" t="s">
        <v>74</v>
      </c>
      <c r="R460" t="s">
        <v>74</v>
      </c>
      <c r="S460" t="s">
        <v>74</v>
      </c>
      <c r="T460" t="s">
        <v>74</v>
      </c>
      <c r="U460" t="s">
        <v>9177</v>
      </c>
      <c r="V460" t="s">
        <v>74</v>
      </c>
      <c r="W460" t="s">
        <v>9178</v>
      </c>
      <c r="X460" t="s">
        <v>9179</v>
      </c>
      <c r="Y460" t="s">
        <v>9180</v>
      </c>
      <c r="Z460" t="s">
        <v>9181</v>
      </c>
      <c r="AA460" t="s">
        <v>9182</v>
      </c>
      <c r="AB460" t="s">
        <v>9183</v>
      </c>
      <c r="AC460" t="s">
        <v>9184</v>
      </c>
      <c r="AD460" t="s">
        <v>9185</v>
      </c>
      <c r="AE460" t="s">
        <v>9186</v>
      </c>
      <c r="AF460" t="s">
        <v>74</v>
      </c>
      <c r="AG460">
        <v>40</v>
      </c>
      <c r="AH460">
        <v>43</v>
      </c>
      <c r="AI460">
        <v>43</v>
      </c>
      <c r="AJ460">
        <v>0</v>
      </c>
      <c r="AK460">
        <v>6</v>
      </c>
      <c r="AL460" t="s">
        <v>785</v>
      </c>
      <c r="AM460" t="s">
        <v>786</v>
      </c>
      <c r="AN460" t="s">
        <v>787</v>
      </c>
      <c r="AO460" t="s">
        <v>2532</v>
      </c>
      <c r="AP460" t="s">
        <v>2533</v>
      </c>
      <c r="AQ460" t="s">
        <v>74</v>
      </c>
      <c r="AR460" t="s">
        <v>2534</v>
      </c>
      <c r="AS460" t="s">
        <v>2535</v>
      </c>
      <c r="AT460" t="s">
        <v>9050</v>
      </c>
      <c r="AU460">
        <v>2018</v>
      </c>
      <c r="AV460">
        <v>99</v>
      </c>
      <c r="AW460">
        <v>8</v>
      </c>
      <c r="AX460" t="s">
        <v>74</v>
      </c>
      <c r="AY460" t="s">
        <v>74</v>
      </c>
      <c r="AZ460" t="s">
        <v>74</v>
      </c>
      <c r="BA460" t="s">
        <v>74</v>
      </c>
      <c r="BB460">
        <v>1569</v>
      </c>
      <c r="BC460">
        <v>1587</v>
      </c>
      <c r="BD460" t="s">
        <v>74</v>
      </c>
      <c r="BE460" t="s">
        <v>9187</v>
      </c>
      <c r="BF460" t="str">
        <f>HYPERLINK("http://dx.doi.org/10.1175/BAMS-D-16-0230.1","http://dx.doi.org/10.1175/BAMS-D-16-0230.1")</f>
        <v>http://dx.doi.org/10.1175/BAMS-D-16-0230.1</v>
      </c>
      <c r="BG460" t="s">
        <v>74</v>
      </c>
      <c r="BH460" t="s">
        <v>74</v>
      </c>
      <c r="BI460">
        <v>19</v>
      </c>
      <c r="BJ460" t="s">
        <v>369</v>
      </c>
      <c r="BK460" t="s">
        <v>101</v>
      </c>
      <c r="BL460" t="s">
        <v>369</v>
      </c>
      <c r="BM460" t="s">
        <v>9188</v>
      </c>
      <c r="BN460" t="s">
        <v>74</v>
      </c>
      <c r="BO460" t="s">
        <v>2909</v>
      </c>
      <c r="BP460" t="s">
        <v>74</v>
      </c>
      <c r="BQ460" t="s">
        <v>74</v>
      </c>
      <c r="BR460" t="s">
        <v>104</v>
      </c>
      <c r="BS460" t="s">
        <v>9189</v>
      </c>
      <c r="BT460" t="str">
        <f>HYPERLINK("https%3A%2F%2Fwww.webofscience.com%2Fwos%2Fwoscc%2Ffull-record%2FWOS:000444560600007","View Full Record in Web of Science")</f>
        <v>View Full Record in Web of Science</v>
      </c>
    </row>
    <row r="461" spans="1:72" x14ac:dyDescent="0.15">
      <c r="A461" t="s">
        <v>72</v>
      </c>
      <c r="B461" t="s">
        <v>9190</v>
      </c>
      <c r="C461" t="s">
        <v>74</v>
      </c>
      <c r="D461" t="s">
        <v>74</v>
      </c>
      <c r="E461" t="s">
        <v>74</v>
      </c>
      <c r="F461" t="s">
        <v>9191</v>
      </c>
      <c r="G461" t="s">
        <v>74</v>
      </c>
      <c r="H461" t="s">
        <v>74</v>
      </c>
      <c r="I461" t="s">
        <v>9192</v>
      </c>
      <c r="J461" t="s">
        <v>132</v>
      </c>
      <c r="K461" t="s">
        <v>74</v>
      </c>
      <c r="L461" t="s">
        <v>74</v>
      </c>
      <c r="M461" t="s">
        <v>78</v>
      </c>
      <c r="N461" t="s">
        <v>79</v>
      </c>
      <c r="O461" t="s">
        <v>74</v>
      </c>
      <c r="P461" t="s">
        <v>74</v>
      </c>
      <c r="Q461" t="s">
        <v>74</v>
      </c>
      <c r="R461" t="s">
        <v>74</v>
      </c>
      <c r="S461" t="s">
        <v>74</v>
      </c>
      <c r="T461" t="s">
        <v>9193</v>
      </c>
      <c r="U461" t="s">
        <v>9194</v>
      </c>
      <c r="V461" t="s">
        <v>9195</v>
      </c>
      <c r="W461" t="s">
        <v>9196</v>
      </c>
      <c r="X461" t="s">
        <v>9197</v>
      </c>
      <c r="Y461" t="s">
        <v>9198</v>
      </c>
      <c r="Z461" t="s">
        <v>9199</v>
      </c>
      <c r="AA461" t="s">
        <v>9200</v>
      </c>
      <c r="AB461" t="s">
        <v>9201</v>
      </c>
      <c r="AC461" t="s">
        <v>9202</v>
      </c>
      <c r="AD461" t="s">
        <v>9203</v>
      </c>
      <c r="AE461" t="s">
        <v>9204</v>
      </c>
      <c r="AF461" t="s">
        <v>74</v>
      </c>
      <c r="AG461">
        <v>46</v>
      </c>
      <c r="AH461">
        <v>6</v>
      </c>
      <c r="AI461">
        <v>6</v>
      </c>
      <c r="AJ461">
        <v>0</v>
      </c>
      <c r="AK461">
        <v>5</v>
      </c>
      <c r="AL461" t="s">
        <v>149</v>
      </c>
      <c r="AM461" t="s">
        <v>93</v>
      </c>
      <c r="AN461" t="s">
        <v>150</v>
      </c>
      <c r="AO461" t="s">
        <v>151</v>
      </c>
      <c r="AP461" t="s">
        <v>152</v>
      </c>
      <c r="AQ461" t="s">
        <v>74</v>
      </c>
      <c r="AR461" t="s">
        <v>153</v>
      </c>
      <c r="AS461" t="s">
        <v>154</v>
      </c>
      <c r="AT461" t="s">
        <v>9050</v>
      </c>
      <c r="AU461">
        <v>2018</v>
      </c>
      <c r="AV461">
        <v>154</v>
      </c>
      <c r="AW461" t="s">
        <v>74</v>
      </c>
      <c r="AX461" t="s">
        <v>74</v>
      </c>
      <c r="AY461" t="s">
        <v>74</v>
      </c>
      <c r="AZ461" t="s">
        <v>155</v>
      </c>
      <c r="BA461" t="s">
        <v>74</v>
      </c>
      <c r="BB461">
        <v>87</v>
      </c>
      <c r="BC461">
        <v>98</v>
      </c>
      <c r="BD461" t="s">
        <v>74</v>
      </c>
      <c r="BE461" t="s">
        <v>9205</v>
      </c>
      <c r="BF461" t="str">
        <f>HYPERLINK("http://dx.doi.org/10.1016/j.dsr2.2017.11.010","http://dx.doi.org/10.1016/j.dsr2.2017.11.010")</f>
        <v>http://dx.doi.org/10.1016/j.dsr2.2017.11.010</v>
      </c>
      <c r="BG461" t="s">
        <v>74</v>
      </c>
      <c r="BH461" t="s">
        <v>74</v>
      </c>
      <c r="BI461">
        <v>12</v>
      </c>
      <c r="BJ461" t="s">
        <v>157</v>
      </c>
      <c r="BK461" t="s">
        <v>101</v>
      </c>
      <c r="BL461" t="s">
        <v>157</v>
      </c>
      <c r="BM461" t="s">
        <v>9206</v>
      </c>
      <c r="BN461" t="s">
        <v>74</v>
      </c>
      <c r="BO461" t="s">
        <v>74</v>
      </c>
      <c r="BP461" t="s">
        <v>74</v>
      </c>
      <c r="BQ461" t="s">
        <v>74</v>
      </c>
      <c r="BR461" t="s">
        <v>104</v>
      </c>
      <c r="BS461" t="s">
        <v>9207</v>
      </c>
      <c r="BT461" t="str">
        <f>HYPERLINK("https%3A%2F%2Fwww.webofscience.com%2Fwos%2Fwoscc%2Ffull-record%2FWOS:000452580500008","View Full Record in Web of Science")</f>
        <v>View Full Record in Web of Science</v>
      </c>
    </row>
    <row r="462" spans="1:72" x14ac:dyDescent="0.15">
      <c r="A462" t="s">
        <v>72</v>
      </c>
      <c r="B462" t="s">
        <v>9208</v>
      </c>
      <c r="C462" t="s">
        <v>74</v>
      </c>
      <c r="D462" t="s">
        <v>74</v>
      </c>
      <c r="E462" t="s">
        <v>74</v>
      </c>
      <c r="F462" t="s">
        <v>9209</v>
      </c>
      <c r="G462" t="s">
        <v>74</v>
      </c>
      <c r="H462" t="s">
        <v>74</v>
      </c>
      <c r="I462" t="s">
        <v>9210</v>
      </c>
      <c r="J462" t="s">
        <v>132</v>
      </c>
      <c r="K462" t="s">
        <v>74</v>
      </c>
      <c r="L462" t="s">
        <v>74</v>
      </c>
      <c r="M462" t="s">
        <v>78</v>
      </c>
      <c r="N462" t="s">
        <v>79</v>
      </c>
      <c r="O462" t="s">
        <v>74</v>
      </c>
      <c r="P462" t="s">
        <v>74</v>
      </c>
      <c r="Q462" t="s">
        <v>74</v>
      </c>
      <c r="R462" t="s">
        <v>74</v>
      </c>
      <c r="S462" t="s">
        <v>74</v>
      </c>
      <c r="T462" t="s">
        <v>9211</v>
      </c>
      <c r="U462" t="s">
        <v>9212</v>
      </c>
      <c r="V462" t="s">
        <v>9213</v>
      </c>
      <c r="W462" t="s">
        <v>9214</v>
      </c>
      <c r="X462" t="s">
        <v>9215</v>
      </c>
      <c r="Y462" t="s">
        <v>9216</v>
      </c>
      <c r="Z462" t="s">
        <v>9217</v>
      </c>
      <c r="AA462" t="s">
        <v>9218</v>
      </c>
      <c r="AB462" t="s">
        <v>9219</v>
      </c>
      <c r="AC462" t="s">
        <v>9220</v>
      </c>
      <c r="AD462" t="s">
        <v>9221</v>
      </c>
      <c r="AE462" t="s">
        <v>9222</v>
      </c>
      <c r="AF462" t="s">
        <v>74</v>
      </c>
      <c r="AG462">
        <v>64</v>
      </c>
      <c r="AH462">
        <v>16</v>
      </c>
      <c r="AI462">
        <v>16</v>
      </c>
      <c r="AJ462">
        <v>0</v>
      </c>
      <c r="AK462">
        <v>10</v>
      </c>
      <c r="AL462" t="s">
        <v>149</v>
      </c>
      <c r="AM462" t="s">
        <v>93</v>
      </c>
      <c r="AN462" t="s">
        <v>150</v>
      </c>
      <c r="AO462" t="s">
        <v>151</v>
      </c>
      <c r="AP462" t="s">
        <v>152</v>
      </c>
      <c r="AQ462" t="s">
        <v>74</v>
      </c>
      <c r="AR462" t="s">
        <v>153</v>
      </c>
      <c r="AS462" t="s">
        <v>154</v>
      </c>
      <c r="AT462" t="s">
        <v>9050</v>
      </c>
      <c r="AU462">
        <v>2018</v>
      </c>
      <c r="AV462">
        <v>154</v>
      </c>
      <c r="AW462" t="s">
        <v>74</v>
      </c>
      <c r="AX462" t="s">
        <v>74</v>
      </c>
      <c r="AY462" t="s">
        <v>74</v>
      </c>
      <c r="AZ462" t="s">
        <v>155</v>
      </c>
      <c r="BA462" t="s">
        <v>74</v>
      </c>
      <c r="BB462">
        <v>275</v>
      </c>
      <c r="BC462">
        <v>291</v>
      </c>
      <c r="BD462" t="s">
        <v>74</v>
      </c>
      <c r="BE462" t="s">
        <v>9223</v>
      </c>
      <c r="BF462" t="str">
        <f>HYPERLINK("http://dx.doi.org/10.1016/j.dsr2.2017.12.006","http://dx.doi.org/10.1016/j.dsr2.2017.12.006")</f>
        <v>http://dx.doi.org/10.1016/j.dsr2.2017.12.006</v>
      </c>
      <c r="BG462" t="s">
        <v>74</v>
      </c>
      <c r="BH462" t="s">
        <v>74</v>
      </c>
      <c r="BI462">
        <v>17</v>
      </c>
      <c r="BJ462" t="s">
        <v>157</v>
      </c>
      <c r="BK462" t="s">
        <v>101</v>
      </c>
      <c r="BL462" t="s">
        <v>157</v>
      </c>
      <c r="BM462" t="s">
        <v>9206</v>
      </c>
      <c r="BN462" t="s">
        <v>74</v>
      </c>
      <c r="BO462" t="s">
        <v>74</v>
      </c>
      <c r="BP462" t="s">
        <v>74</v>
      </c>
      <c r="BQ462" t="s">
        <v>74</v>
      </c>
      <c r="BR462" t="s">
        <v>104</v>
      </c>
      <c r="BS462" t="s">
        <v>9224</v>
      </c>
      <c r="BT462" t="str">
        <f>HYPERLINK("https%3A%2F%2Fwww.webofscience.com%2Fwos%2Fwoscc%2Ffull-record%2FWOS:000452580500021","View Full Record in Web of Science")</f>
        <v>View Full Record in Web of Science</v>
      </c>
    </row>
    <row r="463" spans="1:72" x14ac:dyDescent="0.15">
      <c r="A463" t="s">
        <v>72</v>
      </c>
      <c r="B463" t="s">
        <v>9225</v>
      </c>
      <c r="C463" t="s">
        <v>74</v>
      </c>
      <c r="D463" t="s">
        <v>74</v>
      </c>
      <c r="E463" t="s">
        <v>74</v>
      </c>
      <c r="F463" t="s">
        <v>9226</v>
      </c>
      <c r="G463" t="s">
        <v>74</v>
      </c>
      <c r="H463" t="s">
        <v>74</v>
      </c>
      <c r="I463" t="s">
        <v>9227</v>
      </c>
      <c r="J463" t="s">
        <v>132</v>
      </c>
      <c r="K463" t="s">
        <v>74</v>
      </c>
      <c r="L463" t="s">
        <v>74</v>
      </c>
      <c r="M463" t="s">
        <v>78</v>
      </c>
      <c r="N463" t="s">
        <v>79</v>
      </c>
      <c r="O463" t="s">
        <v>74</v>
      </c>
      <c r="P463" t="s">
        <v>74</v>
      </c>
      <c r="Q463" t="s">
        <v>74</v>
      </c>
      <c r="R463" t="s">
        <v>74</v>
      </c>
      <c r="S463" t="s">
        <v>74</v>
      </c>
      <c r="T463" t="s">
        <v>9228</v>
      </c>
      <c r="U463" t="s">
        <v>9229</v>
      </c>
      <c r="V463" t="s">
        <v>9230</v>
      </c>
      <c r="W463" t="s">
        <v>9231</v>
      </c>
      <c r="X463" t="s">
        <v>9232</v>
      </c>
      <c r="Y463" t="s">
        <v>9233</v>
      </c>
      <c r="Z463" t="s">
        <v>9234</v>
      </c>
      <c r="AA463" t="s">
        <v>9235</v>
      </c>
      <c r="AB463" t="s">
        <v>9236</v>
      </c>
      <c r="AC463" t="s">
        <v>9237</v>
      </c>
      <c r="AD463" t="s">
        <v>9238</v>
      </c>
      <c r="AE463" t="s">
        <v>9239</v>
      </c>
      <c r="AF463" t="s">
        <v>74</v>
      </c>
      <c r="AG463">
        <v>102</v>
      </c>
      <c r="AH463">
        <v>18</v>
      </c>
      <c r="AI463">
        <v>19</v>
      </c>
      <c r="AJ463">
        <v>0</v>
      </c>
      <c r="AK463">
        <v>4</v>
      </c>
      <c r="AL463" t="s">
        <v>149</v>
      </c>
      <c r="AM463" t="s">
        <v>93</v>
      </c>
      <c r="AN463" t="s">
        <v>150</v>
      </c>
      <c r="AO463" t="s">
        <v>151</v>
      </c>
      <c r="AP463" t="s">
        <v>152</v>
      </c>
      <c r="AQ463" t="s">
        <v>74</v>
      </c>
      <c r="AR463" t="s">
        <v>153</v>
      </c>
      <c r="AS463" t="s">
        <v>154</v>
      </c>
      <c r="AT463" t="s">
        <v>9050</v>
      </c>
      <c r="AU463">
        <v>2018</v>
      </c>
      <c r="AV463">
        <v>154</v>
      </c>
      <c r="AW463" t="s">
        <v>74</v>
      </c>
      <c r="AX463" t="s">
        <v>74</v>
      </c>
      <c r="AY463" t="s">
        <v>74</v>
      </c>
      <c r="AZ463" t="s">
        <v>155</v>
      </c>
      <c r="BA463" t="s">
        <v>74</v>
      </c>
      <c r="BB463">
        <v>342</v>
      </c>
      <c r="BC463">
        <v>357</v>
      </c>
      <c r="BD463" t="s">
        <v>74</v>
      </c>
      <c r="BE463" t="s">
        <v>9240</v>
      </c>
      <c r="BF463" t="str">
        <f>HYPERLINK("http://dx.doi.org/10.1016/j.dsr2.2017.10.003","http://dx.doi.org/10.1016/j.dsr2.2017.10.003")</f>
        <v>http://dx.doi.org/10.1016/j.dsr2.2017.10.003</v>
      </c>
      <c r="BG463" t="s">
        <v>74</v>
      </c>
      <c r="BH463" t="s">
        <v>74</v>
      </c>
      <c r="BI463">
        <v>16</v>
      </c>
      <c r="BJ463" t="s">
        <v>157</v>
      </c>
      <c r="BK463" t="s">
        <v>101</v>
      </c>
      <c r="BL463" t="s">
        <v>157</v>
      </c>
      <c r="BM463" t="s">
        <v>9206</v>
      </c>
      <c r="BN463" t="s">
        <v>74</v>
      </c>
      <c r="BO463" t="s">
        <v>74</v>
      </c>
      <c r="BP463" t="s">
        <v>74</v>
      </c>
      <c r="BQ463" t="s">
        <v>74</v>
      </c>
      <c r="BR463" t="s">
        <v>104</v>
      </c>
      <c r="BS463" t="s">
        <v>9241</v>
      </c>
      <c r="BT463" t="str">
        <f>HYPERLINK("https%3A%2F%2Fwww.webofscience.com%2Fwos%2Fwoscc%2Ffull-record%2FWOS:000452580500026","View Full Record in Web of Science")</f>
        <v>View Full Record in Web of Science</v>
      </c>
    </row>
    <row r="464" spans="1:72" x14ac:dyDescent="0.15">
      <c r="A464" t="s">
        <v>72</v>
      </c>
      <c r="B464" t="s">
        <v>9242</v>
      </c>
      <c r="C464" t="s">
        <v>74</v>
      </c>
      <c r="D464" t="s">
        <v>74</v>
      </c>
      <c r="E464" t="s">
        <v>74</v>
      </c>
      <c r="F464" t="s">
        <v>9243</v>
      </c>
      <c r="G464" t="s">
        <v>74</v>
      </c>
      <c r="H464" t="s">
        <v>74</v>
      </c>
      <c r="I464" t="s">
        <v>9244</v>
      </c>
      <c r="J464" t="s">
        <v>491</v>
      </c>
      <c r="K464" t="s">
        <v>74</v>
      </c>
      <c r="L464" t="s">
        <v>74</v>
      </c>
      <c r="M464" t="s">
        <v>78</v>
      </c>
      <c r="N464" t="s">
        <v>79</v>
      </c>
      <c r="O464" t="s">
        <v>74</v>
      </c>
      <c r="P464" t="s">
        <v>74</v>
      </c>
      <c r="Q464" t="s">
        <v>74</v>
      </c>
      <c r="R464" t="s">
        <v>74</v>
      </c>
      <c r="S464" t="s">
        <v>74</v>
      </c>
      <c r="T464" t="s">
        <v>9245</v>
      </c>
      <c r="U464" t="s">
        <v>9246</v>
      </c>
      <c r="V464" t="s">
        <v>9247</v>
      </c>
      <c r="W464" t="s">
        <v>9248</v>
      </c>
      <c r="X464" t="s">
        <v>9249</v>
      </c>
      <c r="Y464" t="s">
        <v>9250</v>
      </c>
      <c r="Z464" t="s">
        <v>9251</v>
      </c>
      <c r="AA464" t="s">
        <v>9252</v>
      </c>
      <c r="AB464" t="s">
        <v>9253</v>
      </c>
      <c r="AC464" t="s">
        <v>9254</v>
      </c>
      <c r="AD464" t="s">
        <v>9254</v>
      </c>
      <c r="AE464" t="s">
        <v>9255</v>
      </c>
      <c r="AF464" t="s">
        <v>74</v>
      </c>
      <c r="AG464">
        <v>34</v>
      </c>
      <c r="AH464">
        <v>7</v>
      </c>
      <c r="AI464">
        <v>7</v>
      </c>
      <c r="AJ464">
        <v>1</v>
      </c>
      <c r="AK464">
        <v>15</v>
      </c>
      <c r="AL464" t="s">
        <v>503</v>
      </c>
      <c r="AM464" t="s">
        <v>504</v>
      </c>
      <c r="AN464" t="s">
        <v>505</v>
      </c>
      <c r="AO464" t="s">
        <v>506</v>
      </c>
      <c r="AP464" t="s">
        <v>74</v>
      </c>
      <c r="AQ464" t="s">
        <v>74</v>
      </c>
      <c r="AR464" t="s">
        <v>507</v>
      </c>
      <c r="AS464" t="s">
        <v>508</v>
      </c>
      <c r="AT464" t="s">
        <v>9050</v>
      </c>
      <c r="AU464">
        <v>2018</v>
      </c>
      <c r="AV464">
        <v>5</v>
      </c>
      <c r="AW464">
        <v>8</v>
      </c>
      <c r="AX464" t="s">
        <v>74</v>
      </c>
      <c r="AY464" t="s">
        <v>74</v>
      </c>
      <c r="AZ464" t="s">
        <v>74</v>
      </c>
      <c r="BA464" t="s">
        <v>74</v>
      </c>
      <c r="BB464">
        <v>380</v>
      </c>
      <c r="BC464">
        <v>392</v>
      </c>
      <c r="BD464" t="s">
        <v>74</v>
      </c>
      <c r="BE464" t="s">
        <v>9256</v>
      </c>
      <c r="BF464" t="str">
        <f>HYPERLINK("http://dx.doi.org/10.1029/2018EA000369","http://dx.doi.org/10.1029/2018EA000369")</f>
        <v>http://dx.doi.org/10.1029/2018EA000369</v>
      </c>
      <c r="BG464" t="s">
        <v>74</v>
      </c>
      <c r="BH464" t="s">
        <v>74</v>
      </c>
      <c r="BI464">
        <v>13</v>
      </c>
      <c r="BJ464" t="s">
        <v>510</v>
      </c>
      <c r="BK464" t="s">
        <v>101</v>
      </c>
      <c r="BL464" t="s">
        <v>511</v>
      </c>
      <c r="BM464" t="s">
        <v>9257</v>
      </c>
      <c r="BN464" t="s">
        <v>74</v>
      </c>
      <c r="BO464" t="s">
        <v>1584</v>
      </c>
      <c r="BP464" t="s">
        <v>74</v>
      </c>
      <c r="BQ464" t="s">
        <v>74</v>
      </c>
      <c r="BR464" t="s">
        <v>104</v>
      </c>
      <c r="BS464" t="s">
        <v>9258</v>
      </c>
      <c r="BT464" t="str">
        <f>HYPERLINK("https%3A%2F%2Fwww.webofscience.com%2Fwos%2Fwoscc%2Ffull-record%2FWOS:000443994000005","View Full Record in Web of Science")</f>
        <v>View Full Record in Web of Science</v>
      </c>
    </row>
    <row r="465" spans="1:72" x14ac:dyDescent="0.15">
      <c r="A465" t="s">
        <v>72</v>
      </c>
      <c r="B465" t="s">
        <v>9259</v>
      </c>
      <c r="C465" t="s">
        <v>74</v>
      </c>
      <c r="D465" t="s">
        <v>74</v>
      </c>
      <c r="E465" t="s">
        <v>74</v>
      </c>
      <c r="F465" t="s">
        <v>9260</v>
      </c>
      <c r="G465" t="s">
        <v>74</v>
      </c>
      <c r="H465" t="s">
        <v>74</v>
      </c>
      <c r="I465" t="s">
        <v>9261</v>
      </c>
      <c r="J465" t="s">
        <v>9262</v>
      </c>
      <c r="K465" t="s">
        <v>74</v>
      </c>
      <c r="L465" t="s">
        <v>74</v>
      </c>
      <c r="M465" t="s">
        <v>78</v>
      </c>
      <c r="N465" t="s">
        <v>79</v>
      </c>
      <c r="O465" t="s">
        <v>74</v>
      </c>
      <c r="P465" t="s">
        <v>74</v>
      </c>
      <c r="Q465" t="s">
        <v>74</v>
      </c>
      <c r="R465" t="s">
        <v>74</v>
      </c>
      <c r="S465" t="s">
        <v>74</v>
      </c>
      <c r="T465" t="s">
        <v>9263</v>
      </c>
      <c r="U465" t="s">
        <v>9264</v>
      </c>
      <c r="V465" t="s">
        <v>9265</v>
      </c>
      <c r="W465" t="s">
        <v>9266</v>
      </c>
      <c r="X465" t="s">
        <v>9267</v>
      </c>
      <c r="Y465" t="s">
        <v>9268</v>
      </c>
      <c r="Z465" t="s">
        <v>9269</v>
      </c>
      <c r="AA465" t="s">
        <v>9270</v>
      </c>
      <c r="AB465" t="s">
        <v>9271</v>
      </c>
      <c r="AC465" t="s">
        <v>9272</v>
      </c>
      <c r="AD465" t="s">
        <v>9273</v>
      </c>
      <c r="AE465" t="s">
        <v>9274</v>
      </c>
      <c r="AF465" t="s">
        <v>74</v>
      </c>
      <c r="AG465">
        <v>98</v>
      </c>
      <c r="AH465">
        <v>12</v>
      </c>
      <c r="AI465">
        <v>12</v>
      </c>
      <c r="AJ465">
        <v>1</v>
      </c>
      <c r="AK465">
        <v>22</v>
      </c>
      <c r="AL465" t="s">
        <v>285</v>
      </c>
      <c r="AM465" t="s">
        <v>286</v>
      </c>
      <c r="AN465" t="s">
        <v>287</v>
      </c>
      <c r="AO465" t="s">
        <v>9275</v>
      </c>
      <c r="AP465" t="s">
        <v>9276</v>
      </c>
      <c r="AQ465" t="s">
        <v>74</v>
      </c>
      <c r="AR465" t="s">
        <v>9277</v>
      </c>
      <c r="AS465" t="s">
        <v>9278</v>
      </c>
      <c r="AT465" t="s">
        <v>9050</v>
      </c>
      <c r="AU465">
        <v>2018</v>
      </c>
      <c r="AV465">
        <v>91</v>
      </c>
      <c r="AW465" t="s">
        <v>74</v>
      </c>
      <c r="AX465" t="s">
        <v>74</v>
      </c>
      <c r="AY465" t="s">
        <v>74</v>
      </c>
      <c r="AZ465" t="s">
        <v>74</v>
      </c>
      <c r="BA465" t="s">
        <v>74</v>
      </c>
      <c r="BB465">
        <v>338</v>
      </c>
      <c r="BC465">
        <v>349</v>
      </c>
      <c r="BD465" t="s">
        <v>74</v>
      </c>
      <c r="BE465" t="s">
        <v>9279</v>
      </c>
      <c r="BF465" t="str">
        <f>HYPERLINK("http://dx.doi.org/10.1016/j.ecolind.2018.04.019","http://dx.doi.org/10.1016/j.ecolind.2018.04.019")</f>
        <v>http://dx.doi.org/10.1016/j.ecolind.2018.04.019</v>
      </c>
      <c r="BG465" t="s">
        <v>74</v>
      </c>
      <c r="BH465" t="s">
        <v>74</v>
      </c>
      <c r="BI465">
        <v>12</v>
      </c>
      <c r="BJ465" t="s">
        <v>9280</v>
      </c>
      <c r="BK465" t="s">
        <v>101</v>
      </c>
      <c r="BL465" t="s">
        <v>1210</v>
      </c>
      <c r="BM465" t="s">
        <v>9281</v>
      </c>
      <c r="BN465" t="s">
        <v>74</v>
      </c>
      <c r="BO465" t="s">
        <v>6666</v>
      </c>
      <c r="BP465" t="s">
        <v>74</v>
      </c>
      <c r="BQ465" t="s">
        <v>74</v>
      </c>
      <c r="BR465" t="s">
        <v>104</v>
      </c>
      <c r="BS465" t="s">
        <v>9282</v>
      </c>
      <c r="BT465" t="str">
        <f>HYPERLINK("https%3A%2F%2Fwww.webofscience.com%2Fwos%2Fwoscc%2Ffull-record%2FWOS:000444520600035","View Full Record in Web of Science")</f>
        <v>View Full Record in Web of Science</v>
      </c>
    </row>
    <row r="466" spans="1:72" x14ac:dyDescent="0.15">
      <c r="A466" t="s">
        <v>72</v>
      </c>
      <c r="B466" t="s">
        <v>9283</v>
      </c>
      <c r="C466" t="s">
        <v>74</v>
      </c>
      <c r="D466" t="s">
        <v>74</v>
      </c>
      <c r="E466" t="s">
        <v>74</v>
      </c>
      <c r="F466" t="s">
        <v>9284</v>
      </c>
      <c r="G466" t="s">
        <v>74</v>
      </c>
      <c r="H466" t="s">
        <v>74</v>
      </c>
      <c r="I466" t="s">
        <v>9285</v>
      </c>
      <c r="J466" t="s">
        <v>9262</v>
      </c>
      <c r="K466" t="s">
        <v>74</v>
      </c>
      <c r="L466" t="s">
        <v>74</v>
      </c>
      <c r="M466" t="s">
        <v>78</v>
      </c>
      <c r="N466" t="s">
        <v>79</v>
      </c>
      <c r="O466" t="s">
        <v>74</v>
      </c>
      <c r="P466" t="s">
        <v>74</v>
      </c>
      <c r="Q466" t="s">
        <v>74</v>
      </c>
      <c r="R466" t="s">
        <v>74</v>
      </c>
      <c r="S466" t="s">
        <v>74</v>
      </c>
      <c r="T466" t="s">
        <v>9286</v>
      </c>
      <c r="U466" t="s">
        <v>9287</v>
      </c>
      <c r="V466" t="s">
        <v>9288</v>
      </c>
      <c r="W466" t="s">
        <v>9289</v>
      </c>
      <c r="X466" t="s">
        <v>9290</v>
      </c>
      <c r="Y466" t="s">
        <v>9291</v>
      </c>
      <c r="Z466" t="s">
        <v>9292</v>
      </c>
      <c r="AA466" t="s">
        <v>9293</v>
      </c>
      <c r="AB466" t="s">
        <v>9294</v>
      </c>
      <c r="AC466" t="s">
        <v>9295</v>
      </c>
      <c r="AD466" t="s">
        <v>9296</v>
      </c>
      <c r="AE466" t="s">
        <v>9297</v>
      </c>
      <c r="AF466" t="s">
        <v>74</v>
      </c>
      <c r="AG466">
        <v>111</v>
      </c>
      <c r="AH466">
        <v>11</v>
      </c>
      <c r="AI466">
        <v>12</v>
      </c>
      <c r="AJ466">
        <v>1</v>
      </c>
      <c r="AK466">
        <v>29</v>
      </c>
      <c r="AL466" t="s">
        <v>285</v>
      </c>
      <c r="AM466" t="s">
        <v>286</v>
      </c>
      <c r="AN466" t="s">
        <v>287</v>
      </c>
      <c r="AO466" t="s">
        <v>9275</v>
      </c>
      <c r="AP466" t="s">
        <v>9276</v>
      </c>
      <c r="AQ466" t="s">
        <v>74</v>
      </c>
      <c r="AR466" t="s">
        <v>9277</v>
      </c>
      <c r="AS466" t="s">
        <v>9278</v>
      </c>
      <c r="AT466" t="s">
        <v>9050</v>
      </c>
      <c r="AU466">
        <v>2018</v>
      </c>
      <c r="AV466">
        <v>91</v>
      </c>
      <c r="AW466" t="s">
        <v>74</v>
      </c>
      <c r="AX466" t="s">
        <v>74</v>
      </c>
      <c r="AY466" t="s">
        <v>74</v>
      </c>
      <c r="AZ466" t="s">
        <v>74</v>
      </c>
      <c r="BA466" t="s">
        <v>74</v>
      </c>
      <c r="BB466">
        <v>626</v>
      </c>
      <c r="BC466">
        <v>635</v>
      </c>
      <c r="BD466" t="s">
        <v>74</v>
      </c>
      <c r="BE466" t="s">
        <v>9298</v>
      </c>
      <c r="BF466" t="str">
        <f>HYPERLINK("http://dx.doi.org/10.1016/j.ecolind.2018.04.044","http://dx.doi.org/10.1016/j.ecolind.2018.04.044")</f>
        <v>http://dx.doi.org/10.1016/j.ecolind.2018.04.044</v>
      </c>
      <c r="BG466" t="s">
        <v>74</v>
      </c>
      <c r="BH466" t="s">
        <v>74</v>
      </c>
      <c r="BI466">
        <v>10</v>
      </c>
      <c r="BJ466" t="s">
        <v>9280</v>
      </c>
      <c r="BK466" t="s">
        <v>101</v>
      </c>
      <c r="BL466" t="s">
        <v>1210</v>
      </c>
      <c r="BM466" t="s">
        <v>9281</v>
      </c>
      <c r="BN466" t="s">
        <v>74</v>
      </c>
      <c r="BO466" t="s">
        <v>486</v>
      </c>
      <c r="BP466" t="s">
        <v>74</v>
      </c>
      <c r="BQ466" t="s">
        <v>74</v>
      </c>
      <c r="BR466" t="s">
        <v>104</v>
      </c>
      <c r="BS466" t="s">
        <v>9299</v>
      </c>
      <c r="BT466" t="str">
        <f>HYPERLINK("https%3A%2F%2Fwww.webofscience.com%2Fwos%2Fwoscc%2Ffull-record%2FWOS:000444520600062","View Full Record in Web of Science")</f>
        <v>View Full Record in Web of Science</v>
      </c>
    </row>
    <row r="467" spans="1:72" x14ac:dyDescent="0.15">
      <c r="A467" t="s">
        <v>72</v>
      </c>
      <c r="B467" t="s">
        <v>9300</v>
      </c>
      <c r="C467" t="s">
        <v>74</v>
      </c>
      <c r="D467" t="s">
        <v>74</v>
      </c>
      <c r="E467" t="s">
        <v>74</v>
      </c>
      <c r="F467" t="s">
        <v>9301</v>
      </c>
      <c r="G467" t="s">
        <v>74</v>
      </c>
      <c r="H467" t="s">
        <v>74</v>
      </c>
      <c r="I467" t="s">
        <v>9302</v>
      </c>
      <c r="J467" t="s">
        <v>9303</v>
      </c>
      <c r="K467" t="s">
        <v>74</v>
      </c>
      <c r="L467" t="s">
        <v>74</v>
      </c>
      <c r="M467" t="s">
        <v>78</v>
      </c>
      <c r="N467" t="s">
        <v>79</v>
      </c>
      <c r="O467" t="s">
        <v>74</v>
      </c>
      <c r="P467" t="s">
        <v>74</v>
      </c>
      <c r="Q467" t="s">
        <v>74</v>
      </c>
      <c r="R467" t="s">
        <v>74</v>
      </c>
      <c r="S467" t="s">
        <v>74</v>
      </c>
      <c r="T467" t="s">
        <v>74</v>
      </c>
      <c r="U467" t="s">
        <v>9304</v>
      </c>
      <c r="V467" t="s">
        <v>9305</v>
      </c>
      <c r="W467" t="s">
        <v>9306</v>
      </c>
      <c r="X467" t="s">
        <v>9307</v>
      </c>
      <c r="Y467" t="s">
        <v>9308</v>
      </c>
      <c r="Z467" t="s">
        <v>9309</v>
      </c>
      <c r="AA467" t="s">
        <v>9310</v>
      </c>
      <c r="AB467" t="s">
        <v>9311</v>
      </c>
      <c r="AC467" t="s">
        <v>9312</v>
      </c>
      <c r="AD467" t="s">
        <v>9313</v>
      </c>
      <c r="AE467" t="s">
        <v>9314</v>
      </c>
      <c r="AF467" t="s">
        <v>74</v>
      </c>
      <c r="AG467">
        <v>74</v>
      </c>
      <c r="AH467">
        <v>16</v>
      </c>
      <c r="AI467">
        <v>17</v>
      </c>
      <c r="AJ467">
        <v>6</v>
      </c>
      <c r="AK467">
        <v>48</v>
      </c>
      <c r="AL467" t="s">
        <v>758</v>
      </c>
      <c r="AM467" t="s">
        <v>759</v>
      </c>
      <c r="AN467" t="s">
        <v>760</v>
      </c>
      <c r="AO467" t="s">
        <v>9315</v>
      </c>
      <c r="AP467" t="s">
        <v>9316</v>
      </c>
      <c r="AQ467" t="s">
        <v>74</v>
      </c>
      <c r="AR467" t="s">
        <v>9317</v>
      </c>
      <c r="AS467" t="s">
        <v>9318</v>
      </c>
      <c r="AT467" t="s">
        <v>9050</v>
      </c>
      <c r="AU467">
        <v>2018</v>
      </c>
      <c r="AV467">
        <v>20</v>
      </c>
      <c r="AW467">
        <v>8</v>
      </c>
      <c r="AX467" t="s">
        <v>74</v>
      </c>
      <c r="AY467" t="s">
        <v>74</v>
      </c>
      <c r="AZ467" t="s">
        <v>155</v>
      </c>
      <c r="BA467" t="s">
        <v>74</v>
      </c>
      <c r="BB467">
        <v>2727</v>
      </c>
      <c r="BC467">
        <v>2742</v>
      </c>
      <c r="BD467" t="s">
        <v>74</v>
      </c>
      <c r="BE467" t="s">
        <v>9319</v>
      </c>
      <c r="BF467" t="str">
        <f>HYPERLINK("http://dx.doi.org/10.1111/1462-2920.14109","http://dx.doi.org/10.1111/1462-2920.14109")</f>
        <v>http://dx.doi.org/10.1111/1462-2920.14109</v>
      </c>
      <c r="BG467" t="s">
        <v>74</v>
      </c>
      <c r="BH467" t="s">
        <v>74</v>
      </c>
      <c r="BI467">
        <v>16</v>
      </c>
      <c r="BJ467" t="s">
        <v>344</v>
      </c>
      <c r="BK467" t="s">
        <v>101</v>
      </c>
      <c r="BL467" t="s">
        <v>344</v>
      </c>
      <c r="BM467" t="s">
        <v>9320</v>
      </c>
      <c r="BN467">
        <v>29575531</v>
      </c>
      <c r="BO467" t="s">
        <v>486</v>
      </c>
      <c r="BP467" t="s">
        <v>74</v>
      </c>
      <c r="BQ467" t="s">
        <v>74</v>
      </c>
      <c r="BR467" t="s">
        <v>104</v>
      </c>
      <c r="BS467" t="s">
        <v>9321</v>
      </c>
      <c r="BT467" t="str">
        <f>HYPERLINK("https%3A%2F%2Fwww.webofscience.com%2Fwos%2Fwoscc%2Ffull-record%2FWOS:000445184600004","View Full Record in Web of Science")</f>
        <v>View Full Record in Web of Science</v>
      </c>
    </row>
    <row r="468" spans="1:72" x14ac:dyDescent="0.15">
      <c r="A468" t="s">
        <v>72</v>
      </c>
      <c r="B468" t="s">
        <v>9322</v>
      </c>
      <c r="C468" t="s">
        <v>74</v>
      </c>
      <c r="D468" t="s">
        <v>74</v>
      </c>
      <c r="E468" t="s">
        <v>74</v>
      </c>
      <c r="F468" t="s">
        <v>9323</v>
      </c>
      <c r="G468" t="s">
        <v>74</v>
      </c>
      <c r="H468" t="s">
        <v>74</v>
      </c>
      <c r="I468" t="s">
        <v>9324</v>
      </c>
      <c r="J468" t="s">
        <v>9325</v>
      </c>
      <c r="K468" t="s">
        <v>74</v>
      </c>
      <c r="L468" t="s">
        <v>74</v>
      </c>
      <c r="M468" t="s">
        <v>78</v>
      </c>
      <c r="N468" t="s">
        <v>79</v>
      </c>
      <c r="O468" t="s">
        <v>74</v>
      </c>
      <c r="P468" t="s">
        <v>74</v>
      </c>
      <c r="Q468" t="s">
        <v>74</v>
      </c>
      <c r="R468" t="s">
        <v>74</v>
      </c>
      <c r="S468" t="s">
        <v>74</v>
      </c>
      <c r="T468" t="s">
        <v>9326</v>
      </c>
      <c r="U468" t="s">
        <v>9327</v>
      </c>
      <c r="V468" t="s">
        <v>9328</v>
      </c>
      <c r="W468" t="s">
        <v>9329</v>
      </c>
      <c r="X468" t="s">
        <v>9330</v>
      </c>
      <c r="Y468" t="s">
        <v>9331</v>
      </c>
      <c r="Z468" t="s">
        <v>9332</v>
      </c>
      <c r="AA468" t="s">
        <v>9333</v>
      </c>
      <c r="AB468" t="s">
        <v>9334</v>
      </c>
      <c r="AC468" t="s">
        <v>9335</v>
      </c>
      <c r="AD468" t="s">
        <v>9335</v>
      </c>
      <c r="AE468" t="s">
        <v>9336</v>
      </c>
      <c r="AF468" t="s">
        <v>74</v>
      </c>
      <c r="AG468">
        <v>61</v>
      </c>
      <c r="AH468">
        <v>17</v>
      </c>
      <c r="AI468">
        <v>17</v>
      </c>
      <c r="AJ468">
        <v>1</v>
      </c>
      <c r="AK468">
        <v>36</v>
      </c>
      <c r="AL468" t="s">
        <v>2705</v>
      </c>
      <c r="AM468" t="s">
        <v>2706</v>
      </c>
      <c r="AN468" t="s">
        <v>2707</v>
      </c>
      <c r="AO468" t="s">
        <v>9337</v>
      </c>
      <c r="AP468" t="s">
        <v>9338</v>
      </c>
      <c r="AQ468" t="s">
        <v>74</v>
      </c>
      <c r="AR468" t="s">
        <v>9339</v>
      </c>
      <c r="AS468" t="s">
        <v>9340</v>
      </c>
      <c r="AT468" t="s">
        <v>9050</v>
      </c>
      <c r="AU468">
        <v>2018</v>
      </c>
      <c r="AV468">
        <v>165</v>
      </c>
      <c r="AW468" t="s">
        <v>74</v>
      </c>
      <c r="AX468" t="s">
        <v>74</v>
      </c>
      <c r="AY468" t="s">
        <v>74</v>
      </c>
      <c r="AZ468" t="s">
        <v>74</v>
      </c>
      <c r="BA468" t="s">
        <v>74</v>
      </c>
      <c r="BB468">
        <v>306</v>
      </c>
      <c r="BC468">
        <v>316</v>
      </c>
      <c r="BD468" t="s">
        <v>74</v>
      </c>
      <c r="BE468" t="s">
        <v>9341</v>
      </c>
      <c r="BF468" t="str">
        <f>HYPERLINK("http://dx.doi.org/10.1016/j.envres.2018.04.016","http://dx.doi.org/10.1016/j.envres.2018.04.016")</f>
        <v>http://dx.doi.org/10.1016/j.envres.2018.04.016</v>
      </c>
      <c r="BG468" t="s">
        <v>74</v>
      </c>
      <c r="BH468" t="s">
        <v>74</v>
      </c>
      <c r="BI468">
        <v>11</v>
      </c>
      <c r="BJ468" t="s">
        <v>2581</v>
      </c>
      <c r="BK468" t="s">
        <v>101</v>
      </c>
      <c r="BL468" t="s">
        <v>2582</v>
      </c>
      <c r="BM468" t="s">
        <v>9342</v>
      </c>
      <c r="BN468">
        <v>29777921</v>
      </c>
      <c r="BO468" t="s">
        <v>74</v>
      </c>
      <c r="BP468" t="s">
        <v>74</v>
      </c>
      <c r="BQ468" t="s">
        <v>74</v>
      </c>
      <c r="BR468" t="s">
        <v>104</v>
      </c>
      <c r="BS468" t="s">
        <v>9343</v>
      </c>
      <c r="BT468" t="str">
        <f>HYPERLINK("https%3A%2F%2Fwww.webofscience.com%2Fwos%2Fwoscc%2Ffull-record%2FWOS:000437551200035","View Full Record in Web of Science")</f>
        <v>View Full Record in Web of Science</v>
      </c>
    </row>
    <row r="469" spans="1:72" x14ac:dyDescent="0.15">
      <c r="A469" t="s">
        <v>72</v>
      </c>
      <c r="B469" t="s">
        <v>9344</v>
      </c>
      <c r="C469" t="s">
        <v>74</v>
      </c>
      <c r="D469" t="s">
        <v>74</v>
      </c>
      <c r="E469" t="s">
        <v>74</v>
      </c>
      <c r="F469" t="s">
        <v>9345</v>
      </c>
      <c r="G469" t="s">
        <v>74</v>
      </c>
      <c r="H469" t="s">
        <v>74</v>
      </c>
      <c r="I469" t="s">
        <v>9346</v>
      </c>
      <c r="J469" t="s">
        <v>9347</v>
      </c>
      <c r="K469" t="s">
        <v>74</v>
      </c>
      <c r="L469" t="s">
        <v>74</v>
      </c>
      <c r="M469" t="s">
        <v>78</v>
      </c>
      <c r="N469" t="s">
        <v>79</v>
      </c>
      <c r="O469" t="s">
        <v>74</v>
      </c>
      <c r="P469" t="s">
        <v>74</v>
      </c>
      <c r="Q469" t="s">
        <v>74</v>
      </c>
      <c r="R469" t="s">
        <v>74</v>
      </c>
      <c r="S469" t="s">
        <v>74</v>
      </c>
      <c r="T469" t="s">
        <v>9348</v>
      </c>
      <c r="U469" t="s">
        <v>9349</v>
      </c>
      <c r="V469" t="s">
        <v>9350</v>
      </c>
      <c r="W469" t="s">
        <v>9351</v>
      </c>
      <c r="X469" t="s">
        <v>9352</v>
      </c>
      <c r="Y469" t="s">
        <v>9353</v>
      </c>
      <c r="Z469" t="s">
        <v>9354</v>
      </c>
      <c r="AA469" t="s">
        <v>9355</v>
      </c>
      <c r="AB469" t="s">
        <v>9356</v>
      </c>
      <c r="AC469" t="s">
        <v>9357</v>
      </c>
      <c r="AD469" t="s">
        <v>9358</v>
      </c>
      <c r="AE469" t="s">
        <v>9359</v>
      </c>
      <c r="AF469" t="s">
        <v>74</v>
      </c>
      <c r="AG469">
        <v>36</v>
      </c>
      <c r="AH469">
        <v>2</v>
      </c>
      <c r="AI469">
        <v>3</v>
      </c>
      <c r="AJ469">
        <v>2</v>
      </c>
      <c r="AK469">
        <v>54</v>
      </c>
      <c r="AL469" t="s">
        <v>758</v>
      </c>
      <c r="AM469" t="s">
        <v>759</v>
      </c>
      <c r="AN469" t="s">
        <v>760</v>
      </c>
      <c r="AO469" t="s">
        <v>9360</v>
      </c>
      <c r="AP469" t="s">
        <v>9361</v>
      </c>
      <c r="AQ469" t="s">
        <v>74</v>
      </c>
      <c r="AR469" t="s">
        <v>9362</v>
      </c>
      <c r="AS469" t="s">
        <v>9363</v>
      </c>
      <c r="AT469" t="s">
        <v>9050</v>
      </c>
      <c r="AU469">
        <v>2018</v>
      </c>
      <c r="AV469">
        <v>120</v>
      </c>
      <c r="AW469">
        <v>8</v>
      </c>
      <c r="AX469" t="s">
        <v>74</v>
      </c>
      <c r="AY469" t="s">
        <v>74</v>
      </c>
      <c r="AZ469" t="s">
        <v>74</v>
      </c>
      <c r="BA469" t="s">
        <v>74</v>
      </c>
      <c r="BB469" t="s">
        <v>74</v>
      </c>
      <c r="BC469" t="s">
        <v>74</v>
      </c>
      <c r="BD469">
        <v>1800144</v>
      </c>
      <c r="BE469" t="s">
        <v>9364</v>
      </c>
      <c r="BF469" t="str">
        <f>HYPERLINK("http://dx.doi.org/10.1002/ejlt.201800144","http://dx.doi.org/10.1002/ejlt.201800144")</f>
        <v>http://dx.doi.org/10.1002/ejlt.201800144</v>
      </c>
      <c r="BG469" t="s">
        <v>74</v>
      </c>
      <c r="BH469" t="s">
        <v>74</v>
      </c>
      <c r="BI469">
        <v>7</v>
      </c>
      <c r="BJ469" t="s">
        <v>9365</v>
      </c>
      <c r="BK469" t="s">
        <v>101</v>
      </c>
      <c r="BL469" t="s">
        <v>9365</v>
      </c>
      <c r="BM469" t="s">
        <v>9366</v>
      </c>
      <c r="BN469" t="s">
        <v>74</v>
      </c>
      <c r="BO469" t="s">
        <v>74</v>
      </c>
      <c r="BP469" t="s">
        <v>74</v>
      </c>
      <c r="BQ469" t="s">
        <v>74</v>
      </c>
      <c r="BR469" t="s">
        <v>104</v>
      </c>
      <c r="BS469" t="s">
        <v>9367</v>
      </c>
      <c r="BT469" t="str">
        <f>HYPERLINK("https%3A%2F%2Fwww.webofscience.com%2Fwos%2Fwoscc%2Ffull-record%2FWOS:000440408300010","View Full Record in Web of Science")</f>
        <v>View Full Record in Web of Science</v>
      </c>
    </row>
    <row r="470" spans="1:72" x14ac:dyDescent="0.15">
      <c r="A470" t="s">
        <v>72</v>
      </c>
      <c r="B470" t="s">
        <v>9368</v>
      </c>
      <c r="C470" t="s">
        <v>74</v>
      </c>
      <c r="D470" t="s">
        <v>74</v>
      </c>
      <c r="E470" t="s">
        <v>74</v>
      </c>
      <c r="F470" t="s">
        <v>9369</v>
      </c>
      <c r="G470" t="s">
        <v>74</v>
      </c>
      <c r="H470" t="s">
        <v>74</v>
      </c>
      <c r="I470" t="s">
        <v>9370</v>
      </c>
      <c r="J470" t="s">
        <v>9371</v>
      </c>
      <c r="K470" t="s">
        <v>74</v>
      </c>
      <c r="L470" t="s">
        <v>74</v>
      </c>
      <c r="M470" t="s">
        <v>78</v>
      </c>
      <c r="N470" t="s">
        <v>79</v>
      </c>
      <c r="O470" t="s">
        <v>74</v>
      </c>
      <c r="P470" t="s">
        <v>74</v>
      </c>
      <c r="Q470" t="s">
        <v>74</v>
      </c>
      <c r="R470" t="s">
        <v>74</v>
      </c>
      <c r="S470" t="s">
        <v>74</v>
      </c>
      <c r="T470" t="s">
        <v>9372</v>
      </c>
      <c r="U470" t="s">
        <v>9373</v>
      </c>
      <c r="V470" t="s">
        <v>9374</v>
      </c>
      <c r="W470" t="s">
        <v>9375</v>
      </c>
      <c r="X470" t="s">
        <v>9376</v>
      </c>
      <c r="Y470" t="s">
        <v>9377</v>
      </c>
      <c r="Z470" t="s">
        <v>9378</v>
      </c>
      <c r="AA470" t="s">
        <v>9379</v>
      </c>
      <c r="AB470" t="s">
        <v>9380</v>
      </c>
      <c r="AC470" t="s">
        <v>9381</v>
      </c>
      <c r="AD470" t="s">
        <v>9382</v>
      </c>
      <c r="AE470" t="s">
        <v>9383</v>
      </c>
      <c r="AF470" t="s">
        <v>74</v>
      </c>
      <c r="AG470">
        <v>55</v>
      </c>
      <c r="AH470">
        <v>31</v>
      </c>
      <c r="AI470">
        <v>31</v>
      </c>
      <c r="AJ470">
        <v>1</v>
      </c>
      <c r="AK470">
        <v>24</v>
      </c>
      <c r="AL470" t="s">
        <v>201</v>
      </c>
      <c r="AM470" t="s">
        <v>93</v>
      </c>
      <c r="AN470" t="s">
        <v>202</v>
      </c>
      <c r="AO470" t="s">
        <v>9384</v>
      </c>
      <c r="AP470" t="s">
        <v>9385</v>
      </c>
      <c r="AQ470" t="s">
        <v>74</v>
      </c>
      <c r="AR470" t="s">
        <v>9386</v>
      </c>
      <c r="AS470" t="s">
        <v>9387</v>
      </c>
      <c r="AT470" t="s">
        <v>9050</v>
      </c>
      <c r="AU470">
        <v>2018</v>
      </c>
      <c r="AV470">
        <v>34</v>
      </c>
      <c r="AW470" t="s">
        <v>74</v>
      </c>
      <c r="AX470" t="s">
        <v>74</v>
      </c>
      <c r="AY470" t="s">
        <v>74</v>
      </c>
      <c r="AZ470" t="s">
        <v>74</v>
      </c>
      <c r="BA470" t="s">
        <v>74</v>
      </c>
      <c r="BB470">
        <v>76</v>
      </c>
      <c r="BC470">
        <v>82</v>
      </c>
      <c r="BD470" t="s">
        <v>74</v>
      </c>
      <c r="BE470" t="s">
        <v>9388</v>
      </c>
      <c r="BF470" t="str">
        <f>HYPERLINK("http://dx.doi.org/10.1016/j.funeco.2018.05.006","http://dx.doi.org/10.1016/j.funeco.2018.05.006")</f>
        <v>http://dx.doi.org/10.1016/j.funeco.2018.05.006</v>
      </c>
      <c r="BG470" t="s">
        <v>74</v>
      </c>
      <c r="BH470" t="s">
        <v>74</v>
      </c>
      <c r="BI470">
        <v>7</v>
      </c>
      <c r="BJ470" t="s">
        <v>9389</v>
      </c>
      <c r="BK470" t="s">
        <v>101</v>
      </c>
      <c r="BL470" t="s">
        <v>9390</v>
      </c>
      <c r="BM470" t="s">
        <v>9391</v>
      </c>
      <c r="BN470" t="s">
        <v>74</v>
      </c>
      <c r="BO470" t="s">
        <v>74</v>
      </c>
      <c r="BP470" t="s">
        <v>74</v>
      </c>
      <c r="BQ470" t="s">
        <v>74</v>
      </c>
      <c r="BR470" t="s">
        <v>104</v>
      </c>
      <c r="BS470" t="s">
        <v>9392</v>
      </c>
      <c r="BT470" t="str">
        <f>HYPERLINK("https%3A%2F%2Fwww.webofscience.com%2Fwos%2Fwoscc%2Ffull-record%2FWOS:000436916100009","View Full Record in Web of Science")</f>
        <v>View Full Record in Web of Science</v>
      </c>
    </row>
    <row r="471" spans="1:72" x14ac:dyDescent="0.15">
      <c r="A471" t="s">
        <v>72</v>
      </c>
      <c r="B471" t="s">
        <v>9393</v>
      </c>
      <c r="C471" t="s">
        <v>74</v>
      </c>
      <c r="D471" t="s">
        <v>74</v>
      </c>
      <c r="E471" t="s">
        <v>74</v>
      </c>
      <c r="F471" t="s">
        <v>9394</v>
      </c>
      <c r="G471" t="s">
        <v>74</v>
      </c>
      <c r="H471" t="s">
        <v>74</v>
      </c>
      <c r="I471" t="s">
        <v>9395</v>
      </c>
      <c r="J471" t="s">
        <v>5031</v>
      </c>
      <c r="K471" t="s">
        <v>74</v>
      </c>
      <c r="L471" t="s">
        <v>74</v>
      </c>
      <c r="M471" t="s">
        <v>78</v>
      </c>
      <c r="N471" t="s">
        <v>79</v>
      </c>
      <c r="O471" t="s">
        <v>74</v>
      </c>
      <c r="P471" t="s">
        <v>74</v>
      </c>
      <c r="Q471" t="s">
        <v>74</v>
      </c>
      <c r="R471" t="s">
        <v>74</v>
      </c>
      <c r="S471" t="s">
        <v>74</v>
      </c>
      <c r="T471" t="s">
        <v>74</v>
      </c>
      <c r="U471" t="s">
        <v>9396</v>
      </c>
      <c r="V471" t="s">
        <v>9397</v>
      </c>
      <c r="W471" t="s">
        <v>9398</v>
      </c>
      <c r="X471" t="s">
        <v>9399</v>
      </c>
      <c r="Y471" t="s">
        <v>9400</v>
      </c>
      <c r="Z471" t="s">
        <v>9401</v>
      </c>
      <c r="AA471" t="s">
        <v>9402</v>
      </c>
      <c r="AB471" t="s">
        <v>9403</v>
      </c>
      <c r="AC471" t="s">
        <v>9404</v>
      </c>
      <c r="AD471" t="s">
        <v>9405</v>
      </c>
      <c r="AE471" t="s">
        <v>9406</v>
      </c>
      <c r="AF471" t="s">
        <v>74</v>
      </c>
      <c r="AG471">
        <v>55</v>
      </c>
      <c r="AH471">
        <v>8</v>
      </c>
      <c r="AI471">
        <v>7</v>
      </c>
      <c r="AJ471">
        <v>1</v>
      </c>
      <c r="AK471">
        <v>7</v>
      </c>
      <c r="AL471" t="s">
        <v>503</v>
      </c>
      <c r="AM471" t="s">
        <v>504</v>
      </c>
      <c r="AN471" t="s">
        <v>505</v>
      </c>
      <c r="AO471" t="s">
        <v>5042</v>
      </c>
      <c r="AP471" t="s">
        <v>74</v>
      </c>
      <c r="AQ471" t="s">
        <v>74</v>
      </c>
      <c r="AR471" t="s">
        <v>5043</v>
      </c>
      <c r="AS471" t="s">
        <v>5044</v>
      </c>
      <c r="AT471" t="s">
        <v>9050</v>
      </c>
      <c r="AU471">
        <v>2018</v>
      </c>
      <c r="AV471">
        <v>19</v>
      </c>
      <c r="AW471">
        <v>8</v>
      </c>
      <c r="AX471" t="s">
        <v>74</v>
      </c>
      <c r="AY471" t="s">
        <v>74</v>
      </c>
      <c r="AZ471" t="s">
        <v>74</v>
      </c>
      <c r="BA471" t="s">
        <v>74</v>
      </c>
      <c r="BB471">
        <v>2478</v>
      </c>
      <c r="BC471">
        <v>2491</v>
      </c>
      <c r="BD471" t="s">
        <v>74</v>
      </c>
      <c r="BE471" t="s">
        <v>9407</v>
      </c>
      <c r="BF471" t="str">
        <f>HYPERLINK("http://dx.doi.org/10.1029/2017GC007341","http://dx.doi.org/10.1029/2017GC007341")</f>
        <v>http://dx.doi.org/10.1029/2017GC007341</v>
      </c>
      <c r="BG471" t="s">
        <v>74</v>
      </c>
      <c r="BH471" t="s">
        <v>74</v>
      </c>
      <c r="BI471">
        <v>14</v>
      </c>
      <c r="BJ471" t="s">
        <v>484</v>
      </c>
      <c r="BK471" t="s">
        <v>101</v>
      </c>
      <c r="BL471" t="s">
        <v>484</v>
      </c>
      <c r="BM471" t="s">
        <v>9408</v>
      </c>
      <c r="BN471" t="s">
        <v>74</v>
      </c>
      <c r="BO471" t="s">
        <v>871</v>
      </c>
      <c r="BP471" t="s">
        <v>74</v>
      </c>
      <c r="BQ471" t="s">
        <v>74</v>
      </c>
      <c r="BR471" t="s">
        <v>104</v>
      </c>
      <c r="BS471" t="s">
        <v>9409</v>
      </c>
      <c r="BT471" t="str">
        <f>HYPERLINK("https%3A%2F%2Fwww.webofscience.com%2Fwos%2Fwoscc%2Ffull-record%2FWOS:000452122500012","View Full Record in Web of Science")</f>
        <v>View Full Record in Web of Science</v>
      </c>
    </row>
    <row r="472" spans="1:72" x14ac:dyDescent="0.15">
      <c r="A472" t="s">
        <v>72</v>
      </c>
      <c r="B472" t="s">
        <v>9410</v>
      </c>
      <c r="C472" t="s">
        <v>74</v>
      </c>
      <c r="D472" t="s">
        <v>74</v>
      </c>
      <c r="E472" t="s">
        <v>74</v>
      </c>
      <c r="F472" t="s">
        <v>9411</v>
      </c>
      <c r="G472" t="s">
        <v>74</v>
      </c>
      <c r="H472" t="s">
        <v>74</v>
      </c>
      <c r="I472" t="s">
        <v>9412</v>
      </c>
      <c r="J472" t="s">
        <v>9413</v>
      </c>
      <c r="K472" t="s">
        <v>74</v>
      </c>
      <c r="L472" t="s">
        <v>74</v>
      </c>
      <c r="M472" t="s">
        <v>78</v>
      </c>
      <c r="N472" t="s">
        <v>79</v>
      </c>
      <c r="O472" t="s">
        <v>74</v>
      </c>
      <c r="P472" t="s">
        <v>74</v>
      </c>
      <c r="Q472" t="s">
        <v>74</v>
      </c>
      <c r="R472" t="s">
        <v>74</v>
      </c>
      <c r="S472" t="s">
        <v>74</v>
      </c>
      <c r="T472" t="s">
        <v>9414</v>
      </c>
      <c r="U472" t="s">
        <v>9415</v>
      </c>
      <c r="V472" t="s">
        <v>9416</v>
      </c>
      <c r="W472" t="s">
        <v>9417</v>
      </c>
      <c r="X472" t="s">
        <v>9418</v>
      </c>
      <c r="Y472" t="s">
        <v>9419</v>
      </c>
      <c r="Z472" t="s">
        <v>9420</v>
      </c>
      <c r="AA472" t="s">
        <v>9421</v>
      </c>
      <c r="AB472" t="s">
        <v>9422</v>
      </c>
      <c r="AC472" t="s">
        <v>9423</v>
      </c>
      <c r="AD472" t="s">
        <v>9424</v>
      </c>
      <c r="AE472" t="s">
        <v>9425</v>
      </c>
      <c r="AF472" t="s">
        <v>74</v>
      </c>
      <c r="AG472">
        <v>67</v>
      </c>
      <c r="AH472">
        <v>16</v>
      </c>
      <c r="AI472">
        <v>16</v>
      </c>
      <c r="AJ472">
        <v>1</v>
      </c>
      <c r="AK472">
        <v>46</v>
      </c>
      <c r="AL472" t="s">
        <v>9426</v>
      </c>
      <c r="AM472" t="s">
        <v>730</v>
      </c>
      <c r="AN472" t="s">
        <v>9427</v>
      </c>
      <c r="AO472" t="s">
        <v>9428</v>
      </c>
      <c r="AP472" t="s">
        <v>9429</v>
      </c>
      <c r="AQ472" t="s">
        <v>74</v>
      </c>
      <c r="AR472" t="s">
        <v>9430</v>
      </c>
      <c r="AS472" t="s">
        <v>9431</v>
      </c>
      <c r="AT472" t="s">
        <v>9050</v>
      </c>
      <c r="AU472">
        <v>2018</v>
      </c>
      <c r="AV472">
        <v>221</v>
      </c>
      <c r="AW472">
        <v>15</v>
      </c>
      <c r="AX472" t="s">
        <v>74</v>
      </c>
      <c r="AY472" t="s">
        <v>74</v>
      </c>
      <c r="AZ472" t="s">
        <v>74</v>
      </c>
      <c r="BA472" t="s">
        <v>74</v>
      </c>
      <c r="BB472" t="s">
        <v>74</v>
      </c>
      <c r="BC472" t="s">
        <v>74</v>
      </c>
      <c r="BD472" t="s">
        <v>9432</v>
      </c>
      <c r="BE472" t="s">
        <v>9433</v>
      </c>
      <c r="BF472" t="str">
        <f>HYPERLINK("http://dx.doi.org/10.1242/jeb.177956","http://dx.doi.org/10.1242/jeb.177956")</f>
        <v>http://dx.doi.org/10.1242/jeb.177956</v>
      </c>
      <c r="BG472" t="s">
        <v>74</v>
      </c>
      <c r="BH472" t="s">
        <v>74</v>
      </c>
      <c r="BI472">
        <v>13</v>
      </c>
      <c r="BJ472" t="s">
        <v>7485</v>
      </c>
      <c r="BK472" t="s">
        <v>101</v>
      </c>
      <c r="BL472" t="s">
        <v>7486</v>
      </c>
      <c r="BM472" t="s">
        <v>9434</v>
      </c>
      <c r="BN472">
        <v>29895680</v>
      </c>
      <c r="BO472" t="s">
        <v>486</v>
      </c>
      <c r="BP472" t="s">
        <v>74</v>
      </c>
      <c r="BQ472" t="s">
        <v>74</v>
      </c>
      <c r="BR472" t="s">
        <v>104</v>
      </c>
      <c r="BS472" t="s">
        <v>9435</v>
      </c>
      <c r="BT472" t="str">
        <f>HYPERLINK("https%3A%2F%2Fwww.webofscience.com%2Fwos%2Fwoscc%2Ffull-record%2FWOS:000441894200006","View Full Record in Web of Science")</f>
        <v>View Full Record in Web of Science</v>
      </c>
    </row>
    <row r="473" spans="1:72" x14ac:dyDescent="0.15">
      <c r="A473" t="s">
        <v>72</v>
      </c>
      <c r="B473" t="s">
        <v>9436</v>
      </c>
      <c r="C473" t="s">
        <v>74</v>
      </c>
      <c r="D473" t="s">
        <v>74</v>
      </c>
      <c r="E473" t="s">
        <v>74</v>
      </c>
      <c r="F473" t="s">
        <v>9437</v>
      </c>
      <c r="G473" t="s">
        <v>74</v>
      </c>
      <c r="H473" t="s">
        <v>74</v>
      </c>
      <c r="I473" t="s">
        <v>9438</v>
      </c>
      <c r="J473" t="s">
        <v>9413</v>
      </c>
      <c r="K473" t="s">
        <v>74</v>
      </c>
      <c r="L473" t="s">
        <v>74</v>
      </c>
      <c r="M473" t="s">
        <v>78</v>
      </c>
      <c r="N473" t="s">
        <v>79</v>
      </c>
      <c r="O473" t="s">
        <v>74</v>
      </c>
      <c r="P473" t="s">
        <v>74</v>
      </c>
      <c r="Q473" t="s">
        <v>74</v>
      </c>
      <c r="R473" t="s">
        <v>74</v>
      </c>
      <c r="S473" t="s">
        <v>74</v>
      </c>
      <c r="T473" t="s">
        <v>9439</v>
      </c>
      <c r="U473" t="s">
        <v>9440</v>
      </c>
      <c r="V473" t="s">
        <v>9441</v>
      </c>
      <c r="W473" t="s">
        <v>9442</v>
      </c>
      <c r="X473" t="s">
        <v>9443</v>
      </c>
      <c r="Y473" t="s">
        <v>9444</v>
      </c>
      <c r="Z473" t="s">
        <v>9445</v>
      </c>
      <c r="AA473" t="s">
        <v>74</v>
      </c>
      <c r="AB473" t="s">
        <v>9446</v>
      </c>
      <c r="AC473" t="s">
        <v>9447</v>
      </c>
      <c r="AD473" t="s">
        <v>9448</v>
      </c>
      <c r="AE473" t="s">
        <v>9449</v>
      </c>
      <c r="AF473" t="s">
        <v>74</v>
      </c>
      <c r="AG473">
        <v>79</v>
      </c>
      <c r="AH473">
        <v>27</v>
      </c>
      <c r="AI473">
        <v>28</v>
      </c>
      <c r="AJ473">
        <v>0</v>
      </c>
      <c r="AK473">
        <v>40</v>
      </c>
      <c r="AL473" t="s">
        <v>9426</v>
      </c>
      <c r="AM473" t="s">
        <v>730</v>
      </c>
      <c r="AN473" t="s">
        <v>9427</v>
      </c>
      <c r="AO473" t="s">
        <v>9428</v>
      </c>
      <c r="AP473" t="s">
        <v>9429</v>
      </c>
      <c r="AQ473" t="s">
        <v>74</v>
      </c>
      <c r="AR473" t="s">
        <v>9430</v>
      </c>
      <c r="AS473" t="s">
        <v>9431</v>
      </c>
      <c r="AT473" t="s">
        <v>9050</v>
      </c>
      <c r="AU473">
        <v>2018</v>
      </c>
      <c r="AV473">
        <v>221</v>
      </c>
      <c r="AW473">
        <v>15</v>
      </c>
      <c r="AX473" t="s">
        <v>74</v>
      </c>
      <c r="AY473" t="s">
        <v>74</v>
      </c>
      <c r="AZ473" t="s">
        <v>74</v>
      </c>
      <c r="BA473" t="s">
        <v>74</v>
      </c>
      <c r="BB473" t="s">
        <v>74</v>
      </c>
      <c r="BC473" t="s">
        <v>74</v>
      </c>
      <c r="BD473" t="s">
        <v>9450</v>
      </c>
      <c r="BE473" t="s">
        <v>9451</v>
      </c>
      <c r="BF473" t="str">
        <f>HYPERLINK("http://dx.doi.org/10.1242/jeb.177816","http://dx.doi.org/10.1242/jeb.177816")</f>
        <v>http://dx.doi.org/10.1242/jeb.177816</v>
      </c>
      <c r="BG473" t="s">
        <v>74</v>
      </c>
      <c r="BH473" t="s">
        <v>74</v>
      </c>
      <c r="BI473">
        <v>11</v>
      </c>
      <c r="BJ473" t="s">
        <v>7485</v>
      </c>
      <c r="BK473" t="s">
        <v>101</v>
      </c>
      <c r="BL473" t="s">
        <v>7486</v>
      </c>
      <c r="BM473" t="s">
        <v>9434</v>
      </c>
      <c r="BN473">
        <v>29895681</v>
      </c>
      <c r="BO473" t="s">
        <v>661</v>
      </c>
      <c r="BP473" t="s">
        <v>74</v>
      </c>
      <c r="BQ473" t="s">
        <v>74</v>
      </c>
      <c r="BR473" t="s">
        <v>104</v>
      </c>
      <c r="BS473" t="s">
        <v>9452</v>
      </c>
      <c r="BT473" t="str">
        <f>HYPERLINK("https%3A%2F%2Fwww.webofscience.com%2Fwos%2Fwoscc%2Ffull-record%2FWOS:000441894200005","View Full Record in Web of Science")</f>
        <v>View Full Record in Web of Science</v>
      </c>
    </row>
    <row r="474" spans="1:72" x14ac:dyDescent="0.15">
      <c r="A474" t="s">
        <v>72</v>
      </c>
      <c r="B474" t="s">
        <v>9453</v>
      </c>
      <c r="C474" t="s">
        <v>74</v>
      </c>
      <c r="D474" t="s">
        <v>74</v>
      </c>
      <c r="E474" t="s">
        <v>74</v>
      </c>
      <c r="F474" t="s">
        <v>9454</v>
      </c>
      <c r="G474" t="s">
        <v>74</v>
      </c>
      <c r="H474" t="s">
        <v>74</v>
      </c>
      <c r="I474" t="s">
        <v>9455</v>
      </c>
      <c r="J474" t="s">
        <v>9456</v>
      </c>
      <c r="K474" t="s">
        <v>74</v>
      </c>
      <c r="L474" t="s">
        <v>74</v>
      </c>
      <c r="M474" t="s">
        <v>78</v>
      </c>
      <c r="N474" t="s">
        <v>79</v>
      </c>
      <c r="O474" t="s">
        <v>74</v>
      </c>
      <c r="P474" t="s">
        <v>74</v>
      </c>
      <c r="Q474" t="s">
        <v>74</v>
      </c>
      <c r="R474" t="s">
        <v>74</v>
      </c>
      <c r="S474" t="s">
        <v>74</v>
      </c>
      <c r="T474" t="s">
        <v>9457</v>
      </c>
      <c r="U474" t="s">
        <v>74</v>
      </c>
      <c r="V474" t="s">
        <v>9458</v>
      </c>
      <c r="W474" t="s">
        <v>9459</v>
      </c>
      <c r="X474" t="s">
        <v>9460</v>
      </c>
      <c r="Y474" t="s">
        <v>9461</v>
      </c>
      <c r="Z474" t="s">
        <v>9462</v>
      </c>
      <c r="AA474" t="s">
        <v>9463</v>
      </c>
      <c r="AB474" t="s">
        <v>9464</v>
      </c>
      <c r="AC474" t="s">
        <v>9465</v>
      </c>
      <c r="AD474" t="s">
        <v>9466</v>
      </c>
      <c r="AE474" t="s">
        <v>9467</v>
      </c>
      <c r="AF474" t="s">
        <v>74</v>
      </c>
      <c r="AG474">
        <v>31</v>
      </c>
      <c r="AH474">
        <v>10</v>
      </c>
      <c r="AI474">
        <v>10</v>
      </c>
      <c r="AJ474">
        <v>0</v>
      </c>
      <c r="AK474">
        <v>39</v>
      </c>
      <c r="AL474" t="s">
        <v>758</v>
      </c>
      <c r="AM474" t="s">
        <v>759</v>
      </c>
      <c r="AN474" t="s">
        <v>760</v>
      </c>
      <c r="AO474" t="s">
        <v>9468</v>
      </c>
      <c r="AP474" t="s">
        <v>9469</v>
      </c>
      <c r="AQ474" t="s">
        <v>74</v>
      </c>
      <c r="AR474" t="s">
        <v>9470</v>
      </c>
      <c r="AS474" t="s">
        <v>9471</v>
      </c>
      <c r="AT474" t="s">
        <v>9050</v>
      </c>
      <c r="AU474">
        <v>2018</v>
      </c>
      <c r="AV474">
        <v>35</v>
      </c>
      <c r="AW474">
        <v>5</v>
      </c>
      <c r="AX474" t="s">
        <v>74</v>
      </c>
      <c r="AY474" t="s">
        <v>74</v>
      </c>
      <c r="AZ474" t="s">
        <v>74</v>
      </c>
      <c r="BA474" t="s">
        <v>74</v>
      </c>
      <c r="BB474">
        <v>748</v>
      </c>
      <c r="BC474">
        <v>763</v>
      </c>
      <c r="BD474" t="s">
        <v>74</v>
      </c>
      <c r="BE474" t="s">
        <v>9472</v>
      </c>
      <c r="BF474" t="str">
        <f>HYPERLINK("http://dx.doi.org/10.1002/rob.21776","http://dx.doi.org/10.1002/rob.21776")</f>
        <v>http://dx.doi.org/10.1002/rob.21776</v>
      </c>
      <c r="BG474" t="s">
        <v>74</v>
      </c>
      <c r="BH474" t="s">
        <v>74</v>
      </c>
      <c r="BI474">
        <v>16</v>
      </c>
      <c r="BJ474" t="s">
        <v>9473</v>
      </c>
      <c r="BK474" t="s">
        <v>101</v>
      </c>
      <c r="BL474" t="s">
        <v>9473</v>
      </c>
      <c r="BM474" t="s">
        <v>9474</v>
      </c>
      <c r="BN474" t="s">
        <v>74</v>
      </c>
      <c r="BO474" t="s">
        <v>535</v>
      </c>
      <c r="BP474" t="s">
        <v>74</v>
      </c>
      <c r="BQ474" t="s">
        <v>74</v>
      </c>
      <c r="BR474" t="s">
        <v>104</v>
      </c>
      <c r="BS474" t="s">
        <v>9475</v>
      </c>
      <c r="BT474" t="str">
        <f>HYPERLINK("https%3A%2F%2Fwww.webofscience.com%2Fwos%2Fwoscc%2Ffull-record%2FWOS:000437836900007","View Full Record in Web of Science")</f>
        <v>View Full Record in Web of Science</v>
      </c>
    </row>
    <row r="475" spans="1:72" x14ac:dyDescent="0.15">
      <c r="A475" t="s">
        <v>72</v>
      </c>
      <c r="B475" t="s">
        <v>9476</v>
      </c>
      <c r="C475" t="s">
        <v>74</v>
      </c>
      <c r="D475" t="s">
        <v>74</v>
      </c>
      <c r="E475" t="s">
        <v>74</v>
      </c>
      <c r="F475" t="s">
        <v>9477</v>
      </c>
      <c r="G475" t="s">
        <v>74</v>
      </c>
      <c r="H475" t="s">
        <v>74</v>
      </c>
      <c r="I475" t="s">
        <v>9478</v>
      </c>
      <c r="J475" t="s">
        <v>5180</v>
      </c>
      <c r="K475" t="s">
        <v>74</v>
      </c>
      <c r="L475" t="s">
        <v>74</v>
      </c>
      <c r="M475" t="s">
        <v>78</v>
      </c>
      <c r="N475" t="s">
        <v>79</v>
      </c>
      <c r="O475" t="s">
        <v>74</v>
      </c>
      <c r="P475" t="s">
        <v>74</v>
      </c>
      <c r="Q475" t="s">
        <v>74</v>
      </c>
      <c r="R475" t="s">
        <v>74</v>
      </c>
      <c r="S475" t="s">
        <v>74</v>
      </c>
      <c r="T475" t="s">
        <v>9479</v>
      </c>
      <c r="U475" t="s">
        <v>9480</v>
      </c>
      <c r="V475" t="s">
        <v>9481</v>
      </c>
      <c r="W475" t="s">
        <v>9482</v>
      </c>
      <c r="X475" t="s">
        <v>9483</v>
      </c>
      <c r="Y475" t="s">
        <v>9484</v>
      </c>
      <c r="Z475" t="s">
        <v>9485</v>
      </c>
      <c r="AA475" t="s">
        <v>9486</v>
      </c>
      <c r="AB475" t="s">
        <v>9487</v>
      </c>
      <c r="AC475" t="s">
        <v>9488</v>
      </c>
      <c r="AD475" t="s">
        <v>9489</v>
      </c>
      <c r="AE475" t="s">
        <v>9490</v>
      </c>
      <c r="AF475" t="s">
        <v>74</v>
      </c>
      <c r="AG475">
        <v>62</v>
      </c>
      <c r="AH475">
        <v>24</v>
      </c>
      <c r="AI475">
        <v>28</v>
      </c>
      <c r="AJ475">
        <v>0</v>
      </c>
      <c r="AK475">
        <v>20</v>
      </c>
      <c r="AL475" t="s">
        <v>758</v>
      </c>
      <c r="AM475" t="s">
        <v>759</v>
      </c>
      <c r="AN475" t="s">
        <v>760</v>
      </c>
      <c r="AO475" t="s">
        <v>5193</v>
      </c>
      <c r="AP475" t="s">
        <v>5194</v>
      </c>
      <c r="AQ475" t="s">
        <v>74</v>
      </c>
      <c r="AR475" t="s">
        <v>5195</v>
      </c>
      <c r="AS475" t="s">
        <v>5196</v>
      </c>
      <c r="AT475" t="s">
        <v>9050</v>
      </c>
      <c r="AU475">
        <v>2018</v>
      </c>
      <c r="AV475">
        <v>41</v>
      </c>
      <c r="AW475">
        <v>8</v>
      </c>
      <c r="AX475" t="s">
        <v>74</v>
      </c>
      <c r="AY475" t="s">
        <v>74</v>
      </c>
      <c r="AZ475" t="s">
        <v>74</v>
      </c>
      <c r="BA475" t="s">
        <v>74</v>
      </c>
      <c r="BB475">
        <v>1283</v>
      </c>
      <c r="BC475">
        <v>1294</v>
      </c>
      <c r="BD475" t="s">
        <v>74</v>
      </c>
      <c r="BE475" t="s">
        <v>9491</v>
      </c>
      <c r="BF475" t="str">
        <f>HYPERLINK("http://dx.doi.org/10.1111/jfd.12822","http://dx.doi.org/10.1111/jfd.12822")</f>
        <v>http://dx.doi.org/10.1111/jfd.12822</v>
      </c>
      <c r="BG475" t="s">
        <v>74</v>
      </c>
      <c r="BH475" t="s">
        <v>74</v>
      </c>
      <c r="BI475">
        <v>12</v>
      </c>
      <c r="BJ475" t="s">
        <v>5198</v>
      </c>
      <c r="BK475" t="s">
        <v>101</v>
      </c>
      <c r="BL475" t="s">
        <v>5198</v>
      </c>
      <c r="BM475" t="s">
        <v>9492</v>
      </c>
      <c r="BN475">
        <v>29882280</v>
      </c>
      <c r="BO475" t="s">
        <v>74</v>
      </c>
      <c r="BP475" t="s">
        <v>74</v>
      </c>
      <c r="BQ475" t="s">
        <v>74</v>
      </c>
      <c r="BR475" t="s">
        <v>104</v>
      </c>
      <c r="BS475" t="s">
        <v>9493</v>
      </c>
      <c r="BT475" t="str">
        <f>HYPERLINK("https%3A%2F%2Fwww.webofscience.com%2Fwos%2Fwoscc%2Ffull-record%2FWOS:000438725100011","View Full Record in Web of Science")</f>
        <v>View Full Record in Web of Science</v>
      </c>
    </row>
    <row r="476" spans="1:72" x14ac:dyDescent="0.15">
      <c r="A476" t="s">
        <v>72</v>
      </c>
      <c r="B476" t="s">
        <v>9494</v>
      </c>
      <c r="C476" t="s">
        <v>74</v>
      </c>
      <c r="D476" t="s">
        <v>74</v>
      </c>
      <c r="E476" t="s">
        <v>74</v>
      </c>
      <c r="F476" t="s">
        <v>9495</v>
      </c>
      <c r="G476" t="s">
        <v>74</v>
      </c>
      <c r="H476" t="s">
        <v>74</v>
      </c>
      <c r="I476" t="s">
        <v>9496</v>
      </c>
      <c r="J476" t="s">
        <v>9497</v>
      </c>
      <c r="K476" t="s">
        <v>74</v>
      </c>
      <c r="L476" t="s">
        <v>74</v>
      </c>
      <c r="M476" t="s">
        <v>78</v>
      </c>
      <c r="N476" t="s">
        <v>79</v>
      </c>
      <c r="O476" t="s">
        <v>74</v>
      </c>
      <c r="P476" t="s">
        <v>74</v>
      </c>
      <c r="Q476" t="s">
        <v>74</v>
      </c>
      <c r="R476" t="s">
        <v>74</v>
      </c>
      <c r="S476" t="s">
        <v>74</v>
      </c>
      <c r="T476" t="s">
        <v>9498</v>
      </c>
      <c r="U476" t="s">
        <v>9499</v>
      </c>
      <c r="V476" t="s">
        <v>9500</v>
      </c>
      <c r="W476" t="s">
        <v>9501</v>
      </c>
      <c r="X476" t="s">
        <v>9502</v>
      </c>
      <c r="Y476" t="s">
        <v>9503</v>
      </c>
      <c r="Z476" t="s">
        <v>9504</v>
      </c>
      <c r="AA476" t="s">
        <v>9505</v>
      </c>
      <c r="AB476" t="s">
        <v>9506</v>
      </c>
      <c r="AC476" t="s">
        <v>9507</v>
      </c>
      <c r="AD476" t="s">
        <v>9508</v>
      </c>
      <c r="AE476" t="s">
        <v>9509</v>
      </c>
      <c r="AF476" t="s">
        <v>74</v>
      </c>
      <c r="AG476">
        <v>53</v>
      </c>
      <c r="AH476">
        <v>18</v>
      </c>
      <c r="AI476">
        <v>20</v>
      </c>
      <c r="AJ476">
        <v>13</v>
      </c>
      <c r="AK476">
        <v>84</v>
      </c>
      <c r="AL476" t="s">
        <v>430</v>
      </c>
      <c r="AM476" t="s">
        <v>286</v>
      </c>
      <c r="AN476" t="s">
        <v>431</v>
      </c>
      <c r="AO476" t="s">
        <v>9510</v>
      </c>
      <c r="AP476" t="s">
        <v>74</v>
      </c>
      <c r="AQ476" t="s">
        <v>74</v>
      </c>
      <c r="AR476" t="s">
        <v>9511</v>
      </c>
      <c r="AS476" t="s">
        <v>9512</v>
      </c>
      <c r="AT476" t="s">
        <v>9050</v>
      </c>
      <c r="AU476">
        <v>2018</v>
      </c>
      <c r="AV476">
        <v>47</v>
      </c>
      <c r="AW476" t="s">
        <v>74</v>
      </c>
      <c r="AX476" t="s">
        <v>74</v>
      </c>
      <c r="AY476" t="s">
        <v>74</v>
      </c>
      <c r="AZ476" t="s">
        <v>74</v>
      </c>
      <c r="BA476" t="s">
        <v>74</v>
      </c>
      <c r="BB476">
        <v>447</v>
      </c>
      <c r="BC476">
        <v>456</v>
      </c>
      <c r="BD476" t="s">
        <v>74</v>
      </c>
      <c r="BE476" t="s">
        <v>9513</v>
      </c>
      <c r="BF476" t="str">
        <f>HYPERLINK("http://dx.doi.org/10.1016/j.jff.2018.06.004","http://dx.doi.org/10.1016/j.jff.2018.06.004")</f>
        <v>http://dx.doi.org/10.1016/j.jff.2018.06.004</v>
      </c>
      <c r="BG476" t="s">
        <v>74</v>
      </c>
      <c r="BH476" t="s">
        <v>74</v>
      </c>
      <c r="BI476">
        <v>10</v>
      </c>
      <c r="BJ476" t="s">
        <v>9365</v>
      </c>
      <c r="BK476" t="s">
        <v>101</v>
      </c>
      <c r="BL476" t="s">
        <v>9365</v>
      </c>
      <c r="BM476" t="s">
        <v>9514</v>
      </c>
      <c r="BN476" t="s">
        <v>74</v>
      </c>
      <c r="BO476" t="s">
        <v>74</v>
      </c>
      <c r="BP476" t="s">
        <v>74</v>
      </c>
      <c r="BQ476" t="s">
        <v>74</v>
      </c>
      <c r="BR476" t="s">
        <v>104</v>
      </c>
      <c r="BS476" t="s">
        <v>9515</v>
      </c>
      <c r="BT476" t="str">
        <f>HYPERLINK("https%3A%2F%2Fwww.webofscience.com%2Fwos%2Fwoscc%2Ffull-record%2FWOS:000439019200048","View Full Record in Web of Science")</f>
        <v>View Full Record in Web of Science</v>
      </c>
    </row>
    <row r="477" spans="1:72" x14ac:dyDescent="0.15">
      <c r="A477" t="s">
        <v>72</v>
      </c>
      <c r="B477" t="s">
        <v>9516</v>
      </c>
      <c r="C477" t="s">
        <v>74</v>
      </c>
      <c r="D477" t="s">
        <v>74</v>
      </c>
      <c r="E477" t="s">
        <v>74</v>
      </c>
      <c r="F477" t="s">
        <v>9517</v>
      </c>
      <c r="G477" t="s">
        <v>74</v>
      </c>
      <c r="H477" t="s">
        <v>74</v>
      </c>
      <c r="I477" t="s">
        <v>9518</v>
      </c>
      <c r="J477" t="s">
        <v>798</v>
      </c>
      <c r="K477" t="s">
        <v>74</v>
      </c>
      <c r="L477" t="s">
        <v>74</v>
      </c>
      <c r="M477" t="s">
        <v>78</v>
      </c>
      <c r="N477" t="s">
        <v>79</v>
      </c>
      <c r="O477" t="s">
        <v>74</v>
      </c>
      <c r="P477" t="s">
        <v>74</v>
      </c>
      <c r="Q477" t="s">
        <v>74</v>
      </c>
      <c r="R477" t="s">
        <v>74</v>
      </c>
      <c r="S477" t="s">
        <v>74</v>
      </c>
      <c r="T477" t="s">
        <v>9519</v>
      </c>
      <c r="U477" t="s">
        <v>9520</v>
      </c>
      <c r="V477" t="s">
        <v>9521</v>
      </c>
      <c r="W477" t="s">
        <v>9522</v>
      </c>
      <c r="X477" t="s">
        <v>9523</v>
      </c>
      <c r="Y477" t="s">
        <v>9524</v>
      </c>
      <c r="Z477" t="s">
        <v>9525</v>
      </c>
      <c r="AA477" t="s">
        <v>9526</v>
      </c>
      <c r="AB477" t="s">
        <v>9527</v>
      </c>
      <c r="AC477" t="s">
        <v>9528</v>
      </c>
      <c r="AD477" t="s">
        <v>9529</v>
      </c>
      <c r="AE477" t="s">
        <v>9530</v>
      </c>
      <c r="AF477" t="s">
        <v>74</v>
      </c>
      <c r="AG477">
        <v>47</v>
      </c>
      <c r="AH477">
        <v>16</v>
      </c>
      <c r="AI477">
        <v>17</v>
      </c>
      <c r="AJ477">
        <v>3</v>
      </c>
      <c r="AK477">
        <v>14</v>
      </c>
      <c r="AL477" t="s">
        <v>503</v>
      </c>
      <c r="AM477" t="s">
        <v>504</v>
      </c>
      <c r="AN477" t="s">
        <v>505</v>
      </c>
      <c r="AO477" t="s">
        <v>811</v>
      </c>
      <c r="AP477" t="s">
        <v>812</v>
      </c>
      <c r="AQ477" t="s">
        <v>74</v>
      </c>
      <c r="AR477" t="s">
        <v>813</v>
      </c>
      <c r="AS477" t="s">
        <v>814</v>
      </c>
      <c r="AT477" t="s">
        <v>9050</v>
      </c>
      <c r="AU477">
        <v>2018</v>
      </c>
      <c r="AV477">
        <v>123</v>
      </c>
      <c r="AW477">
        <v>8</v>
      </c>
      <c r="AX477" t="s">
        <v>74</v>
      </c>
      <c r="AY477" t="s">
        <v>74</v>
      </c>
      <c r="AZ477" t="s">
        <v>74</v>
      </c>
      <c r="BA477" t="s">
        <v>74</v>
      </c>
      <c r="BB477">
        <v>5688</v>
      </c>
      <c r="BC477">
        <v>5705</v>
      </c>
      <c r="BD477" t="s">
        <v>74</v>
      </c>
      <c r="BE477" t="s">
        <v>9531</v>
      </c>
      <c r="BF477" t="str">
        <f>HYPERLINK("http://dx.doi.org/10.1029/2017JC013307","http://dx.doi.org/10.1029/2017JC013307")</f>
        <v>http://dx.doi.org/10.1029/2017JC013307</v>
      </c>
      <c r="BG477" t="s">
        <v>74</v>
      </c>
      <c r="BH477" t="s">
        <v>74</v>
      </c>
      <c r="BI477">
        <v>18</v>
      </c>
      <c r="BJ477" t="s">
        <v>157</v>
      </c>
      <c r="BK477" t="s">
        <v>101</v>
      </c>
      <c r="BL477" t="s">
        <v>157</v>
      </c>
      <c r="BM477" t="s">
        <v>9532</v>
      </c>
      <c r="BN477" t="s">
        <v>74</v>
      </c>
      <c r="BO477" t="s">
        <v>9533</v>
      </c>
      <c r="BP477" t="s">
        <v>74</v>
      </c>
      <c r="BQ477" t="s">
        <v>74</v>
      </c>
      <c r="BR477" t="s">
        <v>104</v>
      </c>
      <c r="BS477" t="s">
        <v>9534</v>
      </c>
      <c r="BT477" t="str">
        <f>HYPERLINK("https%3A%2F%2Fwww.webofscience.com%2Fwos%2Fwoscc%2Ffull-record%2FWOS:000445188900038","View Full Record in Web of Science")</f>
        <v>View Full Record in Web of Science</v>
      </c>
    </row>
    <row r="478" spans="1:72" x14ac:dyDescent="0.15">
      <c r="A478" t="s">
        <v>72</v>
      </c>
      <c r="B478" t="s">
        <v>9535</v>
      </c>
      <c r="C478" t="s">
        <v>74</v>
      </c>
      <c r="D478" t="s">
        <v>74</v>
      </c>
      <c r="E478" t="s">
        <v>74</v>
      </c>
      <c r="F478" t="s">
        <v>9536</v>
      </c>
      <c r="G478" t="s">
        <v>74</v>
      </c>
      <c r="H478" t="s">
        <v>74</v>
      </c>
      <c r="I478" t="s">
        <v>9537</v>
      </c>
      <c r="J478" t="s">
        <v>1546</v>
      </c>
      <c r="K478" t="s">
        <v>74</v>
      </c>
      <c r="L478" t="s">
        <v>74</v>
      </c>
      <c r="M478" t="s">
        <v>78</v>
      </c>
      <c r="N478" t="s">
        <v>79</v>
      </c>
      <c r="O478" t="s">
        <v>74</v>
      </c>
      <c r="P478" t="s">
        <v>74</v>
      </c>
      <c r="Q478" t="s">
        <v>74</v>
      </c>
      <c r="R478" t="s">
        <v>74</v>
      </c>
      <c r="S478" t="s">
        <v>74</v>
      </c>
      <c r="T478" t="s">
        <v>9538</v>
      </c>
      <c r="U478" t="s">
        <v>9539</v>
      </c>
      <c r="V478" t="s">
        <v>9540</v>
      </c>
      <c r="W478" t="s">
        <v>9541</v>
      </c>
      <c r="X478" t="s">
        <v>9542</v>
      </c>
      <c r="Y478" t="s">
        <v>9543</v>
      </c>
      <c r="Z478" t="s">
        <v>9544</v>
      </c>
      <c r="AA478" t="s">
        <v>9545</v>
      </c>
      <c r="AB478" t="s">
        <v>9546</v>
      </c>
      <c r="AC478" t="s">
        <v>9547</v>
      </c>
      <c r="AD478" t="s">
        <v>9548</v>
      </c>
      <c r="AE478" t="s">
        <v>9549</v>
      </c>
      <c r="AF478" t="s">
        <v>74</v>
      </c>
      <c r="AG478">
        <v>86</v>
      </c>
      <c r="AH478">
        <v>37</v>
      </c>
      <c r="AI478">
        <v>42</v>
      </c>
      <c r="AJ478">
        <v>2</v>
      </c>
      <c r="AK478">
        <v>13</v>
      </c>
      <c r="AL478" t="s">
        <v>257</v>
      </c>
      <c r="AM478" t="s">
        <v>730</v>
      </c>
      <c r="AN478" t="s">
        <v>1559</v>
      </c>
      <c r="AO478" t="s">
        <v>1560</v>
      </c>
      <c r="AP478" t="s">
        <v>1561</v>
      </c>
      <c r="AQ478" t="s">
        <v>74</v>
      </c>
      <c r="AR478" t="s">
        <v>1562</v>
      </c>
      <c r="AS478" t="s">
        <v>1563</v>
      </c>
      <c r="AT478" t="s">
        <v>9050</v>
      </c>
      <c r="AU478">
        <v>2018</v>
      </c>
      <c r="AV478">
        <v>64</v>
      </c>
      <c r="AW478">
        <v>246</v>
      </c>
      <c r="AX478" t="s">
        <v>74</v>
      </c>
      <c r="AY478" t="s">
        <v>74</v>
      </c>
      <c r="AZ478" t="s">
        <v>74</v>
      </c>
      <c r="BA478" t="s">
        <v>74</v>
      </c>
      <c r="BB478">
        <v>583</v>
      </c>
      <c r="BC478">
        <v>594</v>
      </c>
      <c r="BD478" t="s">
        <v>74</v>
      </c>
      <c r="BE478" t="s">
        <v>9550</v>
      </c>
      <c r="BF478" t="str">
        <f>HYPERLINK("http://dx.doi.org/10.1017/jog.2018.47","http://dx.doi.org/10.1017/jog.2018.47")</f>
        <v>http://dx.doi.org/10.1017/jog.2018.47</v>
      </c>
      <c r="BG478" t="s">
        <v>74</v>
      </c>
      <c r="BH478" t="s">
        <v>74</v>
      </c>
      <c r="BI478">
        <v>12</v>
      </c>
      <c r="BJ478" t="s">
        <v>208</v>
      </c>
      <c r="BK478" t="s">
        <v>101</v>
      </c>
      <c r="BL478" t="s">
        <v>209</v>
      </c>
      <c r="BM478" t="s">
        <v>9551</v>
      </c>
      <c r="BN478" t="s">
        <v>74</v>
      </c>
      <c r="BO478" t="s">
        <v>9552</v>
      </c>
      <c r="BP478" t="s">
        <v>74</v>
      </c>
      <c r="BQ478" t="s">
        <v>74</v>
      </c>
      <c r="BR478" t="s">
        <v>104</v>
      </c>
      <c r="BS478" t="s">
        <v>9553</v>
      </c>
      <c r="BT478" t="str">
        <f>HYPERLINK("https%3A%2F%2Fwww.webofscience.com%2Fwos%2Fwoscc%2Ffull-record%2FWOS:000442036700006","View Full Record in Web of Science")</f>
        <v>View Full Record in Web of Science</v>
      </c>
    </row>
    <row r="479" spans="1:72" x14ac:dyDescent="0.15">
      <c r="A479" t="s">
        <v>72</v>
      </c>
      <c r="B479" t="s">
        <v>9554</v>
      </c>
      <c r="C479" t="s">
        <v>74</v>
      </c>
      <c r="D479" t="s">
        <v>74</v>
      </c>
      <c r="E479" t="s">
        <v>74</v>
      </c>
      <c r="F479" t="s">
        <v>9555</v>
      </c>
      <c r="G479" t="s">
        <v>74</v>
      </c>
      <c r="H479" t="s">
        <v>74</v>
      </c>
      <c r="I479" t="s">
        <v>9556</v>
      </c>
      <c r="J479" t="s">
        <v>1546</v>
      </c>
      <c r="K479" t="s">
        <v>74</v>
      </c>
      <c r="L479" t="s">
        <v>74</v>
      </c>
      <c r="M479" t="s">
        <v>78</v>
      </c>
      <c r="N479" t="s">
        <v>79</v>
      </c>
      <c r="O479" t="s">
        <v>74</v>
      </c>
      <c r="P479" t="s">
        <v>74</v>
      </c>
      <c r="Q479" t="s">
        <v>74</v>
      </c>
      <c r="R479" t="s">
        <v>74</v>
      </c>
      <c r="S479" t="s">
        <v>74</v>
      </c>
      <c r="T479" t="s">
        <v>9557</v>
      </c>
      <c r="U479" t="s">
        <v>9558</v>
      </c>
      <c r="V479" t="s">
        <v>9559</v>
      </c>
      <c r="W479" t="s">
        <v>9560</v>
      </c>
      <c r="X479" t="s">
        <v>9561</v>
      </c>
      <c r="Y479" t="s">
        <v>9562</v>
      </c>
      <c r="Z479" t="s">
        <v>9563</v>
      </c>
      <c r="AA479" t="s">
        <v>9564</v>
      </c>
      <c r="AB479" t="s">
        <v>9565</v>
      </c>
      <c r="AC479" t="s">
        <v>9566</v>
      </c>
      <c r="AD479" t="s">
        <v>9567</v>
      </c>
      <c r="AE479" t="s">
        <v>9568</v>
      </c>
      <c r="AF479" t="s">
        <v>74</v>
      </c>
      <c r="AG479">
        <v>33</v>
      </c>
      <c r="AH479">
        <v>25</v>
      </c>
      <c r="AI479">
        <v>30</v>
      </c>
      <c r="AJ479">
        <v>1</v>
      </c>
      <c r="AK479">
        <v>3</v>
      </c>
      <c r="AL479" t="s">
        <v>257</v>
      </c>
      <c r="AM479" t="s">
        <v>730</v>
      </c>
      <c r="AN479" t="s">
        <v>1559</v>
      </c>
      <c r="AO479" t="s">
        <v>1560</v>
      </c>
      <c r="AP479" t="s">
        <v>1561</v>
      </c>
      <c r="AQ479" t="s">
        <v>74</v>
      </c>
      <c r="AR479" t="s">
        <v>1562</v>
      </c>
      <c r="AS479" t="s">
        <v>1563</v>
      </c>
      <c r="AT479" t="s">
        <v>9050</v>
      </c>
      <c r="AU479">
        <v>2018</v>
      </c>
      <c r="AV479">
        <v>64</v>
      </c>
      <c r="AW479">
        <v>246</v>
      </c>
      <c r="AX479" t="s">
        <v>74</v>
      </c>
      <c r="AY479" t="s">
        <v>74</v>
      </c>
      <c r="AZ479" t="s">
        <v>74</v>
      </c>
      <c r="BA479" t="s">
        <v>74</v>
      </c>
      <c r="BB479">
        <v>649</v>
      </c>
      <c r="BC479">
        <v>660</v>
      </c>
      <c r="BD479" t="s">
        <v>74</v>
      </c>
      <c r="BE479" t="s">
        <v>9569</v>
      </c>
      <c r="BF479" t="str">
        <f>HYPERLINK("http://dx.doi.org/10.1017/jog.2018.54","http://dx.doi.org/10.1017/jog.2018.54")</f>
        <v>http://dx.doi.org/10.1017/jog.2018.54</v>
      </c>
      <c r="BG479" t="s">
        <v>74</v>
      </c>
      <c r="BH479" t="s">
        <v>74</v>
      </c>
      <c r="BI479">
        <v>12</v>
      </c>
      <c r="BJ479" t="s">
        <v>208</v>
      </c>
      <c r="BK479" t="s">
        <v>101</v>
      </c>
      <c r="BL479" t="s">
        <v>209</v>
      </c>
      <c r="BM479" t="s">
        <v>9551</v>
      </c>
      <c r="BN479" t="s">
        <v>74</v>
      </c>
      <c r="BO479" t="s">
        <v>4275</v>
      </c>
      <c r="BP479" t="s">
        <v>74</v>
      </c>
      <c r="BQ479" t="s">
        <v>74</v>
      </c>
      <c r="BR479" t="s">
        <v>104</v>
      </c>
      <c r="BS479" t="s">
        <v>9570</v>
      </c>
      <c r="BT479" t="str">
        <f>HYPERLINK("https%3A%2F%2Fwww.webofscience.com%2Fwos%2Fwoscc%2Ffull-record%2FWOS:000442036700011","View Full Record in Web of Science")</f>
        <v>View Full Record in Web of Science</v>
      </c>
    </row>
    <row r="480" spans="1:72" x14ac:dyDescent="0.15">
      <c r="A480" t="s">
        <v>72</v>
      </c>
      <c r="B480" t="s">
        <v>9571</v>
      </c>
      <c r="C480" t="s">
        <v>74</v>
      </c>
      <c r="D480" t="s">
        <v>74</v>
      </c>
      <c r="E480" t="s">
        <v>74</v>
      </c>
      <c r="F480" t="s">
        <v>9572</v>
      </c>
      <c r="G480" t="s">
        <v>74</v>
      </c>
      <c r="H480" t="s">
        <v>74</v>
      </c>
      <c r="I480" t="s">
        <v>9573</v>
      </c>
      <c r="J480" t="s">
        <v>4680</v>
      </c>
      <c r="K480" t="s">
        <v>74</v>
      </c>
      <c r="L480" t="s">
        <v>74</v>
      </c>
      <c r="M480" t="s">
        <v>78</v>
      </c>
      <c r="N480" t="s">
        <v>79</v>
      </c>
      <c r="O480" t="s">
        <v>74</v>
      </c>
      <c r="P480" t="s">
        <v>74</v>
      </c>
      <c r="Q480" t="s">
        <v>74</v>
      </c>
      <c r="R480" t="s">
        <v>74</v>
      </c>
      <c r="S480" t="s">
        <v>74</v>
      </c>
      <c r="T480" t="s">
        <v>74</v>
      </c>
      <c r="U480" t="s">
        <v>9574</v>
      </c>
      <c r="V480" t="s">
        <v>9575</v>
      </c>
      <c r="W480" t="s">
        <v>9576</v>
      </c>
      <c r="X480" t="s">
        <v>9577</v>
      </c>
      <c r="Y480" t="s">
        <v>9578</v>
      </c>
      <c r="Z480" t="s">
        <v>9579</v>
      </c>
      <c r="AA480" t="s">
        <v>9580</v>
      </c>
      <c r="AB480" t="s">
        <v>9581</v>
      </c>
      <c r="AC480" t="s">
        <v>9582</v>
      </c>
      <c r="AD480" t="s">
        <v>9583</v>
      </c>
      <c r="AE480" t="s">
        <v>9584</v>
      </c>
      <c r="AF480" t="s">
        <v>74</v>
      </c>
      <c r="AG480">
        <v>45</v>
      </c>
      <c r="AH480">
        <v>16</v>
      </c>
      <c r="AI480">
        <v>16</v>
      </c>
      <c r="AJ480">
        <v>0</v>
      </c>
      <c r="AK480">
        <v>9</v>
      </c>
      <c r="AL480" t="s">
        <v>4690</v>
      </c>
      <c r="AM480" t="s">
        <v>4691</v>
      </c>
      <c r="AN480" t="s">
        <v>4692</v>
      </c>
      <c r="AO480" t="s">
        <v>4693</v>
      </c>
      <c r="AP480" t="s">
        <v>4694</v>
      </c>
      <c r="AQ480" t="s">
        <v>74</v>
      </c>
      <c r="AR480" t="s">
        <v>4695</v>
      </c>
      <c r="AS480" t="s">
        <v>4696</v>
      </c>
      <c r="AT480" t="s">
        <v>9050</v>
      </c>
      <c r="AU480">
        <v>2018</v>
      </c>
      <c r="AV480">
        <v>144</v>
      </c>
      <c r="AW480">
        <v>2</v>
      </c>
      <c r="AX480" t="s">
        <v>74</v>
      </c>
      <c r="AY480" t="s">
        <v>74</v>
      </c>
      <c r="AZ480" t="s">
        <v>74</v>
      </c>
      <c r="BA480" t="s">
        <v>74</v>
      </c>
      <c r="BB480">
        <v>740</v>
      </c>
      <c r="BC480">
        <v>754</v>
      </c>
      <c r="BD480" t="s">
        <v>74</v>
      </c>
      <c r="BE480" t="s">
        <v>9585</v>
      </c>
      <c r="BF480" t="str">
        <f>HYPERLINK("http://dx.doi.org/10.1121/1.5049803","http://dx.doi.org/10.1121/1.5049803")</f>
        <v>http://dx.doi.org/10.1121/1.5049803</v>
      </c>
      <c r="BG480" t="s">
        <v>74</v>
      </c>
      <c r="BH480" t="s">
        <v>74</v>
      </c>
      <c r="BI480">
        <v>15</v>
      </c>
      <c r="BJ480" t="s">
        <v>4698</v>
      </c>
      <c r="BK480" t="s">
        <v>101</v>
      </c>
      <c r="BL480" t="s">
        <v>4698</v>
      </c>
      <c r="BM480" t="s">
        <v>9586</v>
      </c>
      <c r="BN480">
        <v>30180708</v>
      </c>
      <c r="BO480" t="s">
        <v>74</v>
      </c>
      <c r="BP480" t="s">
        <v>74</v>
      </c>
      <c r="BQ480" t="s">
        <v>74</v>
      </c>
      <c r="BR480" t="s">
        <v>104</v>
      </c>
      <c r="BS480" t="s">
        <v>9587</v>
      </c>
      <c r="BT480" t="str">
        <f>HYPERLINK("https%3A%2F%2Fwww.webofscience.com%2Fwos%2Fwoscc%2Ffull-record%2FWOS:000443620700031","View Full Record in Web of Science")</f>
        <v>View Full Record in Web of Science</v>
      </c>
    </row>
    <row r="481" spans="1:72" x14ac:dyDescent="0.15">
      <c r="A481" t="s">
        <v>72</v>
      </c>
      <c r="B481" t="s">
        <v>9588</v>
      </c>
      <c r="C481" t="s">
        <v>74</v>
      </c>
      <c r="D481" t="s">
        <v>74</v>
      </c>
      <c r="E481" t="s">
        <v>74</v>
      </c>
      <c r="F481" t="s">
        <v>9589</v>
      </c>
      <c r="G481" t="s">
        <v>74</v>
      </c>
      <c r="H481" t="s">
        <v>74</v>
      </c>
      <c r="I481" t="s">
        <v>9590</v>
      </c>
      <c r="J481" t="s">
        <v>1823</v>
      </c>
      <c r="K481" t="s">
        <v>74</v>
      </c>
      <c r="L481" t="s">
        <v>74</v>
      </c>
      <c r="M481" t="s">
        <v>78</v>
      </c>
      <c r="N481" t="s">
        <v>79</v>
      </c>
      <c r="O481" t="s">
        <v>74</v>
      </c>
      <c r="P481" t="s">
        <v>74</v>
      </c>
      <c r="Q481" t="s">
        <v>74</v>
      </c>
      <c r="R481" t="s">
        <v>74</v>
      </c>
      <c r="S481" t="s">
        <v>74</v>
      </c>
      <c r="T481" t="s">
        <v>74</v>
      </c>
      <c r="U481" t="s">
        <v>9591</v>
      </c>
      <c r="V481" t="s">
        <v>9592</v>
      </c>
      <c r="W481" t="s">
        <v>9593</v>
      </c>
      <c r="X481" t="s">
        <v>9594</v>
      </c>
      <c r="Y481" t="s">
        <v>9595</v>
      </c>
      <c r="Z481" t="s">
        <v>9596</v>
      </c>
      <c r="AA481" t="s">
        <v>9597</v>
      </c>
      <c r="AB481" t="s">
        <v>9598</v>
      </c>
      <c r="AC481" t="s">
        <v>9599</v>
      </c>
      <c r="AD481" t="s">
        <v>9600</v>
      </c>
      <c r="AE481" t="s">
        <v>9601</v>
      </c>
      <c r="AF481" t="s">
        <v>74</v>
      </c>
      <c r="AG481">
        <v>23</v>
      </c>
      <c r="AH481">
        <v>7</v>
      </c>
      <c r="AI481">
        <v>8</v>
      </c>
      <c r="AJ481">
        <v>3</v>
      </c>
      <c r="AK481">
        <v>22</v>
      </c>
      <c r="AL481" t="s">
        <v>758</v>
      </c>
      <c r="AM481" t="s">
        <v>759</v>
      </c>
      <c r="AN481" t="s">
        <v>760</v>
      </c>
      <c r="AO481" t="s">
        <v>1833</v>
      </c>
      <c r="AP481" t="s">
        <v>74</v>
      </c>
      <c r="AQ481" t="s">
        <v>74</v>
      </c>
      <c r="AR481" t="s">
        <v>1834</v>
      </c>
      <c r="AS481" t="s">
        <v>1835</v>
      </c>
      <c r="AT481" t="s">
        <v>9050</v>
      </c>
      <c r="AU481">
        <v>2018</v>
      </c>
      <c r="AV481">
        <v>16</v>
      </c>
      <c r="AW481">
        <v>8</v>
      </c>
      <c r="AX481" t="s">
        <v>74</v>
      </c>
      <c r="AY481" t="s">
        <v>74</v>
      </c>
      <c r="AZ481" t="s">
        <v>74</v>
      </c>
      <c r="BA481" t="s">
        <v>74</v>
      </c>
      <c r="BB481">
        <v>516</v>
      </c>
      <c r="BC481">
        <v>524</v>
      </c>
      <c r="BD481" t="s">
        <v>74</v>
      </c>
      <c r="BE481" t="s">
        <v>9602</v>
      </c>
      <c r="BF481" t="str">
        <f>HYPERLINK("http://dx.doi.org/10.1002/lom3.10263","http://dx.doi.org/10.1002/lom3.10263")</f>
        <v>http://dx.doi.org/10.1002/lom3.10263</v>
      </c>
      <c r="BG481" t="s">
        <v>74</v>
      </c>
      <c r="BH481" t="s">
        <v>74</v>
      </c>
      <c r="BI481">
        <v>9</v>
      </c>
      <c r="BJ481" t="s">
        <v>1837</v>
      </c>
      <c r="BK481" t="s">
        <v>101</v>
      </c>
      <c r="BL481" t="s">
        <v>1838</v>
      </c>
      <c r="BM481" t="s">
        <v>9603</v>
      </c>
      <c r="BN481" t="s">
        <v>74</v>
      </c>
      <c r="BO481" t="s">
        <v>712</v>
      </c>
      <c r="BP481" t="s">
        <v>74</v>
      </c>
      <c r="BQ481" t="s">
        <v>74</v>
      </c>
      <c r="BR481" t="s">
        <v>104</v>
      </c>
      <c r="BS481" t="s">
        <v>9604</v>
      </c>
      <c r="BT481" t="str">
        <f>HYPERLINK("https%3A%2F%2Fwww.webofscience.com%2Fwos%2Fwoscc%2Ffull-record%2FWOS:000442497000004","View Full Record in Web of Science")</f>
        <v>View Full Record in Web of Science</v>
      </c>
    </row>
    <row r="482" spans="1:72" x14ac:dyDescent="0.15">
      <c r="A482" t="s">
        <v>72</v>
      </c>
      <c r="B482" t="s">
        <v>9605</v>
      </c>
      <c r="C482" t="s">
        <v>74</v>
      </c>
      <c r="D482" t="s">
        <v>74</v>
      </c>
      <c r="E482" t="s">
        <v>74</v>
      </c>
      <c r="F482" t="s">
        <v>9606</v>
      </c>
      <c r="G482" t="s">
        <v>74</v>
      </c>
      <c r="H482" t="s">
        <v>74</v>
      </c>
      <c r="I482" t="s">
        <v>9607</v>
      </c>
      <c r="J482" t="s">
        <v>5782</v>
      </c>
      <c r="K482" t="s">
        <v>74</v>
      </c>
      <c r="L482" t="s">
        <v>74</v>
      </c>
      <c r="M482" t="s">
        <v>78</v>
      </c>
      <c r="N482" t="s">
        <v>79</v>
      </c>
      <c r="O482" t="s">
        <v>74</v>
      </c>
      <c r="P482" t="s">
        <v>74</v>
      </c>
      <c r="Q482" t="s">
        <v>74</v>
      </c>
      <c r="R482" t="s">
        <v>74</v>
      </c>
      <c r="S482" t="s">
        <v>74</v>
      </c>
      <c r="T482" t="s">
        <v>9608</v>
      </c>
      <c r="U482" t="s">
        <v>9609</v>
      </c>
      <c r="V482" t="s">
        <v>9610</v>
      </c>
      <c r="W482" t="s">
        <v>9611</v>
      </c>
      <c r="X482" t="s">
        <v>9612</v>
      </c>
      <c r="Y482" t="s">
        <v>9613</v>
      </c>
      <c r="Z482" t="s">
        <v>9614</v>
      </c>
      <c r="AA482" t="s">
        <v>9615</v>
      </c>
      <c r="AB482" t="s">
        <v>9616</v>
      </c>
      <c r="AC482" t="s">
        <v>9617</v>
      </c>
      <c r="AD482" t="s">
        <v>9618</v>
      </c>
      <c r="AE482" t="s">
        <v>9619</v>
      </c>
      <c r="AF482" t="s">
        <v>74</v>
      </c>
      <c r="AG482">
        <v>63</v>
      </c>
      <c r="AH482">
        <v>25</v>
      </c>
      <c r="AI482">
        <v>26</v>
      </c>
      <c r="AJ482">
        <v>0</v>
      </c>
      <c r="AK482">
        <v>16</v>
      </c>
      <c r="AL482" t="s">
        <v>201</v>
      </c>
      <c r="AM482" t="s">
        <v>93</v>
      </c>
      <c r="AN482" t="s">
        <v>202</v>
      </c>
      <c r="AO482" t="s">
        <v>5795</v>
      </c>
      <c r="AP482" t="s">
        <v>5796</v>
      </c>
      <c r="AQ482" t="s">
        <v>74</v>
      </c>
      <c r="AR482" t="s">
        <v>5797</v>
      </c>
      <c r="AS482" t="s">
        <v>5798</v>
      </c>
      <c r="AT482" t="s">
        <v>9050</v>
      </c>
      <c r="AU482">
        <v>2018</v>
      </c>
      <c r="AV482">
        <v>139</v>
      </c>
      <c r="AW482" t="s">
        <v>74</v>
      </c>
      <c r="AX482" t="s">
        <v>74</v>
      </c>
      <c r="AY482" t="s">
        <v>74</v>
      </c>
      <c r="AZ482" t="s">
        <v>74</v>
      </c>
      <c r="BA482" t="s">
        <v>74</v>
      </c>
      <c r="BB482">
        <v>122</v>
      </c>
      <c r="BC482">
        <v>128</v>
      </c>
      <c r="BD482" t="s">
        <v>74</v>
      </c>
      <c r="BE482" t="s">
        <v>9620</v>
      </c>
      <c r="BF482" t="str">
        <f>HYPERLINK("http://dx.doi.org/10.1016/j.marenvres.2018.03.017","http://dx.doi.org/10.1016/j.marenvres.2018.03.017")</f>
        <v>http://dx.doi.org/10.1016/j.marenvres.2018.03.017</v>
      </c>
      <c r="BG482" t="s">
        <v>74</v>
      </c>
      <c r="BH482" t="s">
        <v>74</v>
      </c>
      <c r="BI482">
        <v>7</v>
      </c>
      <c r="BJ482" t="s">
        <v>5800</v>
      </c>
      <c r="BK482" t="s">
        <v>101</v>
      </c>
      <c r="BL482" t="s">
        <v>5801</v>
      </c>
      <c r="BM482" t="s">
        <v>9621</v>
      </c>
      <c r="BN482">
        <v>29776593</v>
      </c>
      <c r="BO482" t="s">
        <v>74</v>
      </c>
      <c r="BP482" t="s">
        <v>74</v>
      </c>
      <c r="BQ482" t="s">
        <v>74</v>
      </c>
      <c r="BR482" t="s">
        <v>104</v>
      </c>
      <c r="BS482" t="s">
        <v>9622</v>
      </c>
      <c r="BT482" t="str">
        <f>HYPERLINK("https%3A%2F%2Fwww.webofscience.com%2Fwos%2Fwoscc%2Ffull-record%2FWOS:000436911600013","View Full Record in Web of Science")</f>
        <v>View Full Record in Web of Science</v>
      </c>
    </row>
    <row r="483" spans="1:72" x14ac:dyDescent="0.15">
      <c r="A483" t="s">
        <v>72</v>
      </c>
      <c r="B483" t="s">
        <v>9623</v>
      </c>
      <c r="C483" t="s">
        <v>74</v>
      </c>
      <c r="D483" t="s">
        <v>74</v>
      </c>
      <c r="E483" t="s">
        <v>74</v>
      </c>
      <c r="F483" t="s">
        <v>9624</v>
      </c>
      <c r="G483" t="s">
        <v>74</v>
      </c>
      <c r="H483" t="s">
        <v>74</v>
      </c>
      <c r="I483" t="s">
        <v>9625</v>
      </c>
      <c r="J483" t="s">
        <v>9626</v>
      </c>
      <c r="K483" t="s">
        <v>74</v>
      </c>
      <c r="L483" t="s">
        <v>74</v>
      </c>
      <c r="M483" t="s">
        <v>78</v>
      </c>
      <c r="N483" t="s">
        <v>79</v>
      </c>
      <c r="O483" t="s">
        <v>74</v>
      </c>
      <c r="P483" t="s">
        <v>74</v>
      </c>
      <c r="Q483" t="s">
        <v>74</v>
      </c>
      <c r="R483" t="s">
        <v>74</v>
      </c>
      <c r="S483" t="s">
        <v>74</v>
      </c>
      <c r="T483" t="s">
        <v>9627</v>
      </c>
      <c r="U483" t="s">
        <v>9628</v>
      </c>
      <c r="V483" t="s">
        <v>9629</v>
      </c>
      <c r="W483" t="s">
        <v>9630</v>
      </c>
      <c r="X483" t="s">
        <v>9631</v>
      </c>
      <c r="Y483" t="s">
        <v>9632</v>
      </c>
      <c r="Z483" t="s">
        <v>9633</v>
      </c>
      <c r="AA483" t="s">
        <v>9634</v>
      </c>
      <c r="AB483" t="s">
        <v>9635</v>
      </c>
      <c r="AC483" t="s">
        <v>9636</v>
      </c>
      <c r="AD483" t="s">
        <v>9637</v>
      </c>
      <c r="AE483" t="s">
        <v>9638</v>
      </c>
      <c r="AF483" t="s">
        <v>74</v>
      </c>
      <c r="AG483">
        <v>73</v>
      </c>
      <c r="AH483">
        <v>5</v>
      </c>
      <c r="AI483">
        <v>5</v>
      </c>
      <c r="AJ483">
        <v>0</v>
      </c>
      <c r="AK483">
        <v>6</v>
      </c>
      <c r="AL483" t="s">
        <v>430</v>
      </c>
      <c r="AM483" t="s">
        <v>286</v>
      </c>
      <c r="AN483" t="s">
        <v>431</v>
      </c>
      <c r="AO483" t="s">
        <v>9639</v>
      </c>
      <c r="AP483" t="s">
        <v>9640</v>
      </c>
      <c r="AQ483" t="s">
        <v>74</v>
      </c>
      <c r="AR483" t="s">
        <v>9641</v>
      </c>
      <c r="AS483" t="s">
        <v>9642</v>
      </c>
      <c r="AT483" t="s">
        <v>9643</v>
      </c>
      <c r="AU483">
        <v>2018</v>
      </c>
      <c r="AV483">
        <v>402</v>
      </c>
      <c r="AW483" t="s">
        <v>74</v>
      </c>
      <c r="AX483" t="s">
        <v>74</v>
      </c>
      <c r="AY483" t="s">
        <v>74</v>
      </c>
      <c r="AZ483" t="s">
        <v>155</v>
      </c>
      <c r="BA483" t="s">
        <v>74</v>
      </c>
      <c r="BB483">
        <v>153</v>
      </c>
      <c r="BC483">
        <v>164</v>
      </c>
      <c r="BD483" t="s">
        <v>74</v>
      </c>
      <c r="BE483" t="s">
        <v>9644</v>
      </c>
      <c r="BF483" t="str">
        <f>HYPERLINK("http://dx.doi.org/10.1016/j.margeo.2018.02.008","http://dx.doi.org/10.1016/j.margeo.2018.02.008")</f>
        <v>http://dx.doi.org/10.1016/j.margeo.2018.02.008</v>
      </c>
      <c r="BG483" t="s">
        <v>74</v>
      </c>
      <c r="BH483" t="s">
        <v>74</v>
      </c>
      <c r="BI483">
        <v>12</v>
      </c>
      <c r="BJ483" t="s">
        <v>9645</v>
      </c>
      <c r="BK483" t="s">
        <v>101</v>
      </c>
      <c r="BL483" t="s">
        <v>9646</v>
      </c>
      <c r="BM483" t="s">
        <v>9647</v>
      </c>
      <c r="BN483" t="s">
        <v>74</v>
      </c>
      <c r="BO483" t="s">
        <v>9648</v>
      </c>
      <c r="BP483" t="s">
        <v>74</v>
      </c>
      <c r="BQ483" t="s">
        <v>74</v>
      </c>
      <c r="BR483" t="s">
        <v>104</v>
      </c>
      <c r="BS483" t="s">
        <v>9649</v>
      </c>
      <c r="BT483" t="str">
        <f>HYPERLINK("https%3A%2F%2Fwww.webofscience.com%2Fwos%2Fwoscc%2Ffull-record%2FWOS:000440121200012","View Full Record in Web of Science")</f>
        <v>View Full Record in Web of Science</v>
      </c>
    </row>
    <row r="484" spans="1:72" x14ac:dyDescent="0.15">
      <c r="A484" t="s">
        <v>72</v>
      </c>
      <c r="B484" t="s">
        <v>9650</v>
      </c>
      <c r="C484" t="s">
        <v>74</v>
      </c>
      <c r="D484" t="s">
        <v>74</v>
      </c>
      <c r="E484" t="s">
        <v>74</v>
      </c>
      <c r="F484" t="s">
        <v>9651</v>
      </c>
      <c r="G484" t="s">
        <v>74</v>
      </c>
      <c r="H484" t="s">
        <v>74</v>
      </c>
      <c r="I484" t="s">
        <v>9652</v>
      </c>
      <c r="J484" t="s">
        <v>9626</v>
      </c>
      <c r="K484" t="s">
        <v>74</v>
      </c>
      <c r="L484" t="s">
        <v>74</v>
      </c>
      <c r="M484" t="s">
        <v>78</v>
      </c>
      <c r="N484" t="s">
        <v>79</v>
      </c>
      <c r="O484" t="s">
        <v>74</v>
      </c>
      <c r="P484" t="s">
        <v>74</v>
      </c>
      <c r="Q484" t="s">
        <v>74</v>
      </c>
      <c r="R484" t="s">
        <v>74</v>
      </c>
      <c r="S484" t="s">
        <v>74</v>
      </c>
      <c r="T484" t="s">
        <v>9653</v>
      </c>
      <c r="U484" t="s">
        <v>9654</v>
      </c>
      <c r="V484" t="s">
        <v>9655</v>
      </c>
      <c r="W484" t="s">
        <v>9656</v>
      </c>
      <c r="X484" t="s">
        <v>9657</v>
      </c>
      <c r="Y484" t="s">
        <v>9658</v>
      </c>
      <c r="Z484" t="s">
        <v>9659</v>
      </c>
      <c r="AA484" t="s">
        <v>74</v>
      </c>
      <c r="AB484" t="s">
        <v>9660</v>
      </c>
      <c r="AC484" t="s">
        <v>9661</v>
      </c>
      <c r="AD484" t="s">
        <v>9662</v>
      </c>
      <c r="AE484" t="s">
        <v>9663</v>
      </c>
      <c r="AF484" t="s">
        <v>74</v>
      </c>
      <c r="AG484">
        <v>51</v>
      </c>
      <c r="AH484">
        <v>7</v>
      </c>
      <c r="AI484">
        <v>7</v>
      </c>
      <c r="AJ484">
        <v>0</v>
      </c>
      <c r="AK484">
        <v>11</v>
      </c>
      <c r="AL484" t="s">
        <v>430</v>
      </c>
      <c r="AM484" t="s">
        <v>286</v>
      </c>
      <c r="AN484" t="s">
        <v>431</v>
      </c>
      <c r="AO484" t="s">
        <v>9639</v>
      </c>
      <c r="AP484" t="s">
        <v>9640</v>
      </c>
      <c r="AQ484" t="s">
        <v>74</v>
      </c>
      <c r="AR484" t="s">
        <v>9641</v>
      </c>
      <c r="AS484" t="s">
        <v>9642</v>
      </c>
      <c r="AT484" t="s">
        <v>9643</v>
      </c>
      <c r="AU484">
        <v>2018</v>
      </c>
      <c r="AV484">
        <v>402</v>
      </c>
      <c r="AW484" t="s">
        <v>74</v>
      </c>
      <c r="AX484" t="s">
        <v>74</v>
      </c>
      <c r="AY484" t="s">
        <v>74</v>
      </c>
      <c r="AZ484" t="s">
        <v>155</v>
      </c>
      <c r="BA484" t="s">
        <v>74</v>
      </c>
      <c r="BB484">
        <v>194</v>
      </c>
      <c r="BC484">
        <v>208</v>
      </c>
      <c r="BD484" t="s">
        <v>74</v>
      </c>
      <c r="BE484" t="s">
        <v>9664</v>
      </c>
      <c r="BF484" t="str">
        <f>HYPERLINK("http://dx.doi.org/10.1016/j.margeo.2017.10.008","http://dx.doi.org/10.1016/j.margeo.2017.10.008")</f>
        <v>http://dx.doi.org/10.1016/j.margeo.2017.10.008</v>
      </c>
      <c r="BG484" t="s">
        <v>74</v>
      </c>
      <c r="BH484" t="s">
        <v>74</v>
      </c>
      <c r="BI484">
        <v>15</v>
      </c>
      <c r="BJ484" t="s">
        <v>9645</v>
      </c>
      <c r="BK484" t="s">
        <v>101</v>
      </c>
      <c r="BL484" t="s">
        <v>9646</v>
      </c>
      <c r="BM484" t="s">
        <v>9647</v>
      </c>
      <c r="BN484" t="s">
        <v>74</v>
      </c>
      <c r="BO484" t="s">
        <v>211</v>
      </c>
      <c r="BP484" t="s">
        <v>74</v>
      </c>
      <c r="BQ484" t="s">
        <v>74</v>
      </c>
      <c r="BR484" t="s">
        <v>104</v>
      </c>
      <c r="BS484" t="s">
        <v>9665</v>
      </c>
      <c r="BT484" t="str">
        <f>HYPERLINK("https%3A%2F%2Fwww.webofscience.com%2Fwos%2Fwoscc%2Ffull-record%2FWOS:000440121200015","View Full Record in Web of Science")</f>
        <v>View Full Record in Web of Science</v>
      </c>
    </row>
    <row r="485" spans="1:72" x14ac:dyDescent="0.15">
      <c r="A485" t="s">
        <v>72</v>
      </c>
      <c r="B485" t="s">
        <v>9666</v>
      </c>
      <c r="C485" t="s">
        <v>74</v>
      </c>
      <c r="D485" t="s">
        <v>74</v>
      </c>
      <c r="E485" t="s">
        <v>74</v>
      </c>
      <c r="F485" t="s">
        <v>9667</v>
      </c>
      <c r="G485" t="s">
        <v>74</v>
      </c>
      <c r="H485" t="s">
        <v>74</v>
      </c>
      <c r="I485" t="s">
        <v>9668</v>
      </c>
      <c r="J485" t="s">
        <v>9669</v>
      </c>
      <c r="K485" t="s">
        <v>74</v>
      </c>
      <c r="L485" t="s">
        <v>74</v>
      </c>
      <c r="M485" t="s">
        <v>78</v>
      </c>
      <c r="N485" t="s">
        <v>79</v>
      </c>
      <c r="O485" t="s">
        <v>74</v>
      </c>
      <c r="P485" t="s">
        <v>74</v>
      </c>
      <c r="Q485" t="s">
        <v>74</v>
      </c>
      <c r="R485" t="s">
        <v>74</v>
      </c>
      <c r="S485" t="s">
        <v>74</v>
      </c>
      <c r="T485" t="s">
        <v>74</v>
      </c>
      <c r="U485" t="s">
        <v>9670</v>
      </c>
      <c r="V485" t="s">
        <v>9671</v>
      </c>
      <c r="W485" t="s">
        <v>9672</v>
      </c>
      <c r="X485" t="s">
        <v>9673</v>
      </c>
      <c r="Y485" t="s">
        <v>9674</v>
      </c>
      <c r="Z485" t="s">
        <v>9675</v>
      </c>
      <c r="AA485" t="s">
        <v>9676</v>
      </c>
      <c r="AB485" t="s">
        <v>9677</v>
      </c>
      <c r="AC485" t="s">
        <v>9678</v>
      </c>
      <c r="AD485" t="s">
        <v>9679</v>
      </c>
      <c r="AE485" t="s">
        <v>9680</v>
      </c>
      <c r="AF485" t="s">
        <v>74</v>
      </c>
      <c r="AG485">
        <v>70</v>
      </c>
      <c r="AH485">
        <v>18</v>
      </c>
      <c r="AI485">
        <v>19</v>
      </c>
      <c r="AJ485">
        <v>1</v>
      </c>
      <c r="AK485">
        <v>18</v>
      </c>
      <c r="AL485" t="s">
        <v>201</v>
      </c>
      <c r="AM485" t="s">
        <v>93</v>
      </c>
      <c r="AN485" t="s">
        <v>202</v>
      </c>
      <c r="AO485" t="s">
        <v>9681</v>
      </c>
      <c r="AP485" t="s">
        <v>9682</v>
      </c>
      <c r="AQ485" t="s">
        <v>74</v>
      </c>
      <c r="AR485" t="s">
        <v>9683</v>
      </c>
      <c r="AS485" t="s">
        <v>9684</v>
      </c>
      <c r="AT485" t="s">
        <v>9050</v>
      </c>
      <c r="AU485">
        <v>2018</v>
      </c>
      <c r="AV485">
        <v>94</v>
      </c>
      <c r="AW485" t="s">
        <v>74</v>
      </c>
      <c r="AX485" t="s">
        <v>74</v>
      </c>
      <c r="AY485" t="s">
        <v>74</v>
      </c>
      <c r="AZ485" t="s">
        <v>74</v>
      </c>
      <c r="BA485" t="s">
        <v>74</v>
      </c>
      <c r="BB485">
        <v>238</v>
      </c>
      <c r="BC485">
        <v>246</v>
      </c>
      <c r="BD485" t="s">
        <v>74</v>
      </c>
      <c r="BE485" t="s">
        <v>9685</v>
      </c>
      <c r="BF485" t="str">
        <f>HYPERLINK("http://dx.doi.org/10.1016/j.marpol.2018.04.028","http://dx.doi.org/10.1016/j.marpol.2018.04.028")</f>
        <v>http://dx.doi.org/10.1016/j.marpol.2018.04.028</v>
      </c>
      <c r="BG485" t="s">
        <v>74</v>
      </c>
      <c r="BH485" t="s">
        <v>74</v>
      </c>
      <c r="BI485">
        <v>9</v>
      </c>
      <c r="BJ485" t="s">
        <v>9686</v>
      </c>
      <c r="BK485" t="s">
        <v>2020</v>
      </c>
      <c r="BL485" t="s">
        <v>9687</v>
      </c>
      <c r="BM485" t="s">
        <v>9688</v>
      </c>
      <c r="BN485" t="s">
        <v>74</v>
      </c>
      <c r="BO485" t="s">
        <v>74</v>
      </c>
      <c r="BP485" t="s">
        <v>74</v>
      </c>
      <c r="BQ485" t="s">
        <v>74</v>
      </c>
      <c r="BR485" t="s">
        <v>104</v>
      </c>
      <c r="BS485" t="s">
        <v>9689</v>
      </c>
      <c r="BT485" t="str">
        <f>HYPERLINK("https%3A%2F%2Fwww.webofscience.com%2Fwos%2Fwoscc%2Ffull-record%2FWOS:000438659600027","View Full Record in Web of Science")</f>
        <v>View Full Record in Web of Science</v>
      </c>
    </row>
    <row r="486" spans="1:72" x14ac:dyDescent="0.15">
      <c r="A486" t="s">
        <v>72</v>
      </c>
      <c r="B486" t="s">
        <v>9690</v>
      </c>
      <c r="C486" t="s">
        <v>74</v>
      </c>
      <c r="D486" t="s">
        <v>74</v>
      </c>
      <c r="E486" t="s">
        <v>74</v>
      </c>
      <c r="F486" t="s">
        <v>9690</v>
      </c>
      <c r="G486" t="s">
        <v>74</v>
      </c>
      <c r="H486" t="s">
        <v>74</v>
      </c>
      <c r="I486" t="s">
        <v>9691</v>
      </c>
      <c r="J486" t="s">
        <v>9692</v>
      </c>
      <c r="K486" t="s">
        <v>74</v>
      </c>
      <c r="L486" t="s">
        <v>74</v>
      </c>
      <c r="M486" t="s">
        <v>78</v>
      </c>
      <c r="N486" t="s">
        <v>6598</v>
      </c>
      <c r="O486" t="s">
        <v>74</v>
      </c>
      <c r="P486" t="s">
        <v>74</v>
      </c>
      <c r="Q486" t="s">
        <v>74</v>
      </c>
      <c r="R486" t="s">
        <v>74</v>
      </c>
      <c r="S486" t="s">
        <v>74</v>
      </c>
      <c r="T486" t="s">
        <v>74</v>
      </c>
      <c r="U486" t="s">
        <v>74</v>
      </c>
      <c r="V486" t="s">
        <v>74</v>
      </c>
      <c r="W486" t="s">
        <v>74</v>
      </c>
      <c r="X486" t="s">
        <v>74</v>
      </c>
      <c r="Y486" t="s">
        <v>74</v>
      </c>
      <c r="Z486" t="s">
        <v>74</v>
      </c>
      <c r="AA486" t="s">
        <v>74</v>
      </c>
      <c r="AB486" t="s">
        <v>74</v>
      </c>
      <c r="AC486" t="s">
        <v>74</v>
      </c>
      <c r="AD486" t="s">
        <v>74</v>
      </c>
      <c r="AE486" t="s">
        <v>74</v>
      </c>
      <c r="AF486" t="s">
        <v>74</v>
      </c>
      <c r="AG486">
        <v>0</v>
      </c>
      <c r="AH486">
        <v>0</v>
      </c>
      <c r="AI486">
        <v>0</v>
      </c>
      <c r="AJ486">
        <v>0</v>
      </c>
      <c r="AK486">
        <v>2</v>
      </c>
      <c r="AL486" t="s">
        <v>149</v>
      </c>
      <c r="AM486" t="s">
        <v>93</v>
      </c>
      <c r="AN486" t="s">
        <v>150</v>
      </c>
      <c r="AO486" t="s">
        <v>9693</v>
      </c>
      <c r="AP486" t="s">
        <v>9694</v>
      </c>
      <c r="AQ486" t="s">
        <v>74</v>
      </c>
      <c r="AR486" t="s">
        <v>9695</v>
      </c>
      <c r="AS486" t="s">
        <v>9696</v>
      </c>
      <c r="AT486" t="s">
        <v>9050</v>
      </c>
      <c r="AU486">
        <v>2018</v>
      </c>
      <c r="AV486">
        <v>133</v>
      </c>
      <c r="AW486" t="s">
        <v>74</v>
      </c>
      <c r="AX486" t="s">
        <v>74</v>
      </c>
      <c r="AY486" t="s">
        <v>74</v>
      </c>
      <c r="AZ486" t="s">
        <v>74</v>
      </c>
      <c r="BA486" t="s">
        <v>74</v>
      </c>
      <c r="BB486">
        <v>1016</v>
      </c>
      <c r="BC486">
        <v>1017</v>
      </c>
      <c r="BD486" t="s">
        <v>74</v>
      </c>
      <c r="BE486" t="s">
        <v>74</v>
      </c>
      <c r="BF486" t="s">
        <v>74</v>
      </c>
      <c r="BG486" t="s">
        <v>74</v>
      </c>
      <c r="BH486" t="s">
        <v>74</v>
      </c>
      <c r="BI486">
        <v>2</v>
      </c>
      <c r="BJ486" t="s">
        <v>3450</v>
      </c>
      <c r="BK486" t="s">
        <v>101</v>
      </c>
      <c r="BL486" t="s">
        <v>3451</v>
      </c>
      <c r="BM486" t="s">
        <v>9697</v>
      </c>
      <c r="BN486" t="s">
        <v>74</v>
      </c>
      <c r="BO486" t="s">
        <v>74</v>
      </c>
      <c r="BP486" t="s">
        <v>74</v>
      </c>
      <c r="BQ486" t="s">
        <v>74</v>
      </c>
      <c r="BR486" t="s">
        <v>104</v>
      </c>
      <c r="BS486" t="s">
        <v>9698</v>
      </c>
      <c r="BT486" t="str">
        <f>HYPERLINK("https%3A%2F%2Fwww.webofscience.com%2Fwos%2Fwoscc%2Ffull-record%2FWOS:000441853600113","View Full Record in Web of Science")</f>
        <v>View Full Record in Web of Science</v>
      </c>
    </row>
    <row r="487" spans="1:72" x14ac:dyDescent="0.15">
      <c r="A487" t="s">
        <v>72</v>
      </c>
      <c r="B487" t="s">
        <v>9699</v>
      </c>
      <c r="C487" t="s">
        <v>74</v>
      </c>
      <c r="D487" t="s">
        <v>74</v>
      </c>
      <c r="E487" t="s">
        <v>74</v>
      </c>
      <c r="F487" t="s">
        <v>9700</v>
      </c>
      <c r="G487" t="s">
        <v>74</v>
      </c>
      <c r="H487" t="s">
        <v>74</v>
      </c>
      <c r="I487" t="s">
        <v>9701</v>
      </c>
      <c r="J487" t="s">
        <v>9702</v>
      </c>
      <c r="K487" t="s">
        <v>74</v>
      </c>
      <c r="L487" t="s">
        <v>74</v>
      </c>
      <c r="M487" t="s">
        <v>78</v>
      </c>
      <c r="N487" t="s">
        <v>79</v>
      </c>
      <c r="O487" t="s">
        <v>74</v>
      </c>
      <c r="P487" t="s">
        <v>74</v>
      </c>
      <c r="Q487" t="s">
        <v>74</v>
      </c>
      <c r="R487" t="s">
        <v>74</v>
      </c>
      <c r="S487" t="s">
        <v>74</v>
      </c>
      <c r="T487" t="s">
        <v>9703</v>
      </c>
      <c r="U487" t="s">
        <v>9704</v>
      </c>
      <c r="V487" t="s">
        <v>9705</v>
      </c>
      <c r="W487" t="s">
        <v>9706</v>
      </c>
      <c r="X487" t="s">
        <v>9707</v>
      </c>
      <c r="Y487" t="s">
        <v>9708</v>
      </c>
      <c r="Z487" t="s">
        <v>9709</v>
      </c>
      <c r="AA487" t="s">
        <v>74</v>
      </c>
      <c r="AB487" t="s">
        <v>74</v>
      </c>
      <c r="AC487" t="s">
        <v>9710</v>
      </c>
      <c r="AD487" t="s">
        <v>9711</v>
      </c>
      <c r="AE487" t="s">
        <v>9712</v>
      </c>
      <c r="AF487" t="s">
        <v>74</v>
      </c>
      <c r="AG487">
        <v>46</v>
      </c>
      <c r="AH487">
        <v>2</v>
      </c>
      <c r="AI487">
        <v>2</v>
      </c>
      <c r="AJ487">
        <v>0</v>
      </c>
      <c r="AK487">
        <v>10</v>
      </c>
      <c r="AL487" t="s">
        <v>9713</v>
      </c>
      <c r="AM487" t="s">
        <v>119</v>
      </c>
      <c r="AN487" t="s">
        <v>9714</v>
      </c>
      <c r="AO487" t="s">
        <v>9715</v>
      </c>
      <c r="AP487" t="s">
        <v>9716</v>
      </c>
      <c r="AQ487" t="s">
        <v>74</v>
      </c>
      <c r="AR487" t="s">
        <v>9717</v>
      </c>
      <c r="AS487" t="s">
        <v>9718</v>
      </c>
      <c r="AT487" t="s">
        <v>9050</v>
      </c>
      <c r="AU487">
        <v>2018</v>
      </c>
      <c r="AV487">
        <v>53</v>
      </c>
      <c r="AW487">
        <v>2</v>
      </c>
      <c r="AX487" t="s">
        <v>74</v>
      </c>
      <c r="AY487" t="s">
        <v>74</v>
      </c>
      <c r="AZ487" t="s">
        <v>74</v>
      </c>
      <c r="BA487" t="s">
        <v>74</v>
      </c>
      <c r="BB487">
        <v>209</v>
      </c>
      <c r="BC487">
        <v>221</v>
      </c>
      <c r="BD487" t="s">
        <v>74</v>
      </c>
      <c r="BE487" t="s">
        <v>9719</v>
      </c>
      <c r="BF487" t="str">
        <f>HYPERLINK("http://dx.doi.org/10.22370/rbmo.2018.53.2.1294","http://dx.doi.org/10.22370/rbmo.2018.53.2.1294")</f>
        <v>http://dx.doi.org/10.22370/rbmo.2018.53.2.1294</v>
      </c>
      <c r="BG487" t="s">
        <v>74</v>
      </c>
      <c r="BH487" t="s">
        <v>74</v>
      </c>
      <c r="BI487">
        <v>13</v>
      </c>
      <c r="BJ487" t="s">
        <v>1838</v>
      </c>
      <c r="BK487" t="s">
        <v>101</v>
      </c>
      <c r="BL487" t="s">
        <v>1838</v>
      </c>
      <c r="BM487" t="s">
        <v>9720</v>
      </c>
      <c r="BN487" t="s">
        <v>74</v>
      </c>
      <c r="BO487" t="s">
        <v>1608</v>
      </c>
      <c r="BP487" t="s">
        <v>74</v>
      </c>
      <c r="BQ487" t="s">
        <v>74</v>
      </c>
      <c r="BR487" t="s">
        <v>104</v>
      </c>
      <c r="BS487" t="s">
        <v>9721</v>
      </c>
      <c r="BT487" t="str">
        <f>HYPERLINK("https%3A%2F%2Fwww.webofscience.com%2Fwos%2Fwoscc%2Ffull-record%2FWOS:000451340500006","View Full Record in Web of Science")</f>
        <v>View Full Record in Web of Science</v>
      </c>
    </row>
    <row r="488" spans="1:72" x14ac:dyDescent="0.15">
      <c r="A488" t="s">
        <v>72</v>
      </c>
      <c r="B488" t="s">
        <v>9722</v>
      </c>
      <c r="C488" t="s">
        <v>74</v>
      </c>
      <c r="D488" t="s">
        <v>74</v>
      </c>
      <c r="E488" t="s">
        <v>74</v>
      </c>
      <c r="F488" t="s">
        <v>9723</v>
      </c>
      <c r="G488" t="s">
        <v>74</v>
      </c>
      <c r="H488" t="s">
        <v>74</v>
      </c>
      <c r="I488" t="s">
        <v>9724</v>
      </c>
      <c r="J488" t="s">
        <v>1258</v>
      </c>
      <c r="K488" t="s">
        <v>74</v>
      </c>
      <c r="L488" t="s">
        <v>74</v>
      </c>
      <c r="M488" t="s">
        <v>78</v>
      </c>
      <c r="N488" t="s">
        <v>79</v>
      </c>
      <c r="O488" t="s">
        <v>74</v>
      </c>
      <c r="P488" t="s">
        <v>74</v>
      </c>
      <c r="Q488" t="s">
        <v>74</v>
      </c>
      <c r="R488" t="s">
        <v>74</v>
      </c>
      <c r="S488" t="s">
        <v>74</v>
      </c>
      <c r="T488" t="s">
        <v>74</v>
      </c>
      <c r="U488" t="s">
        <v>9725</v>
      </c>
      <c r="V488" t="s">
        <v>9726</v>
      </c>
      <c r="W488" t="s">
        <v>9727</v>
      </c>
      <c r="X488" t="s">
        <v>9728</v>
      </c>
      <c r="Y488" t="s">
        <v>9729</v>
      </c>
      <c r="Z488" t="s">
        <v>9730</v>
      </c>
      <c r="AA488" t="s">
        <v>74</v>
      </c>
      <c r="AB488" t="s">
        <v>9731</v>
      </c>
      <c r="AC488" t="s">
        <v>9732</v>
      </c>
      <c r="AD488" t="s">
        <v>9733</v>
      </c>
      <c r="AE488" t="s">
        <v>9734</v>
      </c>
      <c r="AF488" t="s">
        <v>74</v>
      </c>
      <c r="AG488">
        <v>55</v>
      </c>
      <c r="AH488">
        <v>52</v>
      </c>
      <c r="AI488">
        <v>54</v>
      </c>
      <c r="AJ488">
        <v>2</v>
      </c>
      <c r="AK488">
        <v>22</v>
      </c>
      <c r="AL488" t="s">
        <v>1270</v>
      </c>
      <c r="AM488" t="s">
        <v>504</v>
      </c>
      <c r="AN488" t="s">
        <v>1271</v>
      </c>
      <c r="AO488" t="s">
        <v>1272</v>
      </c>
      <c r="AP488" t="s">
        <v>74</v>
      </c>
      <c r="AQ488" t="s">
        <v>74</v>
      </c>
      <c r="AR488" t="s">
        <v>1273</v>
      </c>
      <c r="AS488" t="s">
        <v>1274</v>
      </c>
      <c r="AT488" t="s">
        <v>9050</v>
      </c>
      <c r="AU488">
        <v>2018</v>
      </c>
      <c r="AV488">
        <v>4</v>
      </c>
      <c r="AW488">
        <v>8</v>
      </c>
      <c r="AX488" t="s">
        <v>74</v>
      </c>
      <c r="AY488" t="s">
        <v>74</v>
      </c>
      <c r="AZ488" t="s">
        <v>74</v>
      </c>
      <c r="BA488" t="s">
        <v>74</v>
      </c>
      <c r="BB488" t="s">
        <v>74</v>
      </c>
      <c r="BC488" t="s">
        <v>74</v>
      </c>
      <c r="BD488" t="s">
        <v>9735</v>
      </c>
      <c r="BE488" t="s">
        <v>9736</v>
      </c>
      <c r="BF488" t="str">
        <f>HYPERLINK("http://dx.doi.org/10.1126/sciadv.aat8351","http://dx.doi.org/10.1126/sciadv.aat8351")</f>
        <v>http://dx.doi.org/10.1126/sciadv.aat8351</v>
      </c>
      <c r="BG488" t="s">
        <v>74</v>
      </c>
      <c r="BH488" t="s">
        <v>74</v>
      </c>
      <c r="BI488">
        <v>8</v>
      </c>
      <c r="BJ488" t="s">
        <v>436</v>
      </c>
      <c r="BK488" t="s">
        <v>1140</v>
      </c>
      <c r="BL488" t="s">
        <v>437</v>
      </c>
      <c r="BM488" t="s">
        <v>9737</v>
      </c>
      <c r="BN488">
        <v>30101196</v>
      </c>
      <c r="BO488" t="s">
        <v>439</v>
      </c>
      <c r="BP488" t="s">
        <v>74</v>
      </c>
      <c r="BQ488" t="s">
        <v>74</v>
      </c>
      <c r="BR488" t="s">
        <v>104</v>
      </c>
      <c r="BS488" t="s">
        <v>9738</v>
      </c>
      <c r="BT488" t="str">
        <f>HYPERLINK("https%3A%2F%2Fwww.webofscience.com%2Fwos%2Fwoscc%2Ffull-record%2FWOS:000443498100076","View Full Record in Web of Science")</f>
        <v>View Full Record in Web of Science</v>
      </c>
    </row>
    <row r="489" spans="1:72" x14ac:dyDescent="0.15">
      <c r="A489" t="s">
        <v>72</v>
      </c>
      <c r="B489" t="s">
        <v>9739</v>
      </c>
      <c r="C489" t="s">
        <v>74</v>
      </c>
      <c r="D489" t="s">
        <v>74</v>
      </c>
      <c r="E489" t="s">
        <v>74</v>
      </c>
      <c r="F489" t="s">
        <v>9740</v>
      </c>
      <c r="G489" t="s">
        <v>74</v>
      </c>
      <c r="H489" t="s">
        <v>74</v>
      </c>
      <c r="I489" t="s">
        <v>9741</v>
      </c>
      <c r="J489" t="s">
        <v>9742</v>
      </c>
      <c r="K489" t="s">
        <v>74</v>
      </c>
      <c r="L489" t="s">
        <v>74</v>
      </c>
      <c r="M489" t="s">
        <v>78</v>
      </c>
      <c r="N489" t="s">
        <v>273</v>
      </c>
      <c r="O489" t="s">
        <v>74</v>
      </c>
      <c r="P489" t="s">
        <v>74</v>
      </c>
      <c r="Q489" t="s">
        <v>74</v>
      </c>
      <c r="R489" t="s">
        <v>74</v>
      </c>
      <c r="S489" t="s">
        <v>74</v>
      </c>
      <c r="T489" t="s">
        <v>9743</v>
      </c>
      <c r="U489" t="s">
        <v>9744</v>
      </c>
      <c r="V489" t="s">
        <v>9745</v>
      </c>
      <c r="W489" t="s">
        <v>9746</v>
      </c>
      <c r="X489" t="s">
        <v>9747</v>
      </c>
      <c r="Y489" t="s">
        <v>9748</v>
      </c>
      <c r="Z489" t="s">
        <v>9749</v>
      </c>
      <c r="AA489" t="s">
        <v>9750</v>
      </c>
      <c r="AB489" t="s">
        <v>74</v>
      </c>
      <c r="AC489" t="s">
        <v>9751</v>
      </c>
      <c r="AD489" t="s">
        <v>9752</v>
      </c>
      <c r="AE489" t="s">
        <v>9753</v>
      </c>
      <c r="AF489" t="s">
        <v>74</v>
      </c>
      <c r="AG489">
        <v>58</v>
      </c>
      <c r="AH489">
        <v>3</v>
      </c>
      <c r="AI489">
        <v>3</v>
      </c>
      <c r="AJ489">
        <v>0</v>
      </c>
      <c r="AK489">
        <v>41</v>
      </c>
      <c r="AL489" t="s">
        <v>1793</v>
      </c>
      <c r="AM489" t="s">
        <v>1794</v>
      </c>
      <c r="AN489" t="s">
        <v>1795</v>
      </c>
      <c r="AO489" t="s">
        <v>9754</v>
      </c>
      <c r="AP489" t="s">
        <v>9755</v>
      </c>
      <c r="AQ489" t="s">
        <v>74</v>
      </c>
      <c r="AR489" t="s">
        <v>9756</v>
      </c>
      <c r="AS489" t="s">
        <v>9757</v>
      </c>
      <c r="AT489" t="s">
        <v>9050</v>
      </c>
      <c r="AU489">
        <v>2018</v>
      </c>
      <c r="AV489">
        <v>61</v>
      </c>
      <c r="AW489">
        <v>8</v>
      </c>
      <c r="AX489" t="s">
        <v>74</v>
      </c>
      <c r="AY489" t="s">
        <v>74</v>
      </c>
      <c r="AZ489" t="s">
        <v>74</v>
      </c>
      <c r="BA489" t="s">
        <v>74</v>
      </c>
      <c r="BB489">
        <v>995</v>
      </c>
      <c r="BC489">
        <v>1006</v>
      </c>
      <c r="BD489" t="s">
        <v>74</v>
      </c>
      <c r="BE489" t="s">
        <v>9758</v>
      </c>
      <c r="BF489" t="str">
        <f>HYPERLINK("http://dx.doi.org/10.1007/s11430-017-9197-4","http://dx.doi.org/10.1007/s11430-017-9197-4")</f>
        <v>http://dx.doi.org/10.1007/s11430-017-9197-4</v>
      </c>
      <c r="BG489" t="s">
        <v>74</v>
      </c>
      <c r="BH489" t="s">
        <v>74</v>
      </c>
      <c r="BI489">
        <v>12</v>
      </c>
      <c r="BJ489" t="s">
        <v>182</v>
      </c>
      <c r="BK489" t="s">
        <v>101</v>
      </c>
      <c r="BL489" t="s">
        <v>183</v>
      </c>
      <c r="BM489" t="s">
        <v>9759</v>
      </c>
      <c r="BN489" t="s">
        <v>74</v>
      </c>
      <c r="BO489" t="s">
        <v>74</v>
      </c>
      <c r="BP489" t="s">
        <v>74</v>
      </c>
      <c r="BQ489" t="s">
        <v>74</v>
      </c>
      <c r="BR489" t="s">
        <v>104</v>
      </c>
      <c r="BS489" t="s">
        <v>9760</v>
      </c>
      <c r="BT489" t="str">
        <f>HYPERLINK("https%3A%2F%2Fwww.webofscience.com%2Fwos%2Fwoscc%2Ffull-record%2FWOS:000440139000001","View Full Record in Web of Science")</f>
        <v>View Full Record in Web of Science</v>
      </c>
    </row>
    <row r="490" spans="1:72" x14ac:dyDescent="0.15">
      <c r="A490" t="s">
        <v>72</v>
      </c>
      <c r="B490" t="s">
        <v>9761</v>
      </c>
      <c r="C490" t="s">
        <v>74</v>
      </c>
      <c r="D490" t="s">
        <v>74</v>
      </c>
      <c r="E490" t="s">
        <v>74</v>
      </c>
      <c r="F490" t="s">
        <v>9762</v>
      </c>
      <c r="G490" t="s">
        <v>74</v>
      </c>
      <c r="H490" t="s">
        <v>74</v>
      </c>
      <c r="I490" t="s">
        <v>9763</v>
      </c>
      <c r="J490" t="s">
        <v>417</v>
      </c>
      <c r="K490" t="s">
        <v>74</v>
      </c>
      <c r="L490" t="s">
        <v>74</v>
      </c>
      <c r="M490" t="s">
        <v>78</v>
      </c>
      <c r="N490" t="s">
        <v>418</v>
      </c>
      <c r="O490" t="s">
        <v>74</v>
      </c>
      <c r="P490" t="s">
        <v>74</v>
      </c>
      <c r="Q490" t="s">
        <v>74</v>
      </c>
      <c r="R490" t="s">
        <v>74</v>
      </c>
      <c r="S490" t="s">
        <v>74</v>
      </c>
      <c r="T490" t="s">
        <v>74</v>
      </c>
      <c r="U490" t="s">
        <v>9764</v>
      </c>
      <c r="V490" t="s">
        <v>9765</v>
      </c>
      <c r="W490" t="s">
        <v>9766</v>
      </c>
      <c r="X490" t="s">
        <v>9767</v>
      </c>
      <c r="Y490" t="s">
        <v>9768</v>
      </c>
      <c r="Z490" t="s">
        <v>9769</v>
      </c>
      <c r="AA490" t="s">
        <v>74</v>
      </c>
      <c r="AB490" t="s">
        <v>74</v>
      </c>
      <c r="AC490" t="s">
        <v>9770</v>
      </c>
      <c r="AD490" t="s">
        <v>9771</v>
      </c>
      <c r="AE490" t="s">
        <v>9772</v>
      </c>
      <c r="AF490" t="s">
        <v>74</v>
      </c>
      <c r="AG490">
        <v>21</v>
      </c>
      <c r="AH490">
        <v>5</v>
      </c>
      <c r="AI490">
        <v>5</v>
      </c>
      <c r="AJ490">
        <v>0</v>
      </c>
      <c r="AK490">
        <v>6</v>
      </c>
      <c r="AL490" t="s">
        <v>430</v>
      </c>
      <c r="AM490" t="s">
        <v>286</v>
      </c>
      <c r="AN490" t="s">
        <v>431</v>
      </c>
      <c r="AO490" t="s">
        <v>432</v>
      </c>
      <c r="AP490" t="s">
        <v>74</v>
      </c>
      <c r="AQ490" t="s">
        <v>74</v>
      </c>
      <c r="AR490" t="s">
        <v>433</v>
      </c>
      <c r="AS490" t="s">
        <v>434</v>
      </c>
      <c r="AT490" t="s">
        <v>9050</v>
      </c>
      <c r="AU490">
        <v>2018</v>
      </c>
      <c r="AV490">
        <v>19</v>
      </c>
      <c r="AW490" t="s">
        <v>74</v>
      </c>
      <c r="AX490" t="s">
        <v>74</v>
      </c>
      <c r="AY490" t="s">
        <v>74</v>
      </c>
      <c r="AZ490" t="s">
        <v>74</v>
      </c>
      <c r="BA490" t="s">
        <v>74</v>
      </c>
      <c r="BB490">
        <v>1222</v>
      </c>
      <c r="BC490">
        <v>1236</v>
      </c>
      <c r="BD490" t="s">
        <v>74</v>
      </c>
      <c r="BE490" t="s">
        <v>9773</v>
      </c>
      <c r="BF490" t="str">
        <f>HYPERLINK("http://dx.doi.org/10.1016/j.dib.2018.05.115","http://dx.doi.org/10.1016/j.dib.2018.05.115")</f>
        <v>http://dx.doi.org/10.1016/j.dib.2018.05.115</v>
      </c>
      <c r="BG490" t="s">
        <v>74</v>
      </c>
      <c r="BH490" t="s">
        <v>74</v>
      </c>
      <c r="BI490">
        <v>15</v>
      </c>
      <c r="BJ490" t="s">
        <v>436</v>
      </c>
      <c r="BK490" t="s">
        <v>126</v>
      </c>
      <c r="BL490" t="s">
        <v>437</v>
      </c>
      <c r="BM490" t="s">
        <v>9774</v>
      </c>
      <c r="BN490">
        <v>30229002</v>
      </c>
      <c r="BO490" t="s">
        <v>1566</v>
      </c>
      <c r="BP490" t="s">
        <v>74</v>
      </c>
      <c r="BQ490" t="s">
        <v>74</v>
      </c>
      <c r="BR490" t="s">
        <v>104</v>
      </c>
      <c r="BS490" t="s">
        <v>9775</v>
      </c>
      <c r="BT490" t="str">
        <f>HYPERLINK("https%3A%2F%2Fwww.webofscience.com%2Fwos%2Fwoscc%2Ffull-record%2FWOS:000449869100154","View Full Record in Web of Science")</f>
        <v>View Full Record in Web of Science</v>
      </c>
    </row>
    <row r="491" spans="1:72" x14ac:dyDescent="0.15">
      <c r="A491" t="s">
        <v>72</v>
      </c>
      <c r="B491" t="s">
        <v>9776</v>
      </c>
      <c r="C491" t="s">
        <v>74</v>
      </c>
      <c r="D491" t="s">
        <v>74</v>
      </c>
      <c r="E491" t="s">
        <v>74</v>
      </c>
      <c r="F491" t="s">
        <v>9777</v>
      </c>
      <c r="G491" t="s">
        <v>74</v>
      </c>
      <c r="H491" t="s">
        <v>74</v>
      </c>
      <c r="I491" t="s">
        <v>9778</v>
      </c>
      <c r="J491" t="s">
        <v>1529</v>
      </c>
      <c r="K491" t="s">
        <v>74</v>
      </c>
      <c r="L491" t="s">
        <v>74</v>
      </c>
      <c r="M491" t="s">
        <v>78</v>
      </c>
      <c r="N491" t="s">
        <v>79</v>
      </c>
      <c r="O491" t="s">
        <v>74</v>
      </c>
      <c r="P491" t="s">
        <v>74</v>
      </c>
      <c r="Q491" t="s">
        <v>74</v>
      </c>
      <c r="R491" t="s">
        <v>74</v>
      </c>
      <c r="S491" t="s">
        <v>74</v>
      </c>
      <c r="T491" t="s">
        <v>9779</v>
      </c>
      <c r="U491" t="s">
        <v>9780</v>
      </c>
      <c r="V491" t="s">
        <v>9781</v>
      </c>
      <c r="W491" t="s">
        <v>9782</v>
      </c>
      <c r="X491" t="s">
        <v>9783</v>
      </c>
      <c r="Y491" t="s">
        <v>9784</v>
      </c>
      <c r="Z491" t="s">
        <v>9785</v>
      </c>
      <c r="AA491" t="s">
        <v>9786</v>
      </c>
      <c r="AB491" t="s">
        <v>9787</v>
      </c>
      <c r="AC491" t="s">
        <v>9788</v>
      </c>
      <c r="AD491" t="s">
        <v>9789</v>
      </c>
      <c r="AE491" t="s">
        <v>9790</v>
      </c>
      <c r="AF491" t="s">
        <v>74</v>
      </c>
      <c r="AG491">
        <v>54</v>
      </c>
      <c r="AH491">
        <v>21</v>
      </c>
      <c r="AI491">
        <v>23</v>
      </c>
      <c r="AJ491">
        <v>0</v>
      </c>
      <c r="AK491">
        <v>6</v>
      </c>
      <c r="AL491" t="s">
        <v>92</v>
      </c>
      <c r="AM491" t="s">
        <v>93</v>
      </c>
      <c r="AN491" t="s">
        <v>94</v>
      </c>
      <c r="AO491" t="s">
        <v>1536</v>
      </c>
      <c r="AP491" t="s">
        <v>1537</v>
      </c>
      <c r="AQ491" t="s">
        <v>74</v>
      </c>
      <c r="AR491" t="s">
        <v>1538</v>
      </c>
      <c r="AS491" t="s">
        <v>1539</v>
      </c>
      <c r="AT491" t="s">
        <v>9050</v>
      </c>
      <c r="AU491">
        <v>2018</v>
      </c>
      <c r="AV491">
        <v>214</v>
      </c>
      <c r="AW491">
        <v>2</v>
      </c>
      <c r="AX491" t="s">
        <v>74</v>
      </c>
      <c r="AY491" t="s">
        <v>74</v>
      </c>
      <c r="AZ491" t="s">
        <v>74</v>
      </c>
      <c r="BA491" t="s">
        <v>74</v>
      </c>
      <c r="BB491">
        <v>1324</v>
      </c>
      <c r="BC491">
        <v>1363</v>
      </c>
      <c r="BD491" t="s">
        <v>74</v>
      </c>
      <c r="BE491" t="s">
        <v>9791</v>
      </c>
      <c r="BF491" t="str">
        <f>HYPERLINK("http://dx.doi.org/10.1093/gji/ggy184","http://dx.doi.org/10.1093/gji/ggy184")</f>
        <v>http://dx.doi.org/10.1093/gji/ggy184</v>
      </c>
      <c r="BG491" t="s">
        <v>74</v>
      </c>
      <c r="BH491" t="s">
        <v>74</v>
      </c>
      <c r="BI491">
        <v>40</v>
      </c>
      <c r="BJ491" t="s">
        <v>484</v>
      </c>
      <c r="BK491" t="s">
        <v>101</v>
      </c>
      <c r="BL491" t="s">
        <v>484</v>
      </c>
      <c r="BM491" t="s">
        <v>9792</v>
      </c>
      <c r="BN491" t="s">
        <v>74</v>
      </c>
      <c r="BO491" t="s">
        <v>3156</v>
      </c>
      <c r="BP491" t="s">
        <v>74</v>
      </c>
      <c r="BQ491" t="s">
        <v>74</v>
      </c>
      <c r="BR491" t="s">
        <v>104</v>
      </c>
      <c r="BS491" t="s">
        <v>9793</v>
      </c>
      <c r="BT491" t="str">
        <f>HYPERLINK("https%3A%2F%2Fwww.webofscience.com%2Fwos%2Fwoscc%2Ffull-record%2FWOS:000448238600036","View Full Record in Web of Science")</f>
        <v>View Full Record in Web of Science</v>
      </c>
    </row>
    <row r="492" spans="1:72" x14ac:dyDescent="0.15">
      <c r="A492" t="s">
        <v>72</v>
      </c>
      <c r="B492" t="s">
        <v>9794</v>
      </c>
      <c r="C492" t="s">
        <v>74</v>
      </c>
      <c r="D492" t="s">
        <v>74</v>
      </c>
      <c r="E492" t="s">
        <v>74</v>
      </c>
      <c r="F492" t="s">
        <v>9795</v>
      </c>
      <c r="G492" t="s">
        <v>74</v>
      </c>
      <c r="H492" t="s">
        <v>74</v>
      </c>
      <c r="I492" t="s">
        <v>9796</v>
      </c>
      <c r="J492" t="s">
        <v>798</v>
      </c>
      <c r="K492" t="s">
        <v>74</v>
      </c>
      <c r="L492" t="s">
        <v>74</v>
      </c>
      <c r="M492" t="s">
        <v>78</v>
      </c>
      <c r="N492" t="s">
        <v>79</v>
      </c>
      <c r="O492" t="s">
        <v>74</v>
      </c>
      <c r="P492" t="s">
        <v>74</v>
      </c>
      <c r="Q492" t="s">
        <v>74</v>
      </c>
      <c r="R492" t="s">
        <v>74</v>
      </c>
      <c r="S492" t="s">
        <v>74</v>
      </c>
      <c r="T492" t="s">
        <v>74</v>
      </c>
      <c r="U492" t="s">
        <v>9797</v>
      </c>
      <c r="V492" t="s">
        <v>9798</v>
      </c>
      <c r="W492" t="s">
        <v>9799</v>
      </c>
      <c r="X492" t="s">
        <v>5352</v>
      </c>
      <c r="Y492" t="s">
        <v>9800</v>
      </c>
      <c r="Z492" t="s">
        <v>9801</v>
      </c>
      <c r="AA492" t="s">
        <v>9802</v>
      </c>
      <c r="AB492" t="s">
        <v>9803</v>
      </c>
      <c r="AC492" t="s">
        <v>9804</v>
      </c>
      <c r="AD492" t="s">
        <v>9805</v>
      </c>
      <c r="AE492" t="s">
        <v>9806</v>
      </c>
      <c r="AF492" t="s">
        <v>74</v>
      </c>
      <c r="AG492">
        <v>55</v>
      </c>
      <c r="AH492">
        <v>15</v>
      </c>
      <c r="AI492">
        <v>17</v>
      </c>
      <c r="AJ492">
        <v>1</v>
      </c>
      <c r="AK492">
        <v>14</v>
      </c>
      <c r="AL492" t="s">
        <v>503</v>
      </c>
      <c r="AM492" t="s">
        <v>504</v>
      </c>
      <c r="AN492" t="s">
        <v>505</v>
      </c>
      <c r="AO492" t="s">
        <v>811</v>
      </c>
      <c r="AP492" t="s">
        <v>812</v>
      </c>
      <c r="AQ492" t="s">
        <v>74</v>
      </c>
      <c r="AR492" t="s">
        <v>813</v>
      </c>
      <c r="AS492" t="s">
        <v>814</v>
      </c>
      <c r="AT492" t="s">
        <v>9050</v>
      </c>
      <c r="AU492">
        <v>2018</v>
      </c>
      <c r="AV492">
        <v>123</v>
      </c>
      <c r="AW492">
        <v>8</v>
      </c>
      <c r="AX492" t="s">
        <v>74</v>
      </c>
      <c r="AY492" t="s">
        <v>74</v>
      </c>
      <c r="AZ492" t="s">
        <v>74</v>
      </c>
      <c r="BA492" t="s">
        <v>74</v>
      </c>
      <c r="BB492">
        <v>5077</v>
      </c>
      <c r="BC492">
        <v>5090</v>
      </c>
      <c r="BD492" t="s">
        <v>74</v>
      </c>
      <c r="BE492" t="s">
        <v>9807</v>
      </c>
      <c r="BF492" t="str">
        <f>HYPERLINK("http://dx.doi.org/10.1029/2018JC013901","http://dx.doi.org/10.1029/2018JC013901")</f>
        <v>http://dx.doi.org/10.1029/2018JC013901</v>
      </c>
      <c r="BG492" t="s">
        <v>74</v>
      </c>
      <c r="BH492" t="s">
        <v>74</v>
      </c>
      <c r="BI492">
        <v>14</v>
      </c>
      <c r="BJ492" t="s">
        <v>157</v>
      </c>
      <c r="BK492" t="s">
        <v>101</v>
      </c>
      <c r="BL492" t="s">
        <v>157</v>
      </c>
      <c r="BM492" t="s">
        <v>9532</v>
      </c>
      <c r="BN492" t="s">
        <v>74</v>
      </c>
      <c r="BO492" t="s">
        <v>9808</v>
      </c>
      <c r="BP492" t="s">
        <v>74</v>
      </c>
      <c r="BQ492" t="s">
        <v>74</v>
      </c>
      <c r="BR492" t="s">
        <v>104</v>
      </c>
      <c r="BS492" t="s">
        <v>9809</v>
      </c>
      <c r="BT492" t="str">
        <f>HYPERLINK("https%3A%2F%2Fwww.webofscience.com%2Fwos%2Fwoscc%2Ffull-record%2FWOS:000445188900002","View Full Record in Web of Science")</f>
        <v>View Full Record in Web of Science</v>
      </c>
    </row>
    <row r="493" spans="1:72" x14ac:dyDescent="0.15">
      <c r="A493" t="s">
        <v>72</v>
      </c>
      <c r="B493" t="s">
        <v>9810</v>
      </c>
      <c r="C493" t="s">
        <v>74</v>
      </c>
      <c r="D493" t="s">
        <v>74</v>
      </c>
      <c r="E493" t="s">
        <v>74</v>
      </c>
      <c r="F493" t="s">
        <v>9811</v>
      </c>
      <c r="G493" t="s">
        <v>74</v>
      </c>
      <c r="H493" t="s">
        <v>74</v>
      </c>
      <c r="I493" t="s">
        <v>9812</v>
      </c>
      <c r="J493" t="s">
        <v>798</v>
      </c>
      <c r="K493" t="s">
        <v>74</v>
      </c>
      <c r="L493" t="s">
        <v>74</v>
      </c>
      <c r="M493" t="s">
        <v>78</v>
      </c>
      <c r="N493" t="s">
        <v>79</v>
      </c>
      <c r="O493" t="s">
        <v>74</v>
      </c>
      <c r="P493" t="s">
        <v>74</v>
      </c>
      <c r="Q493" t="s">
        <v>74</v>
      </c>
      <c r="R493" t="s">
        <v>74</v>
      </c>
      <c r="S493" t="s">
        <v>74</v>
      </c>
      <c r="T493" t="s">
        <v>9813</v>
      </c>
      <c r="U493" t="s">
        <v>9814</v>
      </c>
      <c r="V493" t="s">
        <v>9815</v>
      </c>
      <c r="W493" t="s">
        <v>9816</v>
      </c>
      <c r="X493" t="s">
        <v>9817</v>
      </c>
      <c r="Y493" t="s">
        <v>9818</v>
      </c>
      <c r="Z493" t="s">
        <v>9819</v>
      </c>
      <c r="AA493" t="s">
        <v>9820</v>
      </c>
      <c r="AB493" t="s">
        <v>9821</v>
      </c>
      <c r="AC493" t="s">
        <v>9822</v>
      </c>
      <c r="AD493" t="s">
        <v>9823</v>
      </c>
      <c r="AE493" t="s">
        <v>9824</v>
      </c>
      <c r="AF493" t="s">
        <v>74</v>
      </c>
      <c r="AG493">
        <v>28</v>
      </c>
      <c r="AH493">
        <v>20</v>
      </c>
      <c r="AI493">
        <v>20</v>
      </c>
      <c r="AJ493">
        <v>0</v>
      </c>
      <c r="AK493">
        <v>5</v>
      </c>
      <c r="AL493" t="s">
        <v>503</v>
      </c>
      <c r="AM493" t="s">
        <v>504</v>
      </c>
      <c r="AN493" t="s">
        <v>505</v>
      </c>
      <c r="AO493" t="s">
        <v>811</v>
      </c>
      <c r="AP493" t="s">
        <v>812</v>
      </c>
      <c r="AQ493" t="s">
        <v>74</v>
      </c>
      <c r="AR493" t="s">
        <v>813</v>
      </c>
      <c r="AS493" t="s">
        <v>814</v>
      </c>
      <c r="AT493" t="s">
        <v>9050</v>
      </c>
      <c r="AU493">
        <v>2018</v>
      </c>
      <c r="AV493">
        <v>123</v>
      </c>
      <c r="AW493">
        <v>8</v>
      </c>
      <c r="AX493" t="s">
        <v>74</v>
      </c>
      <c r="AY493" t="s">
        <v>74</v>
      </c>
      <c r="AZ493" t="s">
        <v>74</v>
      </c>
      <c r="BA493" t="s">
        <v>74</v>
      </c>
      <c r="BB493">
        <v>5323</v>
      </c>
      <c r="BC493">
        <v>5340</v>
      </c>
      <c r="BD493" t="s">
        <v>74</v>
      </c>
      <c r="BE493" t="s">
        <v>9825</v>
      </c>
      <c r="BF493" t="str">
        <f>HYPERLINK("http://dx.doi.org/10.1029/2017JC013666","http://dx.doi.org/10.1029/2017JC013666")</f>
        <v>http://dx.doi.org/10.1029/2017JC013666</v>
      </c>
      <c r="BG493" t="s">
        <v>74</v>
      </c>
      <c r="BH493" t="s">
        <v>74</v>
      </c>
      <c r="BI493">
        <v>18</v>
      </c>
      <c r="BJ493" t="s">
        <v>157</v>
      </c>
      <c r="BK493" t="s">
        <v>101</v>
      </c>
      <c r="BL493" t="s">
        <v>157</v>
      </c>
      <c r="BM493" t="s">
        <v>9532</v>
      </c>
      <c r="BN493" t="s">
        <v>74</v>
      </c>
      <c r="BO493" t="s">
        <v>835</v>
      </c>
      <c r="BP493" t="s">
        <v>74</v>
      </c>
      <c r="BQ493" t="s">
        <v>74</v>
      </c>
      <c r="BR493" t="s">
        <v>104</v>
      </c>
      <c r="BS493" t="s">
        <v>9826</v>
      </c>
      <c r="BT493" t="str">
        <f>HYPERLINK("https%3A%2F%2Fwww.webofscience.com%2Fwos%2Fwoscc%2Ffull-record%2FWOS:000445188900016","View Full Record in Web of Science")</f>
        <v>View Full Record in Web of Science</v>
      </c>
    </row>
    <row r="494" spans="1:72" x14ac:dyDescent="0.15">
      <c r="A494" t="s">
        <v>72</v>
      </c>
      <c r="B494" t="s">
        <v>9827</v>
      </c>
      <c r="C494" t="s">
        <v>74</v>
      </c>
      <c r="D494" t="s">
        <v>74</v>
      </c>
      <c r="E494" t="s">
        <v>74</v>
      </c>
      <c r="F494" t="s">
        <v>9828</v>
      </c>
      <c r="G494" t="s">
        <v>74</v>
      </c>
      <c r="H494" t="s">
        <v>74</v>
      </c>
      <c r="I494" t="s">
        <v>9829</v>
      </c>
      <c r="J494" t="s">
        <v>798</v>
      </c>
      <c r="K494" t="s">
        <v>74</v>
      </c>
      <c r="L494" t="s">
        <v>74</v>
      </c>
      <c r="M494" t="s">
        <v>78</v>
      </c>
      <c r="N494" t="s">
        <v>79</v>
      </c>
      <c r="O494" t="s">
        <v>74</v>
      </c>
      <c r="P494" t="s">
        <v>74</v>
      </c>
      <c r="Q494" t="s">
        <v>74</v>
      </c>
      <c r="R494" t="s">
        <v>74</v>
      </c>
      <c r="S494" t="s">
        <v>74</v>
      </c>
      <c r="T494" t="s">
        <v>9830</v>
      </c>
      <c r="U494" t="s">
        <v>9831</v>
      </c>
      <c r="V494" t="s">
        <v>9832</v>
      </c>
      <c r="W494" t="s">
        <v>9833</v>
      </c>
      <c r="X494" t="s">
        <v>9834</v>
      </c>
      <c r="Y494" t="s">
        <v>9835</v>
      </c>
      <c r="Z494" t="s">
        <v>9836</v>
      </c>
      <c r="AA494" t="s">
        <v>9837</v>
      </c>
      <c r="AB494" t="s">
        <v>9838</v>
      </c>
      <c r="AC494" t="s">
        <v>9839</v>
      </c>
      <c r="AD494" t="s">
        <v>9840</v>
      </c>
      <c r="AE494" t="s">
        <v>9841</v>
      </c>
      <c r="AF494" t="s">
        <v>74</v>
      </c>
      <c r="AG494">
        <v>40</v>
      </c>
      <c r="AH494">
        <v>15</v>
      </c>
      <c r="AI494">
        <v>16</v>
      </c>
      <c r="AJ494">
        <v>1</v>
      </c>
      <c r="AK494">
        <v>24</v>
      </c>
      <c r="AL494" t="s">
        <v>503</v>
      </c>
      <c r="AM494" t="s">
        <v>504</v>
      </c>
      <c r="AN494" t="s">
        <v>505</v>
      </c>
      <c r="AO494" t="s">
        <v>811</v>
      </c>
      <c r="AP494" t="s">
        <v>812</v>
      </c>
      <c r="AQ494" t="s">
        <v>74</v>
      </c>
      <c r="AR494" t="s">
        <v>813</v>
      </c>
      <c r="AS494" t="s">
        <v>814</v>
      </c>
      <c r="AT494" t="s">
        <v>9050</v>
      </c>
      <c r="AU494">
        <v>2018</v>
      </c>
      <c r="AV494">
        <v>123</v>
      </c>
      <c r="AW494">
        <v>8</v>
      </c>
      <c r="AX494" t="s">
        <v>74</v>
      </c>
      <c r="AY494" t="s">
        <v>74</v>
      </c>
      <c r="AZ494" t="s">
        <v>74</v>
      </c>
      <c r="BA494" t="s">
        <v>74</v>
      </c>
      <c r="BB494">
        <v>5375</v>
      </c>
      <c r="BC494">
        <v>5387</v>
      </c>
      <c r="BD494" t="s">
        <v>74</v>
      </c>
      <c r="BE494" t="s">
        <v>9842</v>
      </c>
      <c r="BF494" t="str">
        <f>HYPERLINK("http://dx.doi.org/10.1029/2018JC014189","http://dx.doi.org/10.1029/2018JC014189")</f>
        <v>http://dx.doi.org/10.1029/2018JC014189</v>
      </c>
      <c r="BG494" t="s">
        <v>74</v>
      </c>
      <c r="BH494" t="s">
        <v>74</v>
      </c>
      <c r="BI494">
        <v>13</v>
      </c>
      <c r="BJ494" t="s">
        <v>157</v>
      </c>
      <c r="BK494" t="s">
        <v>101</v>
      </c>
      <c r="BL494" t="s">
        <v>157</v>
      </c>
      <c r="BM494" t="s">
        <v>9532</v>
      </c>
      <c r="BN494" t="s">
        <v>74</v>
      </c>
      <c r="BO494" t="s">
        <v>740</v>
      </c>
      <c r="BP494" t="s">
        <v>74</v>
      </c>
      <c r="BQ494" t="s">
        <v>74</v>
      </c>
      <c r="BR494" t="s">
        <v>104</v>
      </c>
      <c r="BS494" t="s">
        <v>9843</v>
      </c>
      <c r="BT494" t="str">
        <f>HYPERLINK("https%3A%2F%2Fwww.webofscience.com%2Fwos%2Fwoscc%2Ffull-record%2FWOS:000445188900019","View Full Record in Web of Science")</f>
        <v>View Full Record in Web of Science</v>
      </c>
    </row>
    <row r="495" spans="1:72" x14ac:dyDescent="0.15">
      <c r="A495" t="s">
        <v>72</v>
      </c>
      <c r="B495" t="s">
        <v>9844</v>
      </c>
      <c r="C495" t="s">
        <v>74</v>
      </c>
      <c r="D495" t="s">
        <v>74</v>
      </c>
      <c r="E495" t="s">
        <v>74</v>
      </c>
      <c r="F495" t="s">
        <v>9845</v>
      </c>
      <c r="G495" t="s">
        <v>74</v>
      </c>
      <c r="H495" t="s">
        <v>74</v>
      </c>
      <c r="I495" t="s">
        <v>9846</v>
      </c>
      <c r="J495" t="s">
        <v>798</v>
      </c>
      <c r="K495" t="s">
        <v>74</v>
      </c>
      <c r="L495" t="s">
        <v>74</v>
      </c>
      <c r="M495" t="s">
        <v>78</v>
      </c>
      <c r="N495" t="s">
        <v>79</v>
      </c>
      <c r="O495" t="s">
        <v>74</v>
      </c>
      <c r="P495" t="s">
        <v>74</v>
      </c>
      <c r="Q495" t="s">
        <v>74</v>
      </c>
      <c r="R495" t="s">
        <v>74</v>
      </c>
      <c r="S495" t="s">
        <v>74</v>
      </c>
      <c r="T495" t="s">
        <v>9847</v>
      </c>
      <c r="U495" t="s">
        <v>9848</v>
      </c>
      <c r="V495" t="s">
        <v>9849</v>
      </c>
      <c r="W495" t="s">
        <v>9850</v>
      </c>
      <c r="X495" t="s">
        <v>9851</v>
      </c>
      <c r="Y495" t="s">
        <v>9852</v>
      </c>
      <c r="Z495" t="s">
        <v>9853</v>
      </c>
      <c r="AA495" t="s">
        <v>9854</v>
      </c>
      <c r="AB495" t="s">
        <v>9855</v>
      </c>
      <c r="AC495" t="s">
        <v>9856</v>
      </c>
      <c r="AD495" t="s">
        <v>9857</v>
      </c>
      <c r="AE495" t="s">
        <v>9858</v>
      </c>
      <c r="AF495" t="s">
        <v>74</v>
      </c>
      <c r="AG495">
        <v>69</v>
      </c>
      <c r="AH495">
        <v>39</v>
      </c>
      <c r="AI495">
        <v>40</v>
      </c>
      <c r="AJ495">
        <v>3</v>
      </c>
      <c r="AK495">
        <v>25</v>
      </c>
      <c r="AL495" t="s">
        <v>503</v>
      </c>
      <c r="AM495" t="s">
        <v>504</v>
      </c>
      <c r="AN495" t="s">
        <v>505</v>
      </c>
      <c r="AO495" t="s">
        <v>811</v>
      </c>
      <c r="AP495" t="s">
        <v>812</v>
      </c>
      <c r="AQ495" t="s">
        <v>74</v>
      </c>
      <c r="AR495" t="s">
        <v>813</v>
      </c>
      <c r="AS495" t="s">
        <v>814</v>
      </c>
      <c r="AT495" t="s">
        <v>9050</v>
      </c>
      <c r="AU495">
        <v>2018</v>
      </c>
      <c r="AV495">
        <v>123</v>
      </c>
      <c r="AW495">
        <v>8</v>
      </c>
      <c r="AX495" t="s">
        <v>74</v>
      </c>
      <c r="AY495" t="s">
        <v>74</v>
      </c>
      <c r="AZ495" t="s">
        <v>74</v>
      </c>
      <c r="BA495" t="s">
        <v>74</v>
      </c>
      <c r="BB495">
        <v>5986</v>
      </c>
      <c r="BC495">
        <v>6003</v>
      </c>
      <c r="BD495" t="s">
        <v>74</v>
      </c>
      <c r="BE495" t="s">
        <v>9859</v>
      </c>
      <c r="BF495" t="str">
        <f>HYPERLINK("http://dx.doi.org/10.1029/2018JC013932","http://dx.doi.org/10.1029/2018JC013932")</f>
        <v>http://dx.doi.org/10.1029/2018JC013932</v>
      </c>
      <c r="BG495" t="s">
        <v>74</v>
      </c>
      <c r="BH495" t="s">
        <v>74</v>
      </c>
      <c r="BI495">
        <v>18</v>
      </c>
      <c r="BJ495" t="s">
        <v>157</v>
      </c>
      <c r="BK495" t="s">
        <v>101</v>
      </c>
      <c r="BL495" t="s">
        <v>157</v>
      </c>
      <c r="BM495" t="s">
        <v>9532</v>
      </c>
      <c r="BN495" t="s">
        <v>74</v>
      </c>
      <c r="BO495" t="s">
        <v>853</v>
      </c>
      <c r="BP495" t="s">
        <v>74</v>
      </c>
      <c r="BQ495" t="s">
        <v>74</v>
      </c>
      <c r="BR495" t="s">
        <v>104</v>
      </c>
      <c r="BS495" t="s">
        <v>9860</v>
      </c>
      <c r="BT495" t="str">
        <f>HYPERLINK("https%3A%2F%2Fwww.webofscience.com%2Fwos%2Fwoscc%2Ffull-record%2FWOS:000445188900056","View Full Record in Web of Science")</f>
        <v>View Full Record in Web of Science</v>
      </c>
    </row>
    <row r="496" spans="1:72" x14ac:dyDescent="0.15">
      <c r="A496" t="s">
        <v>72</v>
      </c>
      <c r="B496" t="s">
        <v>9861</v>
      </c>
      <c r="C496" t="s">
        <v>74</v>
      </c>
      <c r="D496" t="s">
        <v>74</v>
      </c>
      <c r="E496" t="s">
        <v>74</v>
      </c>
      <c r="F496" t="s">
        <v>9862</v>
      </c>
      <c r="G496" t="s">
        <v>74</v>
      </c>
      <c r="H496" t="s">
        <v>74</v>
      </c>
      <c r="I496" t="s">
        <v>9863</v>
      </c>
      <c r="J496" t="s">
        <v>1371</v>
      </c>
      <c r="K496" t="s">
        <v>74</v>
      </c>
      <c r="L496" t="s">
        <v>74</v>
      </c>
      <c r="M496" t="s">
        <v>78</v>
      </c>
      <c r="N496" t="s">
        <v>79</v>
      </c>
      <c r="O496" t="s">
        <v>74</v>
      </c>
      <c r="P496" t="s">
        <v>74</v>
      </c>
      <c r="Q496" t="s">
        <v>74</v>
      </c>
      <c r="R496" t="s">
        <v>74</v>
      </c>
      <c r="S496" t="s">
        <v>74</v>
      </c>
      <c r="T496" t="s">
        <v>74</v>
      </c>
      <c r="U496" t="s">
        <v>9864</v>
      </c>
      <c r="V496" t="s">
        <v>9865</v>
      </c>
      <c r="W496" t="s">
        <v>9866</v>
      </c>
      <c r="X496" t="s">
        <v>9867</v>
      </c>
      <c r="Y496" t="s">
        <v>9868</v>
      </c>
      <c r="Z496" t="s">
        <v>9869</v>
      </c>
      <c r="AA496" t="s">
        <v>9870</v>
      </c>
      <c r="AB496" t="s">
        <v>9871</v>
      </c>
      <c r="AC496" t="s">
        <v>9872</v>
      </c>
      <c r="AD496" t="s">
        <v>9873</v>
      </c>
      <c r="AE496" t="s">
        <v>9874</v>
      </c>
      <c r="AF496" t="s">
        <v>74</v>
      </c>
      <c r="AG496">
        <v>73</v>
      </c>
      <c r="AH496">
        <v>23</v>
      </c>
      <c r="AI496">
        <v>25</v>
      </c>
      <c r="AJ496">
        <v>4</v>
      </c>
      <c r="AK496">
        <v>30</v>
      </c>
      <c r="AL496" t="s">
        <v>503</v>
      </c>
      <c r="AM496" t="s">
        <v>504</v>
      </c>
      <c r="AN496" t="s">
        <v>505</v>
      </c>
      <c r="AO496" t="s">
        <v>1383</v>
      </c>
      <c r="AP496" t="s">
        <v>1384</v>
      </c>
      <c r="AQ496" t="s">
        <v>74</v>
      </c>
      <c r="AR496" t="s">
        <v>1385</v>
      </c>
      <c r="AS496" t="s">
        <v>1386</v>
      </c>
      <c r="AT496" t="s">
        <v>9050</v>
      </c>
      <c r="AU496">
        <v>2018</v>
      </c>
      <c r="AV496">
        <v>123</v>
      </c>
      <c r="AW496">
        <v>8</v>
      </c>
      <c r="AX496" t="s">
        <v>74</v>
      </c>
      <c r="AY496" t="s">
        <v>74</v>
      </c>
      <c r="AZ496" t="s">
        <v>74</v>
      </c>
      <c r="BA496" t="s">
        <v>74</v>
      </c>
      <c r="BB496">
        <v>6394</v>
      </c>
      <c r="BC496">
        <v>6423</v>
      </c>
      <c r="BD496" t="s">
        <v>74</v>
      </c>
      <c r="BE496" t="s">
        <v>9875</v>
      </c>
      <c r="BF496" t="str">
        <f>HYPERLINK("http://dx.doi.org/10.1029/2018JA025505","http://dx.doi.org/10.1029/2018JA025505")</f>
        <v>http://dx.doi.org/10.1029/2018JA025505</v>
      </c>
      <c r="BG496" t="s">
        <v>74</v>
      </c>
      <c r="BH496" t="s">
        <v>74</v>
      </c>
      <c r="BI496">
        <v>30</v>
      </c>
      <c r="BJ496" t="s">
        <v>1301</v>
      </c>
      <c r="BK496" t="s">
        <v>101</v>
      </c>
      <c r="BL496" t="s">
        <v>1301</v>
      </c>
      <c r="BM496" t="s">
        <v>9876</v>
      </c>
      <c r="BN496" t="s">
        <v>74</v>
      </c>
      <c r="BO496" t="s">
        <v>7541</v>
      </c>
      <c r="BP496" t="s">
        <v>74</v>
      </c>
      <c r="BQ496" t="s">
        <v>74</v>
      </c>
      <c r="BR496" t="s">
        <v>104</v>
      </c>
      <c r="BS496" t="s">
        <v>9877</v>
      </c>
      <c r="BT496" t="str">
        <f>HYPERLINK("https%3A%2F%2Fwww.webofscience.com%2Fwos%2Fwoscc%2Ffull-record%2FWOS:000445731300021","View Full Record in Web of Science")</f>
        <v>View Full Record in Web of Science</v>
      </c>
    </row>
    <row r="497" spans="1:72" x14ac:dyDescent="0.15">
      <c r="A497" t="s">
        <v>72</v>
      </c>
      <c r="B497" t="s">
        <v>9878</v>
      </c>
      <c r="C497" t="s">
        <v>74</v>
      </c>
      <c r="D497" t="s">
        <v>74</v>
      </c>
      <c r="E497" t="s">
        <v>74</v>
      </c>
      <c r="F497" t="s">
        <v>9879</v>
      </c>
      <c r="G497" t="s">
        <v>74</v>
      </c>
      <c r="H497" t="s">
        <v>74</v>
      </c>
      <c r="I497" t="s">
        <v>9880</v>
      </c>
      <c r="J497" t="s">
        <v>1371</v>
      </c>
      <c r="K497" t="s">
        <v>74</v>
      </c>
      <c r="L497" t="s">
        <v>74</v>
      </c>
      <c r="M497" t="s">
        <v>78</v>
      </c>
      <c r="N497" t="s">
        <v>79</v>
      </c>
      <c r="O497" t="s">
        <v>74</v>
      </c>
      <c r="P497" t="s">
        <v>74</v>
      </c>
      <c r="Q497" t="s">
        <v>74</v>
      </c>
      <c r="R497" t="s">
        <v>74</v>
      </c>
      <c r="S497" t="s">
        <v>74</v>
      </c>
      <c r="T497" t="s">
        <v>9881</v>
      </c>
      <c r="U497" t="s">
        <v>9882</v>
      </c>
      <c r="V497" t="s">
        <v>9883</v>
      </c>
      <c r="W497" t="s">
        <v>9884</v>
      </c>
      <c r="X497" t="s">
        <v>9885</v>
      </c>
      <c r="Y497" t="s">
        <v>9886</v>
      </c>
      <c r="Z497" t="s">
        <v>9887</v>
      </c>
      <c r="AA497" t="s">
        <v>9888</v>
      </c>
      <c r="AB497" t="s">
        <v>9889</v>
      </c>
      <c r="AC497" t="s">
        <v>9890</v>
      </c>
      <c r="AD497" t="s">
        <v>9891</v>
      </c>
      <c r="AE497" t="s">
        <v>9892</v>
      </c>
      <c r="AF497" t="s">
        <v>74</v>
      </c>
      <c r="AG497">
        <v>68</v>
      </c>
      <c r="AH497">
        <v>14</v>
      </c>
      <c r="AI497">
        <v>14</v>
      </c>
      <c r="AJ497">
        <v>0</v>
      </c>
      <c r="AK497">
        <v>15</v>
      </c>
      <c r="AL497" t="s">
        <v>503</v>
      </c>
      <c r="AM497" t="s">
        <v>504</v>
      </c>
      <c r="AN497" t="s">
        <v>505</v>
      </c>
      <c r="AO497" t="s">
        <v>1383</v>
      </c>
      <c r="AP497" t="s">
        <v>1384</v>
      </c>
      <c r="AQ497" t="s">
        <v>74</v>
      </c>
      <c r="AR497" t="s">
        <v>1385</v>
      </c>
      <c r="AS497" t="s">
        <v>1386</v>
      </c>
      <c r="AT497" t="s">
        <v>9050</v>
      </c>
      <c r="AU497">
        <v>2018</v>
      </c>
      <c r="AV497">
        <v>123</v>
      </c>
      <c r="AW497">
        <v>8</v>
      </c>
      <c r="AX497" t="s">
        <v>74</v>
      </c>
      <c r="AY497" t="s">
        <v>74</v>
      </c>
      <c r="AZ497" t="s">
        <v>74</v>
      </c>
      <c r="BA497" t="s">
        <v>74</v>
      </c>
      <c r="BB497">
        <v>6621</v>
      </c>
      <c r="BC497">
        <v>6638</v>
      </c>
      <c r="BD497" t="s">
        <v>74</v>
      </c>
      <c r="BE497" t="s">
        <v>9893</v>
      </c>
      <c r="BF497" t="str">
        <f>HYPERLINK("http://dx.doi.org/10.1029/2018JA025683","http://dx.doi.org/10.1029/2018JA025683")</f>
        <v>http://dx.doi.org/10.1029/2018JA025683</v>
      </c>
      <c r="BG497" t="s">
        <v>74</v>
      </c>
      <c r="BH497" t="s">
        <v>74</v>
      </c>
      <c r="BI497">
        <v>18</v>
      </c>
      <c r="BJ497" t="s">
        <v>1301</v>
      </c>
      <c r="BK497" t="s">
        <v>101</v>
      </c>
      <c r="BL497" t="s">
        <v>1301</v>
      </c>
      <c r="BM497" t="s">
        <v>9876</v>
      </c>
      <c r="BN497" t="s">
        <v>74</v>
      </c>
      <c r="BO497" t="s">
        <v>740</v>
      </c>
      <c r="BP497" t="s">
        <v>74</v>
      </c>
      <c r="BQ497" t="s">
        <v>74</v>
      </c>
      <c r="BR497" t="s">
        <v>104</v>
      </c>
      <c r="BS497" t="s">
        <v>9894</v>
      </c>
      <c r="BT497" t="str">
        <f>HYPERLINK("https%3A%2F%2Fwww.webofscience.com%2Fwos%2Fwoscc%2Ffull-record%2FWOS:000445731300034","View Full Record in Web of Science")</f>
        <v>View Full Record in Web of Science</v>
      </c>
    </row>
    <row r="498" spans="1:72" x14ac:dyDescent="0.15">
      <c r="A498" t="s">
        <v>72</v>
      </c>
      <c r="B498" t="s">
        <v>5733</v>
      </c>
      <c r="C498" t="s">
        <v>74</v>
      </c>
      <c r="D498" t="s">
        <v>74</v>
      </c>
      <c r="E498" t="s">
        <v>74</v>
      </c>
      <c r="F498" t="s">
        <v>5734</v>
      </c>
      <c r="G498" t="s">
        <v>74</v>
      </c>
      <c r="H498" t="s">
        <v>74</v>
      </c>
      <c r="I498" t="s">
        <v>9895</v>
      </c>
      <c r="J498" t="s">
        <v>1371</v>
      </c>
      <c r="K498" t="s">
        <v>74</v>
      </c>
      <c r="L498" t="s">
        <v>74</v>
      </c>
      <c r="M498" t="s">
        <v>78</v>
      </c>
      <c r="N498" t="s">
        <v>79</v>
      </c>
      <c r="O498" t="s">
        <v>74</v>
      </c>
      <c r="P498" t="s">
        <v>74</v>
      </c>
      <c r="Q498" t="s">
        <v>74</v>
      </c>
      <c r="R498" t="s">
        <v>74</v>
      </c>
      <c r="S498" t="s">
        <v>74</v>
      </c>
      <c r="T498" t="s">
        <v>9896</v>
      </c>
      <c r="U498" t="s">
        <v>9897</v>
      </c>
      <c r="V498" t="s">
        <v>9898</v>
      </c>
      <c r="W498" t="s">
        <v>5739</v>
      </c>
      <c r="X498" t="s">
        <v>5740</v>
      </c>
      <c r="Y498" t="s">
        <v>5741</v>
      </c>
      <c r="Z498" t="s">
        <v>5742</v>
      </c>
      <c r="AA498" t="s">
        <v>74</v>
      </c>
      <c r="AB498" t="s">
        <v>5743</v>
      </c>
      <c r="AC498" t="s">
        <v>5744</v>
      </c>
      <c r="AD498" t="s">
        <v>5745</v>
      </c>
      <c r="AE498" t="s">
        <v>9899</v>
      </c>
      <c r="AF498" t="s">
        <v>74</v>
      </c>
      <c r="AG498">
        <v>54</v>
      </c>
      <c r="AH498">
        <v>0</v>
      </c>
      <c r="AI498">
        <v>0</v>
      </c>
      <c r="AJ498">
        <v>0</v>
      </c>
      <c r="AK498">
        <v>1</v>
      </c>
      <c r="AL498" t="s">
        <v>503</v>
      </c>
      <c r="AM498" t="s">
        <v>504</v>
      </c>
      <c r="AN498" t="s">
        <v>505</v>
      </c>
      <c r="AO498" t="s">
        <v>1383</v>
      </c>
      <c r="AP498" t="s">
        <v>1384</v>
      </c>
      <c r="AQ498" t="s">
        <v>74</v>
      </c>
      <c r="AR498" t="s">
        <v>1385</v>
      </c>
      <c r="AS498" t="s">
        <v>1386</v>
      </c>
      <c r="AT498" t="s">
        <v>9050</v>
      </c>
      <c r="AU498">
        <v>2018</v>
      </c>
      <c r="AV498">
        <v>123</v>
      </c>
      <c r="AW498">
        <v>8</v>
      </c>
      <c r="AX498" t="s">
        <v>74</v>
      </c>
      <c r="AY498" t="s">
        <v>74</v>
      </c>
      <c r="AZ498" t="s">
        <v>74</v>
      </c>
      <c r="BA498" t="s">
        <v>74</v>
      </c>
      <c r="BB498">
        <v>6760</v>
      </c>
      <c r="BC498">
        <v>6775</v>
      </c>
      <c r="BD498" t="s">
        <v>74</v>
      </c>
      <c r="BE498" t="s">
        <v>9900</v>
      </c>
      <c r="BF498" t="str">
        <f>HYPERLINK("http://dx.doi.org/10.1029/2018JA025465","http://dx.doi.org/10.1029/2018JA025465")</f>
        <v>http://dx.doi.org/10.1029/2018JA025465</v>
      </c>
      <c r="BG498" t="s">
        <v>74</v>
      </c>
      <c r="BH498" t="s">
        <v>74</v>
      </c>
      <c r="BI498">
        <v>16</v>
      </c>
      <c r="BJ498" t="s">
        <v>1301</v>
      </c>
      <c r="BK498" t="s">
        <v>101</v>
      </c>
      <c r="BL498" t="s">
        <v>1301</v>
      </c>
      <c r="BM498" t="s">
        <v>9876</v>
      </c>
      <c r="BN498" t="s">
        <v>74</v>
      </c>
      <c r="BO498" t="s">
        <v>712</v>
      </c>
      <c r="BP498" t="s">
        <v>74</v>
      </c>
      <c r="BQ498" t="s">
        <v>74</v>
      </c>
      <c r="BR498" t="s">
        <v>104</v>
      </c>
      <c r="BS498" t="s">
        <v>9901</v>
      </c>
      <c r="BT498" t="str">
        <f>HYPERLINK("https%3A%2F%2Fwww.webofscience.com%2Fwos%2Fwoscc%2Ffull-record%2FWOS:000445731300045","View Full Record in Web of Science")</f>
        <v>View Full Record in Web of Science</v>
      </c>
    </row>
    <row r="499" spans="1:72" x14ac:dyDescent="0.15">
      <c r="A499" t="s">
        <v>72</v>
      </c>
      <c r="B499" t="s">
        <v>9902</v>
      </c>
      <c r="C499" t="s">
        <v>74</v>
      </c>
      <c r="D499" t="s">
        <v>74</v>
      </c>
      <c r="E499" t="s">
        <v>74</v>
      </c>
      <c r="F499" t="s">
        <v>9903</v>
      </c>
      <c r="G499" t="s">
        <v>74</v>
      </c>
      <c r="H499" t="s">
        <v>74</v>
      </c>
      <c r="I499" t="s">
        <v>9904</v>
      </c>
      <c r="J499" t="s">
        <v>1482</v>
      </c>
      <c r="K499" t="s">
        <v>74</v>
      </c>
      <c r="L499" t="s">
        <v>74</v>
      </c>
      <c r="M499" t="s">
        <v>78</v>
      </c>
      <c r="N499" t="s">
        <v>79</v>
      </c>
      <c r="O499" t="s">
        <v>74</v>
      </c>
      <c r="P499" t="s">
        <v>74</v>
      </c>
      <c r="Q499" t="s">
        <v>74</v>
      </c>
      <c r="R499" t="s">
        <v>74</v>
      </c>
      <c r="S499" t="s">
        <v>74</v>
      </c>
      <c r="T499" t="s">
        <v>9905</v>
      </c>
      <c r="U499" t="s">
        <v>9906</v>
      </c>
      <c r="V499" t="s">
        <v>9907</v>
      </c>
      <c r="W499" t="s">
        <v>9908</v>
      </c>
      <c r="X499" t="s">
        <v>9909</v>
      </c>
      <c r="Y499" t="s">
        <v>9910</v>
      </c>
      <c r="Z499" t="s">
        <v>9911</v>
      </c>
      <c r="AA499" t="s">
        <v>9912</v>
      </c>
      <c r="AB499" t="s">
        <v>9913</v>
      </c>
      <c r="AC499" t="s">
        <v>9914</v>
      </c>
      <c r="AD499" t="s">
        <v>9915</v>
      </c>
      <c r="AE499" t="s">
        <v>9916</v>
      </c>
      <c r="AF499" t="s">
        <v>74</v>
      </c>
      <c r="AG499">
        <v>51</v>
      </c>
      <c r="AH499">
        <v>7</v>
      </c>
      <c r="AI499">
        <v>8</v>
      </c>
      <c r="AJ499">
        <v>3</v>
      </c>
      <c r="AK499">
        <v>20</v>
      </c>
      <c r="AL499" t="s">
        <v>758</v>
      </c>
      <c r="AM499" t="s">
        <v>759</v>
      </c>
      <c r="AN499" t="s">
        <v>760</v>
      </c>
      <c r="AO499" t="s">
        <v>1495</v>
      </c>
      <c r="AP499" t="s">
        <v>74</v>
      </c>
      <c r="AQ499" t="s">
        <v>74</v>
      </c>
      <c r="AR499" t="s">
        <v>1496</v>
      </c>
      <c r="AS499" t="s">
        <v>1497</v>
      </c>
      <c r="AT499" t="s">
        <v>9050</v>
      </c>
      <c r="AU499">
        <v>2018</v>
      </c>
      <c r="AV499">
        <v>8</v>
      </c>
      <c r="AW499">
        <v>16</v>
      </c>
      <c r="AX499" t="s">
        <v>74</v>
      </c>
      <c r="AY499" t="s">
        <v>74</v>
      </c>
      <c r="AZ499" t="s">
        <v>74</v>
      </c>
      <c r="BA499" t="s">
        <v>74</v>
      </c>
      <c r="BB499">
        <v>8286</v>
      </c>
      <c r="BC499">
        <v>8296</v>
      </c>
      <c r="BD499" t="s">
        <v>74</v>
      </c>
      <c r="BE499" t="s">
        <v>9917</v>
      </c>
      <c r="BF499" t="str">
        <f>HYPERLINK("http://dx.doi.org/10.1002/ece3.4160","http://dx.doi.org/10.1002/ece3.4160")</f>
        <v>http://dx.doi.org/10.1002/ece3.4160</v>
      </c>
      <c r="BG499" t="s">
        <v>74</v>
      </c>
      <c r="BH499" t="s">
        <v>74</v>
      </c>
      <c r="BI499">
        <v>11</v>
      </c>
      <c r="BJ499" t="s">
        <v>1499</v>
      </c>
      <c r="BK499" t="s">
        <v>101</v>
      </c>
      <c r="BL499" t="s">
        <v>1500</v>
      </c>
      <c r="BM499" t="s">
        <v>9918</v>
      </c>
      <c r="BN499">
        <v>30250703</v>
      </c>
      <c r="BO499" t="s">
        <v>1502</v>
      </c>
      <c r="BP499" t="s">
        <v>74</v>
      </c>
      <c r="BQ499" t="s">
        <v>74</v>
      </c>
      <c r="BR499" t="s">
        <v>104</v>
      </c>
      <c r="BS499" t="s">
        <v>9919</v>
      </c>
      <c r="BT499" t="str">
        <f>HYPERLINK("https%3A%2F%2Fwww.webofscience.com%2Fwos%2Fwoscc%2Ffull-record%2FWOS:000444946300045","View Full Record in Web of Science")</f>
        <v>View Full Record in Web of Science</v>
      </c>
    </row>
    <row r="500" spans="1:72" x14ac:dyDescent="0.15">
      <c r="A500" t="s">
        <v>72</v>
      </c>
      <c r="B500" t="s">
        <v>9920</v>
      </c>
      <c r="C500" t="s">
        <v>74</v>
      </c>
      <c r="D500" t="s">
        <v>74</v>
      </c>
      <c r="E500" t="s">
        <v>74</v>
      </c>
      <c r="F500" t="s">
        <v>9921</v>
      </c>
      <c r="G500" t="s">
        <v>74</v>
      </c>
      <c r="H500" t="s">
        <v>74</v>
      </c>
      <c r="I500" t="s">
        <v>9922</v>
      </c>
      <c r="J500" t="s">
        <v>1348</v>
      </c>
      <c r="K500" t="s">
        <v>74</v>
      </c>
      <c r="L500" t="s">
        <v>74</v>
      </c>
      <c r="M500" t="s">
        <v>78</v>
      </c>
      <c r="N500" t="s">
        <v>79</v>
      </c>
      <c r="O500" t="s">
        <v>74</v>
      </c>
      <c r="P500" t="s">
        <v>74</v>
      </c>
      <c r="Q500" t="s">
        <v>74</v>
      </c>
      <c r="R500" t="s">
        <v>74</v>
      </c>
      <c r="S500" t="s">
        <v>74</v>
      </c>
      <c r="T500" t="s">
        <v>9923</v>
      </c>
      <c r="U500" t="s">
        <v>9924</v>
      </c>
      <c r="V500" t="s">
        <v>9925</v>
      </c>
      <c r="W500" t="s">
        <v>9926</v>
      </c>
      <c r="X500" t="s">
        <v>9927</v>
      </c>
      <c r="Y500" t="s">
        <v>9928</v>
      </c>
      <c r="Z500" t="s">
        <v>3966</v>
      </c>
      <c r="AA500" t="s">
        <v>3967</v>
      </c>
      <c r="AB500" t="s">
        <v>9929</v>
      </c>
      <c r="AC500" t="s">
        <v>9930</v>
      </c>
      <c r="AD500" t="s">
        <v>9931</v>
      </c>
      <c r="AE500" t="s">
        <v>9932</v>
      </c>
      <c r="AF500" t="s">
        <v>74</v>
      </c>
      <c r="AG500">
        <v>96</v>
      </c>
      <c r="AH500">
        <v>19</v>
      </c>
      <c r="AI500">
        <v>20</v>
      </c>
      <c r="AJ500">
        <v>0</v>
      </c>
      <c r="AK500">
        <v>17</v>
      </c>
      <c r="AL500" t="s">
        <v>503</v>
      </c>
      <c r="AM500" t="s">
        <v>504</v>
      </c>
      <c r="AN500" t="s">
        <v>505</v>
      </c>
      <c r="AO500" t="s">
        <v>1361</v>
      </c>
      <c r="AP500" t="s">
        <v>1362</v>
      </c>
      <c r="AQ500" t="s">
        <v>74</v>
      </c>
      <c r="AR500" t="s">
        <v>1363</v>
      </c>
      <c r="AS500" t="s">
        <v>1364</v>
      </c>
      <c r="AT500" t="s">
        <v>9050</v>
      </c>
      <c r="AU500">
        <v>2018</v>
      </c>
      <c r="AV500">
        <v>123</v>
      </c>
      <c r="AW500">
        <v>8</v>
      </c>
      <c r="AX500" t="s">
        <v>74</v>
      </c>
      <c r="AY500" t="s">
        <v>74</v>
      </c>
      <c r="AZ500" t="s">
        <v>74</v>
      </c>
      <c r="BA500" t="s">
        <v>74</v>
      </c>
      <c r="BB500">
        <v>1682</v>
      </c>
      <c r="BC500">
        <v>1698</v>
      </c>
      <c r="BD500" t="s">
        <v>74</v>
      </c>
      <c r="BE500" t="s">
        <v>9933</v>
      </c>
      <c r="BF500" t="str">
        <f>HYPERLINK("http://dx.doi.org/10.1029/2018JF004669","http://dx.doi.org/10.1029/2018JF004669")</f>
        <v>http://dx.doi.org/10.1029/2018JF004669</v>
      </c>
      <c r="BG500" t="s">
        <v>74</v>
      </c>
      <c r="BH500" t="s">
        <v>74</v>
      </c>
      <c r="BI500">
        <v>17</v>
      </c>
      <c r="BJ500" t="s">
        <v>182</v>
      </c>
      <c r="BK500" t="s">
        <v>101</v>
      </c>
      <c r="BL500" t="s">
        <v>183</v>
      </c>
      <c r="BM500" t="s">
        <v>9934</v>
      </c>
      <c r="BN500" t="s">
        <v>74</v>
      </c>
      <c r="BO500" t="s">
        <v>740</v>
      </c>
      <c r="BP500" t="s">
        <v>74</v>
      </c>
      <c r="BQ500" t="s">
        <v>74</v>
      </c>
      <c r="BR500" t="s">
        <v>104</v>
      </c>
      <c r="BS500" t="s">
        <v>9935</v>
      </c>
      <c r="BT500" t="str">
        <f>HYPERLINK("https%3A%2F%2Fwww.webofscience.com%2Fwos%2Fwoscc%2Ffull-record%2FWOS:000444417600004","View Full Record in Web of Science")</f>
        <v>View Full Record in Web of Science</v>
      </c>
    </row>
    <row r="501" spans="1:72" x14ac:dyDescent="0.15">
      <c r="A501" t="s">
        <v>72</v>
      </c>
      <c r="B501" t="s">
        <v>9936</v>
      </c>
      <c r="C501" t="s">
        <v>74</v>
      </c>
      <c r="D501" t="s">
        <v>74</v>
      </c>
      <c r="E501" t="s">
        <v>74</v>
      </c>
      <c r="F501" t="s">
        <v>9937</v>
      </c>
      <c r="G501" t="s">
        <v>74</v>
      </c>
      <c r="H501" t="s">
        <v>74</v>
      </c>
      <c r="I501" t="s">
        <v>9938</v>
      </c>
      <c r="J501" t="s">
        <v>1348</v>
      </c>
      <c r="K501" t="s">
        <v>74</v>
      </c>
      <c r="L501" t="s">
        <v>74</v>
      </c>
      <c r="M501" t="s">
        <v>78</v>
      </c>
      <c r="N501" t="s">
        <v>79</v>
      </c>
      <c r="O501" t="s">
        <v>74</v>
      </c>
      <c r="P501" t="s">
        <v>74</v>
      </c>
      <c r="Q501" t="s">
        <v>74</v>
      </c>
      <c r="R501" t="s">
        <v>74</v>
      </c>
      <c r="S501" t="s">
        <v>74</v>
      </c>
      <c r="T501" t="s">
        <v>9939</v>
      </c>
      <c r="U501" t="s">
        <v>9940</v>
      </c>
      <c r="V501" t="s">
        <v>9941</v>
      </c>
      <c r="W501" t="s">
        <v>9942</v>
      </c>
      <c r="X501" t="s">
        <v>9943</v>
      </c>
      <c r="Y501" t="s">
        <v>9944</v>
      </c>
      <c r="Z501" t="s">
        <v>9945</v>
      </c>
      <c r="AA501" t="s">
        <v>74</v>
      </c>
      <c r="AB501" t="s">
        <v>9946</v>
      </c>
      <c r="AC501" t="s">
        <v>9947</v>
      </c>
      <c r="AD501" t="s">
        <v>9948</v>
      </c>
      <c r="AE501" t="s">
        <v>9949</v>
      </c>
      <c r="AF501" t="s">
        <v>74</v>
      </c>
      <c r="AG501">
        <v>55</v>
      </c>
      <c r="AH501">
        <v>6</v>
      </c>
      <c r="AI501">
        <v>6</v>
      </c>
      <c r="AJ501">
        <v>2</v>
      </c>
      <c r="AK501">
        <v>21</v>
      </c>
      <c r="AL501" t="s">
        <v>503</v>
      </c>
      <c r="AM501" t="s">
        <v>504</v>
      </c>
      <c r="AN501" t="s">
        <v>505</v>
      </c>
      <c r="AO501" t="s">
        <v>1361</v>
      </c>
      <c r="AP501" t="s">
        <v>1362</v>
      </c>
      <c r="AQ501" t="s">
        <v>74</v>
      </c>
      <c r="AR501" t="s">
        <v>1363</v>
      </c>
      <c r="AS501" t="s">
        <v>1364</v>
      </c>
      <c r="AT501" t="s">
        <v>9050</v>
      </c>
      <c r="AU501">
        <v>2018</v>
      </c>
      <c r="AV501">
        <v>123</v>
      </c>
      <c r="AW501">
        <v>8</v>
      </c>
      <c r="AX501" t="s">
        <v>74</v>
      </c>
      <c r="AY501" t="s">
        <v>74</v>
      </c>
      <c r="AZ501" t="s">
        <v>74</v>
      </c>
      <c r="BA501" t="s">
        <v>74</v>
      </c>
      <c r="BB501">
        <v>1797</v>
      </c>
      <c r="BC501">
        <v>1810</v>
      </c>
      <c r="BD501" t="s">
        <v>74</v>
      </c>
      <c r="BE501" t="s">
        <v>9950</v>
      </c>
      <c r="BF501" t="str">
        <f>HYPERLINK("http://dx.doi.org/10.1029/2017JF004535","http://dx.doi.org/10.1029/2017JF004535")</f>
        <v>http://dx.doi.org/10.1029/2017JF004535</v>
      </c>
      <c r="BG501" t="s">
        <v>74</v>
      </c>
      <c r="BH501" t="s">
        <v>74</v>
      </c>
      <c r="BI501">
        <v>14</v>
      </c>
      <c r="BJ501" t="s">
        <v>182</v>
      </c>
      <c r="BK501" t="s">
        <v>101</v>
      </c>
      <c r="BL501" t="s">
        <v>183</v>
      </c>
      <c r="BM501" t="s">
        <v>9934</v>
      </c>
      <c r="BN501" t="s">
        <v>74</v>
      </c>
      <c r="BO501" t="s">
        <v>712</v>
      </c>
      <c r="BP501" t="s">
        <v>74</v>
      </c>
      <c r="BQ501" t="s">
        <v>74</v>
      </c>
      <c r="BR501" t="s">
        <v>104</v>
      </c>
      <c r="BS501" t="s">
        <v>9951</v>
      </c>
      <c r="BT501" t="str">
        <f>HYPERLINK("https%3A%2F%2Fwww.webofscience.com%2Fwos%2Fwoscc%2Ffull-record%2FWOS:000444417600010","View Full Record in Web of Science")</f>
        <v>View Full Record in Web of Science</v>
      </c>
    </row>
    <row r="502" spans="1:72" x14ac:dyDescent="0.15">
      <c r="A502" t="s">
        <v>72</v>
      </c>
      <c r="B502" t="s">
        <v>9952</v>
      </c>
      <c r="C502" t="s">
        <v>74</v>
      </c>
      <c r="D502" t="s">
        <v>74</v>
      </c>
      <c r="E502" t="s">
        <v>74</v>
      </c>
      <c r="F502" t="s">
        <v>9953</v>
      </c>
      <c r="G502" t="s">
        <v>74</v>
      </c>
      <c r="H502" t="s">
        <v>74</v>
      </c>
      <c r="I502" t="s">
        <v>9954</v>
      </c>
      <c r="J502" t="s">
        <v>4680</v>
      </c>
      <c r="K502" t="s">
        <v>74</v>
      </c>
      <c r="L502" t="s">
        <v>74</v>
      </c>
      <c r="M502" t="s">
        <v>78</v>
      </c>
      <c r="N502" t="s">
        <v>79</v>
      </c>
      <c r="O502" t="s">
        <v>74</v>
      </c>
      <c r="P502" t="s">
        <v>74</v>
      </c>
      <c r="Q502" t="s">
        <v>74</v>
      </c>
      <c r="R502" t="s">
        <v>74</v>
      </c>
      <c r="S502" t="s">
        <v>74</v>
      </c>
      <c r="T502" t="s">
        <v>74</v>
      </c>
      <c r="U502" t="s">
        <v>9955</v>
      </c>
      <c r="V502" t="s">
        <v>9956</v>
      </c>
      <c r="W502" t="s">
        <v>9957</v>
      </c>
      <c r="X502" t="s">
        <v>5740</v>
      </c>
      <c r="Y502" t="s">
        <v>9958</v>
      </c>
      <c r="Z502" t="s">
        <v>9959</v>
      </c>
      <c r="AA502" t="s">
        <v>74</v>
      </c>
      <c r="AB502" t="s">
        <v>74</v>
      </c>
      <c r="AC502" t="s">
        <v>9960</v>
      </c>
      <c r="AD502" t="s">
        <v>9961</v>
      </c>
      <c r="AE502" t="s">
        <v>9962</v>
      </c>
      <c r="AF502" t="s">
        <v>74</v>
      </c>
      <c r="AG502">
        <v>64</v>
      </c>
      <c r="AH502">
        <v>15</v>
      </c>
      <c r="AI502">
        <v>16</v>
      </c>
      <c r="AJ502">
        <v>2</v>
      </c>
      <c r="AK502">
        <v>37</v>
      </c>
      <c r="AL502" t="s">
        <v>4690</v>
      </c>
      <c r="AM502" t="s">
        <v>4691</v>
      </c>
      <c r="AN502" t="s">
        <v>4692</v>
      </c>
      <c r="AO502" t="s">
        <v>4693</v>
      </c>
      <c r="AP502" t="s">
        <v>4694</v>
      </c>
      <c r="AQ502" t="s">
        <v>74</v>
      </c>
      <c r="AR502" t="s">
        <v>4695</v>
      </c>
      <c r="AS502" t="s">
        <v>4696</v>
      </c>
      <c r="AT502" t="s">
        <v>9050</v>
      </c>
      <c r="AU502">
        <v>2018</v>
      </c>
      <c r="AV502">
        <v>144</v>
      </c>
      <c r="AW502">
        <v>2</v>
      </c>
      <c r="AX502" t="s">
        <v>74</v>
      </c>
      <c r="AY502" t="s">
        <v>74</v>
      </c>
      <c r="AZ502" t="s">
        <v>74</v>
      </c>
      <c r="BA502" t="s">
        <v>74</v>
      </c>
      <c r="BB502">
        <v>540</v>
      </c>
      <c r="BC502">
        <v>551</v>
      </c>
      <c r="BD502" t="s">
        <v>74</v>
      </c>
      <c r="BE502" t="s">
        <v>9963</v>
      </c>
      <c r="BF502" t="str">
        <f>HYPERLINK("http://dx.doi.org/10.1121/1.5047744","http://dx.doi.org/10.1121/1.5047744")</f>
        <v>http://dx.doi.org/10.1121/1.5047744</v>
      </c>
      <c r="BG502" t="s">
        <v>74</v>
      </c>
      <c r="BH502" t="s">
        <v>74</v>
      </c>
      <c r="BI502">
        <v>12</v>
      </c>
      <c r="BJ502" t="s">
        <v>4698</v>
      </c>
      <c r="BK502" t="s">
        <v>101</v>
      </c>
      <c r="BL502" t="s">
        <v>4698</v>
      </c>
      <c r="BM502" t="s">
        <v>9586</v>
      </c>
      <c r="BN502">
        <v>30180684</v>
      </c>
      <c r="BO502" t="s">
        <v>486</v>
      </c>
      <c r="BP502" t="s">
        <v>74</v>
      </c>
      <c r="BQ502" t="s">
        <v>74</v>
      </c>
      <c r="BR502" t="s">
        <v>104</v>
      </c>
      <c r="BS502" t="s">
        <v>9964</v>
      </c>
      <c r="BT502" t="str">
        <f>HYPERLINK("https%3A%2F%2Fwww.webofscience.com%2Fwos%2Fwoscc%2Ffull-record%2FWOS:000443620700013","View Full Record in Web of Science")</f>
        <v>View Full Record in Web of Science</v>
      </c>
    </row>
    <row r="503" spans="1:72" x14ac:dyDescent="0.15">
      <c r="A503" t="s">
        <v>72</v>
      </c>
      <c r="B503" t="s">
        <v>9965</v>
      </c>
      <c r="C503" t="s">
        <v>74</v>
      </c>
      <c r="D503" t="s">
        <v>74</v>
      </c>
      <c r="E503" t="s">
        <v>74</v>
      </c>
      <c r="F503" t="s">
        <v>9966</v>
      </c>
      <c r="G503" t="s">
        <v>74</v>
      </c>
      <c r="H503" t="s">
        <v>74</v>
      </c>
      <c r="I503" t="s">
        <v>9967</v>
      </c>
      <c r="J503" t="s">
        <v>4680</v>
      </c>
      <c r="K503" t="s">
        <v>74</v>
      </c>
      <c r="L503" t="s">
        <v>74</v>
      </c>
      <c r="M503" t="s">
        <v>78</v>
      </c>
      <c r="N503" t="s">
        <v>79</v>
      </c>
      <c r="O503" t="s">
        <v>74</v>
      </c>
      <c r="P503" t="s">
        <v>74</v>
      </c>
      <c r="Q503" t="s">
        <v>74</v>
      </c>
      <c r="R503" t="s">
        <v>74</v>
      </c>
      <c r="S503" t="s">
        <v>74</v>
      </c>
      <c r="T503" t="s">
        <v>74</v>
      </c>
      <c r="U503" t="s">
        <v>9968</v>
      </c>
      <c r="V503" t="s">
        <v>9969</v>
      </c>
      <c r="W503" t="s">
        <v>9970</v>
      </c>
      <c r="X503" t="s">
        <v>9971</v>
      </c>
      <c r="Y503" t="s">
        <v>9972</v>
      </c>
      <c r="Z503" t="s">
        <v>9973</v>
      </c>
      <c r="AA503" t="s">
        <v>9974</v>
      </c>
      <c r="AB503" t="s">
        <v>9975</v>
      </c>
      <c r="AC503" t="s">
        <v>74</v>
      </c>
      <c r="AD503" t="s">
        <v>74</v>
      </c>
      <c r="AE503" t="s">
        <v>74</v>
      </c>
      <c r="AF503" t="s">
        <v>74</v>
      </c>
      <c r="AG503">
        <v>34</v>
      </c>
      <c r="AH503">
        <v>6</v>
      </c>
      <c r="AI503">
        <v>6</v>
      </c>
      <c r="AJ503">
        <v>0</v>
      </c>
      <c r="AK503">
        <v>11</v>
      </c>
      <c r="AL503" t="s">
        <v>4690</v>
      </c>
      <c r="AM503" t="s">
        <v>4691</v>
      </c>
      <c r="AN503" t="s">
        <v>4692</v>
      </c>
      <c r="AO503" t="s">
        <v>4693</v>
      </c>
      <c r="AP503" t="s">
        <v>4694</v>
      </c>
      <c r="AQ503" t="s">
        <v>74</v>
      </c>
      <c r="AR503" t="s">
        <v>4695</v>
      </c>
      <c r="AS503" t="s">
        <v>4696</v>
      </c>
      <c r="AT503" t="s">
        <v>9050</v>
      </c>
      <c r="AU503">
        <v>2018</v>
      </c>
      <c r="AV503">
        <v>144</v>
      </c>
      <c r="AW503">
        <v>2</v>
      </c>
      <c r="AX503" t="s">
        <v>74</v>
      </c>
      <c r="AY503" t="s">
        <v>74</v>
      </c>
      <c r="AZ503" t="s">
        <v>74</v>
      </c>
      <c r="BA503" t="s">
        <v>74</v>
      </c>
      <c r="BB503">
        <v>955</v>
      </c>
      <c r="BC503">
        <v>965</v>
      </c>
      <c r="BD503" t="s">
        <v>74</v>
      </c>
      <c r="BE503" t="s">
        <v>9976</v>
      </c>
      <c r="BF503" t="str">
        <f>HYPERLINK("http://dx.doi.org/10.1121/1.5050520","http://dx.doi.org/10.1121/1.5050520")</f>
        <v>http://dx.doi.org/10.1121/1.5050520</v>
      </c>
      <c r="BG503" t="s">
        <v>74</v>
      </c>
      <c r="BH503" t="s">
        <v>74</v>
      </c>
      <c r="BI503">
        <v>11</v>
      </c>
      <c r="BJ503" t="s">
        <v>4698</v>
      </c>
      <c r="BK503" t="s">
        <v>101</v>
      </c>
      <c r="BL503" t="s">
        <v>4698</v>
      </c>
      <c r="BM503" t="s">
        <v>9586</v>
      </c>
      <c r="BN503">
        <v>30180699</v>
      </c>
      <c r="BO503" t="s">
        <v>740</v>
      </c>
      <c r="BP503" t="s">
        <v>74</v>
      </c>
      <c r="BQ503" t="s">
        <v>74</v>
      </c>
      <c r="BR503" t="s">
        <v>104</v>
      </c>
      <c r="BS503" t="s">
        <v>9977</v>
      </c>
      <c r="BT503" t="str">
        <f>HYPERLINK("https%3A%2F%2Fwww.webofscience.com%2Fwos%2Fwoscc%2Ffull-record%2FWOS:000443620700049","View Full Record in Web of Science")</f>
        <v>View Full Record in Web of Science</v>
      </c>
    </row>
    <row r="504" spans="1:72" x14ac:dyDescent="0.15">
      <c r="A504" t="s">
        <v>72</v>
      </c>
      <c r="B504" t="s">
        <v>9978</v>
      </c>
      <c r="C504" t="s">
        <v>74</v>
      </c>
      <c r="D504" t="s">
        <v>74</v>
      </c>
      <c r="E504" t="s">
        <v>74</v>
      </c>
      <c r="F504" t="s">
        <v>9979</v>
      </c>
      <c r="G504" t="s">
        <v>74</v>
      </c>
      <c r="H504" t="s">
        <v>74</v>
      </c>
      <c r="I504" t="s">
        <v>9980</v>
      </c>
      <c r="J504" t="s">
        <v>9981</v>
      </c>
      <c r="K504" t="s">
        <v>74</v>
      </c>
      <c r="L504" t="s">
        <v>74</v>
      </c>
      <c r="M504" t="s">
        <v>78</v>
      </c>
      <c r="N504" t="s">
        <v>79</v>
      </c>
      <c r="O504" t="s">
        <v>74</v>
      </c>
      <c r="P504" t="s">
        <v>74</v>
      </c>
      <c r="Q504" t="s">
        <v>74</v>
      </c>
      <c r="R504" t="s">
        <v>74</v>
      </c>
      <c r="S504" t="s">
        <v>74</v>
      </c>
      <c r="T504" t="s">
        <v>74</v>
      </c>
      <c r="U504" t="s">
        <v>9982</v>
      </c>
      <c r="V504" t="s">
        <v>9983</v>
      </c>
      <c r="W504" t="s">
        <v>9984</v>
      </c>
      <c r="X504" t="s">
        <v>9985</v>
      </c>
      <c r="Y504" t="s">
        <v>9986</v>
      </c>
      <c r="Z504" t="s">
        <v>9987</v>
      </c>
      <c r="AA504" t="s">
        <v>9988</v>
      </c>
      <c r="AB504" t="s">
        <v>9989</v>
      </c>
      <c r="AC504" t="s">
        <v>9990</v>
      </c>
      <c r="AD504" t="s">
        <v>9991</v>
      </c>
      <c r="AE504" t="s">
        <v>9992</v>
      </c>
      <c r="AF504" t="s">
        <v>74</v>
      </c>
      <c r="AG504">
        <v>67</v>
      </c>
      <c r="AH504">
        <v>2</v>
      </c>
      <c r="AI504">
        <v>3</v>
      </c>
      <c r="AJ504">
        <v>0</v>
      </c>
      <c r="AK504">
        <v>5</v>
      </c>
      <c r="AL504" t="s">
        <v>2393</v>
      </c>
      <c r="AM504" t="s">
        <v>2394</v>
      </c>
      <c r="AN504" t="s">
        <v>2395</v>
      </c>
      <c r="AO504" t="s">
        <v>9993</v>
      </c>
      <c r="AP504" t="s">
        <v>74</v>
      </c>
      <c r="AQ504" t="s">
        <v>74</v>
      </c>
      <c r="AR504" t="s">
        <v>9981</v>
      </c>
      <c r="AS504" t="s">
        <v>9994</v>
      </c>
      <c r="AT504" t="s">
        <v>9050</v>
      </c>
      <c r="AU504">
        <v>2018</v>
      </c>
      <c r="AV504">
        <v>14</v>
      </c>
      <c r="AW504">
        <v>4</v>
      </c>
      <c r="AX504" t="s">
        <v>74</v>
      </c>
      <c r="AY504" t="s">
        <v>74</v>
      </c>
      <c r="AZ504" t="s">
        <v>74</v>
      </c>
      <c r="BA504" t="s">
        <v>74</v>
      </c>
      <c r="BB504">
        <v>1780</v>
      </c>
      <c r="BC504">
        <v>1803</v>
      </c>
      <c r="BD504" t="s">
        <v>74</v>
      </c>
      <c r="BE504" t="s">
        <v>9995</v>
      </c>
      <c r="BF504" t="str">
        <f>HYPERLINK("http://dx.doi.org/10.1130/GES01592.1","http://dx.doi.org/10.1130/GES01592.1")</f>
        <v>http://dx.doi.org/10.1130/GES01592.1</v>
      </c>
      <c r="BG504" t="s">
        <v>74</v>
      </c>
      <c r="BH504" t="s">
        <v>74</v>
      </c>
      <c r="BI504">
        <v>24</v>
      </c>
      <c r="BJ504" t="s">
        <v>182</v>
      </c>
      <c r="BK504" t="s">
        <v>101</v>
      </c>
      <c r="BL504" t="s">
        <v>183</v>
      </c>
      <c r="BM504" t="s">
        <v>9996</v>
      </c>
      <c r="BN504" t="s">
        <v>74</v>
      </c>
      <c r="BO504" t="s">
        <v>1063</v>
      </c>
      <c r="BP504" t="s">
        <v>74</v>
      </c>
      <c r="BQ504" t="s">
        <v>74</v>
      </c>
      <c r="BR504" t="s">
        <v>104</v>
      </c>
      <c r="BS504" t="s">
        <v>9997</v>
      </c>
      <c r="BT504" t="str">
        <f>HYPERLINK("https%3A%2F%2Fwww.webofscience.com%2Fwos%2Fwoscc%2Ffull-record%2FWOS:000440187300017","View Full Record in Web of Science")</f>
        <v>View Full Record in Web of Science</v>
      </c>
    </row>
    <row r="505" spans="1:72" x14ac:dyDescent="0.15">
      <c r="A505" t="s">
        <v>72</v>
      </c>
      <c r="B505" t="s">
        <v>9998</v>
      </c>
      <c r="C505" t="s">
        <v>74</v>
      </c>
      <c r="D505" t="s">
        <v>74</v>
      </c>
      <c r="E505" t="s">
        <v>74</v>
      </c>
      <c r="F505" t="s">
        <v>9999</v>
      </c>
      <c r="G505" t="s">
        <v>74</v>
      </c>
      <c r="H505" t="s">
        <v>74</v>
      </c>
      <c r="I505" t="s">
        <v>10000</v>
      </c>
      <c r="J505" t="s">
        <v>9981</v>
      </c>
      <c r="K505" t="s">
        <v>74</v>
      </c>
      <c r="L505" t="s">
        <v>74</v>
      </c>
      <c r="M505" t="s">
        <v>78</v>
      </c>
      <c r="N505" t="s">
        <v>79</v>
      </c>
      <c r="O505" t="s">
        <v>74</v>
      </c>
      <c r="P505" t="s">
        <v>74</v>
      </c>
      <c r="Q505" t="s">
        <v>74</v>
      </c>
      <c r="R505" t="s">
        <v>74</v>
      </c>
      <c r="S505" t="s">
        <v>74</v>
      </c>
      <c r="T505" t="s">
        <v>74</v>
      </c>
      <c r="U505" t="s">
        <v>10001</v>
      </c>
      <c r="V505" t="s">
        <v>10002</v>
      </c>
      <c r="W505" t="s">
        <v>10003</v>
      </c>
      <c r="X505" t="s">
        <v>10004</v>
      </c>
      <c r="Y505" t="s">
        <v>10005</v>
      </c>
      <c r="Z505" t="s">
        <v>10006</v>
      </c>
      <c r="AA505" t="s">
        <v>10007</v>
      </c>
      <c r="AB505" t="s">
        <v>10008</v>
      </c>
      <c r="AC505" t="s">
        <v>10009</v>
      </c>
      <c r="AD505" t="s">
        <v>10010</v>
      </c>
      <c r="AE505" t="s">
        <v>10011</v>
      </c>
      <c r="AF505" t="s">
        <v>74</v>
      </c>
      <c r="AG505">
        <v>100</v>
      </c>
      <c r="AH505">
        <v>12</v>
      </c>
      <c r="AI505">
        <v>17</v>
      </c>
      <c r="AJ505">
        <v>1</v>
      </c>
      <c r="AK505">
        <v>13</v>
      </c>
      <c r="AL505" t="s">
        <v>2393</v>
      </c>
      <c r="AM505" t="s">
        <v>2394</v>
      </c>
      <c r="AN505" t="s">
        <v>2395</v>
      </c>
      <c r="AO505" t="s">
        <v>9993</v>
      </c>
      <c r="AP505" t="s">
        <v>74</v>
      </c>
      <c r="AQ505" t="s">
        <v>74</v>
      </c>
      <c r="AR505" t="s">
        <v>9981</v>
      </c>
      <c r="AS505" t="s">
        <v>9994</v>
      </c>
      <c r="AT505" t="s">
        <v>9050</v>
      </c>
      <c r="AU505">
        <v>2018</v>
      </c>
      <c r="AV505">
        <v>14</v>
      </c>
      <c r="AW505">
        <v>4</v>
      </c>
      <c r="AX505" t="s">
        <v>74</v>
      </c>
      <c r="AY505" t="s">
        <v>74</v>
      </c>
      <c r="AZ505" t="s">
        <v>74</v>
      </c>
      <c r="BA505" t="s">
        <v>74</v>
      </c>
      <c r="BB505">
        <v>1935</v>
      </c>
      <c r="BC505">
        <v>1960</v>
      </c>
      <c r="BD505" t="s">
        <v>74</v>
      </c>
      <c r="BE505" t="s">
        <v>10012</v>
      </c>
      <c r="BF505" t="str">
        <f>HYPERLINK("http://dx.doi.org/10.1130/GES01635.1","http://dx.doi.org/10.1130/GES01635.1")</f>
        <v>http://dx.doi.org/10.1130/GES01635.1</v>
      </c>
      <c r="BG505" t="s">
        <v>74</v>
      </c>
      <c r="BH505" t="s">
        <v>74</v>
      </c>
      <c r="BI505">
        <v>26</v>
      </c>
      <c r="BJ505" t="s">
        <v>182</v>
      </c>
      <c r="BK505" t="s">
        <v>101</v>
      </c>
      <c r="BL505" t="s">
        <v>183</v>
      </c>
      <c r="BM505" t="s">
        <v>9996</v>
      </c>
      <c r="BN505" t="s">
        <v>74</v>
      </c>
      <c r="BO505" t="s">
        <v>439</v>
      </c>
      <c r="BP505" t="s">
        <v>74</v>
      </c>
      <c r="BQ505" t="s">
        <v>74</v>
      </c>
      <c r="BR505" t="s">
        <v>104</v>
      </c>
      <c r="BS505" t="s">
        <v>10013</v>
      </c>
      <c r="BT505" t="str">
        <f>HYPERLINK("https%3A%2F%2Fwww.webofscience.com%2Fwos%2Fwoscc%2Ffull-record%2FWOS:000440187300025","View Full Record in Web of Science")</f>
        <v>View Full Record in Web of Science</v>
      </c>
    </row>
    <row r="506" spans="1:72" x14ac:dyDescent="0.15">
      <c r="A506" t="s">
        <v>72</v>
      </c>
      <c r="B506" t="s">
        <v>10014</v>
      </c>
      <c r="C506" t="s">
        <v>74</v>
      </c>
      <c r="D506" t="s">
        <v>74</v>
      </c>
      <c r="E506" t="s">
        <v>74</v>
      </c>
      <c r="F506" t="s">
        <v>10015</v>
      </c>
      <c r="G506" t="s">
        <v>74</v>
      </c>
      <c r="H506" t="s">
        <v>74</v>
      </c>
      <c r="I506" t="s">
        <v>10016</v>
      </c>
      <c r="J506" t="s">
        <v>10017</v>
      </c>
      <c r="K506" t="s">
        <v>74</v>
      </c>
      <c r="L506" t="s">
        <v>74</v>
      </c>
      <c r="M506" t="s">
        <v>78</v>
      </c>
      <c r="N506" t="s">
        <v>79</v>
      </c>
      <c r="O506" t="s">
        <v>74</v>
      </c>
      <c r="P506" t="s">
        <v>74</v>
      </c>
      <c r="Q506" t="s">
        <v>74</v>
      </c>
      <c r="R506" t="s">
        <v>74</v>
      </c>
      <c r="S506" t="s">
        <v>74</v>
      </c>
      <c r="T506" t="s">
        <v>10018</v>
      </c>
      <c r="U506" t="s">
        <v>74</v>
      </c>
      <c r="V506" t="s">
        <v>10019</v>
      </c>
      <c r="W506" t="s">
        <v>10020</v>
      </c>
      <c r="X506" t="s">
        <v>10021</v>
      </c>
      <c r="Y506" t="s">
        <v>10022</v>
      </c>
      <c r="Z506" t="s">
        <v>10023</v>
      </c>
      <c r="AA506" t="s">
        <v>74</v>
      </c>
      <c r="AB506" t="s">
        <v>74</v>
      </c>
      <c r="AC506" t="s">
        <v>10024</v>
      </c>
      <c r="AD506" t="s">
        <v>10024</v>
      </c>
      <c r="AE506" t="s">
        <v>10025</v>
      </c>
      <c r="AF506" t="s">
        <v>74</v>
      </c>
      <c r="AG506">
        <v>50</v>
      </c>
      <c r="AH506">
        <v>1</v>
      </c>
      <c r="AI506">
        <v>1</v>
      </c>
      <c r="AJ506">
        <v>0</v>
      </c>
      <c r="AK506">
        <v>2</v>
      </c>
      <c r="AL506" t="s">
        <v>2434</v>
      </c>
      <c r="AM506" t="s">
        <v>704</v>
      </c>
      <c r="AN506" t="s">
        <v>2435</v>
      </c>
      <c r="AO506" t="s">
        <v>10026</v>
      </c>
      <c r="AP506" t="s">
        <v>10027</v>
      </c>
      <c r="AQ506" t="s">
        <v>74</v>
      </c>
      <c r="AR506" t="s">
        <v>10028</v>
      </c>
      <c r="AS506" t="s">
        <v>10029</v>
      </c>
      <c r="AT506" t="s">
        <v>9050</v>
      </c>
      <c r="AU506">
        <v>2018</v>
      </c>
      <c r="AV506">
        <v>30</v>
      </c>
      <c r="AW506">
        <v>3</v>
      </c>
      <c r="AX506" t="s">
        <v>74</v>
      </c>
      <c r="AY506" t="s">
        <v>74</v>
      </c>
      <c r="AZ506" t="s">
        <v>74</v>
      </c>
      <c r="BA506" t="s">
        <v>74</v>
      </c>
      <c r="BB506">
        <v>442</v>
      </c>
      <c r="BC506">
        <v>457</v>
      </c>
      <c r="BD506" t="s">
        <v>74</v>
      </c>
      <c r="BE506" t="s">
        <v>10030</v>
      </c>
      <c r="BF506" t="str">
        <f>HYPERLINK("http://dx.doi.org/10.1177/0843871418781399","http://dx.doi.org/10.1177/0843871418781399")</f>
        <v>http://dx.doi.org/10.1177/0843871418781399</v>
      </c>
      <c r="BG506" t="s">
        <v>74</v>
      </c>
      <c r="BH506" t="s">
        <v>74</v>
      </c>
      <c r="BI506">
        <v>16</v>
      </c>
      <c r="BJ506" t="s">
        <v>1646</v>
      </c>
      <c r="BK506" t="s">
        <v>126</v>
      </c>
      <c r="BL506" t="s">
        <v>1646</v>
      </c>
      <c r="BM506" t="s">
        <v>10031</v>
      </c>
      <c r="BN506" t="s">
        <v>74</v>
      </c>
      <c r="BO506" t="s">
        <v>74</v>
      </c>
      <c r="BP506" t="s">
        <v>74</v>
      </c>
      <c r="BQ506" t="s">
        <v>74</v>
      </c>
      <c r="BR506" t="s">
        <v>104</v>
      </c>
      <c r="BS506" t="s">
        <v>10032</v>
      </c>
      <c r="BT506" t="str">
        <f>HYPERLINK("https%3A%2F%2Fwww.webofscience.com%2Fwos%2Fwoscc%2Ffull-record%2FWOS:000441927200004","View Full Record in Web of Science")</f>
        <v>View Full Record in Web of Science</v>
      </c>
    </row>
    <row r="507" spans="1:72" x14ac:dyDescent="0.15">
      <c r="A507" t="s">
        <v>72</v>
      </c>
      <c r="B507" t="s">
        <v>10033</v>
      </c>
      <c r="C507" t="s">
        <v>74</v>
      </c>
      <c r="D507" t="s">
        <v>74</v>
      </c>
      <c r="E507" t="s">
        <v>74</v>
      </c>
      <c r="F507" t="s">
        <v>10034</v>
      </c>
      <c r="G507" t="s">
        <v>74</v>
      </c>
      <c r="H507" t="s">
        <v>74</v>
      </c>
      <c r="I507" t="s">
        <v>10035</v>
      </c>
      <c r="J507" t="s">
        <v>10036</v>
      </c>
      <c r="K507" t="s">
        <v>74</v>
      </c>
      <c r="L507" t="s">
        <v>74</v>
      </c>
      <c r="M507" t="s">
        <v>78</v>
      </c>
      <c r="N507" t="s">
        <v>79</v>
      </c>
      <c r="O507" t="s">
        <v>74</v>
      </c>
      <c r="P507" t="s">
        <v>74</v>
      </c>
      <c r="Q507" t="s">
        <v>74</v>
      </c>
      <c r="R507" t="s">
        <v>74</v>
      </c>
      <c r="S507" t="s">
        <v>74</v>
      </c>
      <c r="T507" t="s">
        <v>10037</v>
      </c>
      <c r="U507" t="s">
        <v>10038</v>
      </c>
      <c r="V507" t="s">
        <v>10039</v>
      </c>
      <c r="W507" t="s">
        <v>10040</v>
      </c>
      <c r="X507" t="s">
        <v>10041</v>
      </c>
      <c r="Y507" t="s">
        <v>10042</v>
      </c>
      <c r="Z507" t="s">
        <v>10043</v>
      </c>
      <c r="AA507" t="s">
        <v>74</v>
      </c>
      <c r="AB507" t="s">
        <v>10044</v>
      </c>
      <c r="AC507" t="s">
        <v>10045</v>
      </c>
      <c r="AD507" t="s">
        <v>10046</v>
      </c>
      <c r="AE507" t="s">
        <v>10047</v>
      </c>
      <c r="AF507" t="s">
        <v>74</v>
      </c>
      <c r="AG507">
        <v>42</v>
      </c>
      <c r="AH507">
        <v>20</v>
      </c>
      <c r="AI507">
        <v>24</v>
      </c>
      <c r="AJ507">
        <v>1</v>
      </c>
      <c r="AK507">
        <v>25</v>
      </c>
      <c r="AL507" t="s">
        <v>10048</v>
      </c>
      <c r="AM507" t="s">
        <v>10049</v>
      </c>
      <c r="AN507" t="s">
        <v>10050</v>
      </c>
      <c r="AO507" t="s">
        <v>10051</v>
      </c>
      <c r="AP507" t="s">
        <v>74</v>
      </c>
      <c r="AQ507" t="s">
        <v>74</v>
      </c>
      <c r="AR507" t="s">
        <v>10052</v>
      </c>
      <c r="AS507" t="s">
        <v>10053</v>
      </c>
      <c r="AT507" t="s">
        <v>9050</v>
      </c>
      <c r="AU507">
        <v>2018</v>
      </c>
      <c r="AV507">
        <v>13</v>
      </c>
      <c r="AW507">
        <v>8</v>
      </c>
      <c r="AX507" t="s">
        <v>74</v>
      </c>
      <c r="AY507" t="s">
        <v>74</v>
      </c>
      <c r="AZ507" t="s">
        <v>74</v>
      </c>
      <c r="BA507" t="s">
        <v>74</v>
      </c>
      <c r="BB507" t="s">
        <v>74</v>
      </c>
      <c r="BC507" t="s">
        <v>74</v>
      </c>
      <c r="BD507">
        <v>84020</v>
      </c>
      <c r="BE507" t="s">
        <v>10054</v>
      </c>
      <c r="BF507" t="str">
        <f>HYPERLINK("http://dx.doi.org/10.1088/1748-9326/aad624","http://dx.doi.org/10.1088/1748-9326/aad624")</f>
        <v>http://dx.doi.org/10.1088/1748-9326/aad624</v>
      </c>
      <c r="BG507" t="s">
        <v>74</v>
      </c>
      <c r="BH507" t="s">
        <v>74</v>
      </c>
      <c r="BI507">
        <v>9</v>
      </c>
      <c r="BJ507" t="s">
        <v>317</v>
      </c>
      <c r="BK507" t="s">
        <v>101</v>
      </c>
      <c r="BL507" t="s">
        <v>318</v>
      </c>
      <c r="BM507" t="s">
        <v>10055</v>
      </c>
      <c r="BN507" t="s">
        <v>74</v>
      </c>
      <c r="BO507" t="s">
        <v>9552</v>
      </c>
      <c r="BP507" t="s">
        <v>74</v>
      </c>
      <c r="BQ507" t="s">
        <v>74</v>
      </c>
      <c r="BR507" t="s">
        <v>104</v>
      </c>
      <c r="BS507" t="s">
        <v>10056</v>
      </c>
      <c r="BT507" t="str">
        <f>HYPERLINK("https%3A%2F%2Fwww.webofscience.com%2Fwos%2Fwoscc%2Ffull-record%2FWOS:000441823400002","View Full Record in Web of Science")</f>
        <v>View Full Record in Web of Science</v>
      </c>
    </row>
    <row r="508" spans="1:72" x14ac:dyDescent="0.15">
      <c r="A508" t="s">
        <v>72</v>
      </c>
      <c r="B508" t="s">
        <v>10057</v>
      </c>
      <c r="C508" t="s">
        <v>74</v>
      </c>
      <c r="D508" t="s">
        <v>74</v>
      </c>
      <c r="E508" t="s">
        <v>74</v>
      </c>
      <c r="F508" t="s">
        <v>10058</v>
      </c>
      <c r="G508" t="s">
        <v>74</v>
      </c>
      <c r="H508" t="s">
        <v>74</v>
      </c>
      <c r="I508" t="s">
        <v>10059</v>
      </c>
      <c r="J508" t="s">
        <v>2382</v>
      </c>
      <c r="K508" t="s">
        <v>74</v>
      </c>
      <c r="L508" t="s">
        <v>74</v>
      </c>
      <c r="M508" t="s">
        <v>78</v>
      </c>
      <c r="N508" t="s">
        <v>79</v>
      </c>
      <c r="O508" t="s">
        <v>74</v>
      </c>
      <c r="P508" t="s">
        <v>74</v>
      </c>
      <c r="Q508" t="s">
        <v>74</v>
      </c>
      <c r="R508" t="s">
        <v>74</v>
      </c>
      <c r="S508" t="s">
        <v>74</v>
      </c>
      <c r="T508" t="s">
        <v>74</v>
      </c>
      <c r="U508" t="s">
        <v>10060</v>
      </c>
      <c r="V508" t="s">
        <v>10061</v>
      </c>
      <c r="W508" t="s">
        <v>10062</v>
      </c>
      <c r="X508" t="s">
        <v>10063</v>
      </c>
      <c r="Y508" t="s">
        <v>10064</v>
      </c>
      <c r="Z508" t="s">
        <v>10065</v>
      </c>
      <c r="AA508" t="s">
        <v>10066</v>
      </c>
      <c r="AB508" t="s">
        <v>10067</v>
      </c>
      <c r="AC508" t="s">
        <v>10068</v>
      </c>
      <c r="AD508" t="s">
        <v>10069</v>
      </c>
      <c r="AE508" t="s">
        <v>10070</v>
      </c>
      <c r="AF508" t="s">
        <v>74</v>
      </c>
      <c r="AG508">
        <v>24</v>
      </c>
      <c r="AH508">
        <v>14</v>
      </c>
      <c r="AI508">
        <v>14</v>
      </c>
      <c r="AJ508">
        <v>0</v>
      </c>
      <c r="AK508">
        <v>9</v>
      </c>
      <c r="AL508" t="s">
        <v>2393</v>
      </c>
      <c r="AM508" t="s">
        <v>2394</v>
      </c>
      <c r="AN508" t="s">
        <v>2395</v>
      </c>
      <c r="AO508" t="s">
        <v>2396</v>
      </c>
      <c r="AP508" t="s">
        <v>2397</v>
      </c>
      <c r="AQ508" t="s">
        <v>74</v>
      </c>
      <c r="AR508" t="s">
        <v>2382</v>
      </c>
      <c r="AS508" t="s">
        <v>183</v>
      </c>
      <c r="AT508" t="s">
        <v>9050</v>
      </c>
      <c r="AU508">
        <v>2018</v>
      </c>
      <c r="AV508">
        <v>46</v>
      </c>
      <c r="AW508">
        <v>8</v>
      </c>
      <c r="AX508" t="s">
        <v>74</v>
      </c>
      <c r="AY508" t="s">
        <v>74</v>
      </c>
      <c r="AZ508" t="s">
        <v>74</v>
      </c>
      <c r="BA508" t="s">
        <v>74</v>
      </c>
      <c r="BB508">
        <v>699</v>
      </c>
      <c r="BC508">
        <v>702</v>
      </c>
      <c r="BD508" t="s">
        <v>74</v>
      </c>
      <c r="BE508" t="s">
        <v>10071</v>
      </c>
      <c r="BF508" t="str">
        <f>HYPERLINK("http://dx.doi.org/10.1130/G45286.1","http://dx.doi.org/10.1130/G45286.1")</f>
        <v>http://dx.doi.org/10.1130/G45286.1</v>
      </c>
      <c r="BG508" t="s">
        <v>74</v>
      </c>
      <c r="BH508" t="s">
        <v>74</v>
      </c>
      <c r="BI508">
        <v>4</v>
      </c>
      <c r="BJ508" t="s">
        <v>183</v>
      </c>
      <c r="BK508" t="s">
        <v>101</v>
      </c>
      <c r="BL508" t="s">
        <v>183</v>
      </c>
      <c r="BM508" t="s">
        <v>10072</v>
      </c>
      <c r="BN508" t="s">
        <v>74</v>
      </c>
      <c r="BO508" t="s">
        <v>5892</v>
      </c>
      <c r="BP508" t="s">
        <v>74</v>
      </c>
      <c r="BQ508" t="s">
        <v>74</v>
      </c>
      <c r="BR508" t="s">
        <v>104</v>
      </c>
      <c r="BS508" t="s">
        <v>10073</v>
      </c>
      <c r="BT508" t="str">
        <f>HYPERLINK("https%3A%2F%2Fwww.webofscience.com%2Fwos%2Fwoscc%2Ffull-record%2FWOS:000441797000009","View Full Record in Web of Science")</f>
        <v>View Full Record in Web of Science</v>
      </c>
    </row>
    <row r="509" spans="1:72" x14ac:dyDescent="0.15">
      <c r="A509" t="s">
        <v>72</v>
      </c>
      <c r="B509" t="s">
        <v>10074</v>
      </c>
      <c r="C509" t="s">
        <v>74</v>
      </c>
      <c r="D509" t="s">
        <v>74</v>
      </c>
      <c r="E509" t="s">
        <v>74</v>
      </c>
      <c r="F509" t="s">
        <v>10075</v>
      </c>
      <c r="G509" t="s">
        <v>74</v>
      </c>
      <c r="H509" t="s">
        <v>74</v>
      </c>
      <c r="I509" t="s">
        <v>10076</v>
      </c>
      <c r="J509" t="s">
        <v>10077</v>
      </c>
      <c r="K509" t="s">
        <v>74</v>
      </c>
      <c r="L509" t="s">
        <v>74</v>
      </c>
      <c r="M509" t="s">
        <v>78</v>
      </c>
      <c r="N509" t="s">
        <v>79</v>
      </c>
      <c r="O509" t="s">
        <v>74</v>
      </c>
      <c r="P509" t="s">
        <v>74</v>
      </c>
      <c r="Q509" t="s">
        <v>74</v>
      </c>
      <c r="R509" t="s">
        <v>74</v>
      </c>
      <c r="S509" t="s">
        <v>74</v>
      </c>
      <c r="T509" t="s">
        <v>10078</v>
      </c>
      <c r="U509" t="s">
        <v>10079</v>
      </c>
      <c r="V509" t="s">
        <v>10080</v>
      </c>
      <c r="W509" t="s">
        <v>10081</v>
      </c>
      <c r="X509" t="s">
        <v>10082</v>
      </c>
      <c r="Y509" t="s">
        <v>10083</v>
      </c>
      <c r="Z509" t="s">
        <v>10084</v>
      </c>
      <c r="AA509" t="s">
        <v>10085</v>
      </c>
      <c r="AB509" t="s">
        <v>10086</v>
      </c>
      <c r="AC509" t="s">
        <v>10087</v>
      </c>
      <c r="AD509" t="s">
        <v>10088</v>
      </c>
      <c r="AE509" t="s">
        <v>10089</v>
      </c>
      <c r="AF509" t="s">
        <v>74</v>
      </c>
      <c r="AG509">
        <v>141</v>
      </c>
      <c r="AH509">
        <v>4</v>
      </c>
      <c r="AI509">
        <v>4</v>
      </c>
      <c r="AJ509">
        <v>0</v>
      </c>
      <c r="AK509">
        <v>9</v>
      </c>
      <c r="AL509" t="s">
        <v>2434</v>
      </c>
      <c r="AM509" t="s">
        <v>704</v>
      </c>
      <c r="AN509" t="s">
        <v>2435</v>
      </c>
      <c r="AO509" t="s">
        <v>10090</v>
      </c>
      <c r="AP509" t="s">
        <v>10091</v>
      </c>
      <c r="AQ509" t="s">
        <v>74</v>
      </c>
      <c r="AR509" t="s">
        <v>10077</v>
      </c>
      <c r="AS509" t="s">
        <v>10092</v>
      </c>
      <c r="AT509" t="s">
        <v>9050</v>
      </c>
      <c r="AU509">
        <v>2018</v>
      </c>
      <c r="AV509">
        <v>28</v>
      </c>
      <c r="AW509">
        <v>8</v>
      </c>
      <c r="AX509" t="s">
        <v>74</v>
      </c>
      <c r="AY509" t="s">
        <v>74</v>
      </c>
      <c r="AZ509" t="s">
        <v>74</v>
      </c>
      <c r="BA509" t="s">
        <v>74</v>
      </c>
      <c r="BB509">
        <v>1288</v>
      </c>
      <c r="BC509">
        <v>1300</v>
      </c>
      <c r="BD509" t="s">
        <v>74</v>
      </c>
      <c r="BE509" t="s">
        <v>10093</v>
      </c>
      <c r="BF509" t="str">
        <f>HYPERLINK("http://dx.doi.org/10.1177/0959683618771484","http://dx.doi.org/10.1177/0959683618771484")</f>
        <v>http://dx.doi.org/10.1177/0959683618771484</v>
      </c>
      <c r="BG509" t="s">
        <v>74</v>
      </c>
      <c r="BH509" t="s">
        <v>74</v>
      </c>
      <c r="BI509">
        <v>13</v>
      </c>
      <c r="BJ509" t="s">
        <v>208</v>
      </c>
      <c r="BK509" t="s">
        <v>101</v>
      </c>
      <c r="BL509" t="s">
        <v>209</v>
      </c>
      <c r="BM509" t="s">
        <v>10094</v>
      </c>
      <c r="BN509" t="s">
        <v>74</v>
      </c>
      <c r="BO509" t="s">
        <v>74</v>
      </c>
      <c r="BP509" t="s">
        <v>74</v>
      </c>
      <c r="BQ509" t="s">
        <v>74</v>
      </c>
      <c r="BR509" t="s">
        <v>104</v>
      </c>
      <c r="BS509" t="s">
        <v>10095</v>
      </c>
      <c r="BT509" t="str">
        <f>HYPERLINK("https%3A%2F%2Fwww.webofscience.com%2Fwos%2Fwoscc%2Ffull-record%2FWOS:000441610900009","View Full Record in Web of Science")</f>
        <v>View Full Record in Web of Science</v>
      </c>
    </row>
    <row r="510" spans="1:72" x14ac:dyDescent="0.15">
      <c r="A510" t="s">
        <v>72</v>
      </c>
      <c r="B510" t="s">
        <v>10096</v>
      </c>
      <c r="C510" t="s">
        <v>74</v>
      </c>
      <c r="D510" t="s">
        <v>74</v>
      </c>
      <c r="E510" t="s">
        <v>74</v>
      </c>
      <c r="F510" t="s">
        <v>10097</v>
      </c>
      <c r="G510" t="s">
        <v>74</v>
      </c>
      <c r="H510" t="s">
        <v>74</v>
      </c>
      <c r="I510" t="s">
        <v>10098</v>
      </c>
      <c r="J510" t="s">
        <v>10099</v>
      </c>
      <c r="K510" t="s">
        <v>74</v>
      </c>
      <c r="L510" t="s">
        <v>74</v>
      </c>
      <c r="M510" t="s">
        <v>78</v>
      </c>
      <c r="N510" t="s">
        <v>4341</v>
      </c>
      <c r="O510" t="s">
        <v>74</v>
      </c>
      <c r="P510" t="s">
        <v>74</v>
      </c>
      <c r="Q510" t="s">
        <v>74</v>
      </c>
      <c r="R510" t="s">
        <v>74</v>
      </c>
      <c r="S510" t="s">
        <v>74</v>
      </c>
      <c r="T510" t="s">
        <v>74</v>
      </c>
      <c r="U510" t="s">
        <v>74</v>
      </c>
      <c r="V510" t="s">
        <v>74</v>
      </c>
      <c r="W510" t="s">
        <v>10100</v>
      </c>
      <c r="X510" t="s">
        <v>10101</v>
      </c>
      <c r="Y510" t="s">
        <v>10102</v>
      </c>
      <c r="Z510" t="s">
        <v>10103</v>
      </c>
      <c r="AA510" t="s">
        <v>10104</v>
      </c>
      <c r="AB510" t="s">
        <v>10105</v>
      </c>
      <c r="AC510" t="s">
        <v>74</v>
      </c>
      <c r="AD510" t="s">
        <v>74</v>
      </c>
      <c r="AE510" t="s">
        <v>74</v>
      </c>
      <c r="AF510" t="s">
        <v>74</v>
      </c>
      <c r="AG510">
        <v>1</v>
      </c>
      <c r="AH510">
        <v>0</v>
      </c>
      <c r="AI510">
        <v>0</v>
      </c>
      <c r="AJ510">
        <v>0</v>
      </c>
      <c r="AK510">
        <v>3</v>
      </c>
      <c r="AL510" t="s">
        <v>430</v>
      </c>
      <c r="AM510" t="s">
        <v>286</v>
      </c>
      <c r="AN510" t="s">
        <v>431</v>
      </c>
      <c r="AO510" t="s">
        <v>10106</v>
      </c>
      <c r="AP510" t="s">
        <v>10107</v>
      </c>
      <c r="AQ510" t="s">
        <v>74</v>
      </c>
      <c r="AR510" t="s">
        <v>10108</v>
      </c>
      <c r="AS510" t="s">
        <v>10109</v>
      </c>
      <c r="AT510" t="s">
        <v>9050</v>
      </c>
      <c r="AU510">
        <v>2018</v>
      </c>
      <c r="AV510">
        <v>563</v>
      </c>
      <c r="AW510" t="s">
        <v>74</v>
      </c>
      <c r="AX510" t="s">
        <v>74</v>
      </c>
      <c r="AY510" t="s">
        <v>74</v>
      </c>
      <c r="AZ510" t="s">
        <v>74</v>
      </c>
      <c r="BA510" t="s">
        <v>74</v>
      </c>
      <c r="BB510">
        <v>1181</v>
      </c>
      <c r="BC510">
        <v>1181</v>
      </c>
      <c r="BD510" t="s">
        <v>74</v>
      </c>
      <c r="BE510" t="s">
        <v>10110</v>
      </c>
      <c r="BF510" t="str">
        <f>HYPERLINK("http://dx.doi.org/10.1016/j.jhydrol.2018.07.040","http://dx.doi.org/10.1016/j.jhydrol.2018.07.040")</f>
        <v>http://dx.doi.org/10.1016/j.jhydrol.2018.07.040</v>
      </c>
      <c r="BG510" t="s">
        <v>74</v>
      </c>
      <c r="BH510" t="s">
        <v>74</v>
      </c>
      <c r="BI510">
        <v>1</v>
      </c>
      <c r="BJ510" t="s">
        <v>10111</v>
      </c>
      <c r="BK510" t="s">
        <v>101</v>
      </c>
      <c r="BL510" t="s">
        <v>10112</v>
      </c>
      <c r="BM510" t="s">
        <v>10113</v>
      </c>
      <c r="BN510" t="s">
        <v>74</v>
      </c>
      <c r="BO510" t="s">
        <v>74</v>
      </c>
      <c r="BP510" t="s">
        <v>74</v>
      </c>
      <c r="BQ510" t="s">
        <v>74</v>
      </c>
      <c r="BR510" t="s">
        <v>104</v>
      </c>
      <c r="BS510" t="s">
        <v>10114</v>
      </c>
      <c r="BT510" t="str">
        <f>HYPERLINK("https%3A%2F%2Fwww.webofscience.com%2Fwos%2Fwoscc%2Ffull-record%2FWOS:000441492700095","View Full Record in Web of Science")</f>
        <v>View Full Record in Web of Science</v>
      </c>
    </row>
    <row r="511" spans="1:72" x14ac:dyDescent="0.15">
      <c r="A511" t="s">
        <v>72</v>
      </c>
      <c r="B511" t="s">
        <v>10115</v>
      </c>
      <c r="C511" t="s">
        <v>74</v>
      </c>
      <c r="D511" t="s">
        <v>74</v>
      </c>
      <c r="E511" t="s">
        <v>74</v>
      </c>
      <c r="F511" t="s">
        <v>10116</v>
      </c>
      <c r="G511" t="s">
        <v>74</v>
      </c>
      <c r="H511" t="s">
        <v>74</v>
      </c>
      <c r="I511" t="s">
        <v>10117</v>
      </c>
      <c r="J511" t="s">
        <v>924</v>
      </c>
      <c r="K511" t="s">
        <v>74</v>
      </c>
      <c r="L511" t="s">
        <v>74</v>
      </c>
      <c r="M511" t="s">
        <v>78</v>
      </c>
      <c r="N511" t="s">
        <v>79</v>
      </c>
      <c r="O511" t="s">
        <v>74</v>
      </c>
      <c r="P511" t="s">
        <v>74</v>
      </c>
      <c r="Q511" t="s">
        <v>74</v>
      </c>
      <c r="R511" t="s">
        <v>74</v>
      </c>
      <c r="S511" t="s">
        <v>74</v>
      </c>
      <c r="T511" t="s">
        <v>10118</v>
      </c>
      <c r="U511" t="s">
        <v>10119</v>
      </c>
      <c r="V511" t="s">
        <v>10120</v>
      </c>
      <c r="W511" t="s">
        <v>10121</v>
      </c>
      <c r="X511" t="s">
        <v>10122</v>
      </c>
      <c r="Y511" t="s">
        <v>10123</v>
      </c>
      <c r="Z511" t="s">
        <v>10124</v>
      </c>
      <c r="AA511" t="s">
        <v>10125</v>
      </c>
      <c r="AB511" t="s">
        <v>10126</v>
      </c>
      <c r="AC511" t="s">
        <v>10127</v>
      </c>
      <c r="AD511" t="s">
        <v>10128</v>
      </c>
      <c r="AE511" t="s">
        <v>10129</v>
      </c>
      <c r="AF511" t="s">
        <v>74</v>
      </c>
      <c r="AG511">
        <v>69</v>
      </c>
      <c r="AH511">
        <v>7</v>
      </c>
      <c r="AI511">
        <v>7</v>
      </c>
      <c r="AJ511">
        <v>2</v>
      </c>
      <c r="AK511">
        <v>31</v>
      </c>
      <c r="AL511" t="s">
        <v>758</v>
      </c>
      <c r="AM511" t="s">
        <v>759</v>
      </c>
      <c r="AN511" t="s">
        <v>760</v>
      </c>
      <c r="AO511" t="s">
        <v>937</v>
      </c>
      <c r="AP511" t="s">
        <v>938</v>
      </c>
      <c r="AQ511" t="s">
        <v>74</v>
      </c>
      <c r="AR511" t="s">
        <v>939</v>
      </c>
      <c r="AS511" t="s">
        <v>940</v>
      </c>
      <c r="AT511" t="s">
        <v>9050</v>
      </c>
      <c r="AU511">
        <v>2018</v>
      </c>
      <c r="AV511">
        <v>54</v>
      </c>
      <c r="AW511">
        <v>4</v>
      </c>
      <c r="AX511" t="s">
        <v>74</v>
      </c>
      <c r="AY511" t="s">
        <v>74</v>
      </c>
      <c r="AZ511" t="s">
        <v>74</v>
      </c>
      <c r="BA511" t="s">
        <v>74</v>
      </c>
      <c r="BB511">
        <v>505</v>
      </c>
      <c r="BC511">
        <v>517</v>
      </c>
      <c r="BD511" t="s">
        <v>74</v>
      </c>
      <c r="BE511" t="s">
        <v>10130</v>
      </c>
      <c r="BF511" t="str">
        <f>HYPERLINK("http://dx.doi.org/10.1111/jpy.12753","http://dx.doi.org/10.1111/jpy.12753")</f>
        <v>http://dx.doi.org/10.1111/jpy.12753</v>
      </c>
      <c r="BG511" t="s">
        <v>74</v>
      </c>
      <c r="BH511" t="s">
        <v>74</v>
      </c>
      <c r="BI511">
        <v>13</v>
      </c>
      <c r="BJ511" t="s">
        <v>942</v>
      </c>
      <c r="BK511" t="s">
        <v>101</v>
      </c>
      <c r="BL511" t="s">
        <v>942</v>
      </c>
      <c r="BM511" t="s">
        <v>10131</v>
      </c>
      <c r="BN511">
        <v>29791031</v>
      </c>
      <c r="BO511" t="s">
        <v>661</v>
      </c>
      <c r="BP511" t="s">
        <v>74</v>
      </c>
      <c r="BQ511" t="s">
        <v>74</v>
      </c>
      <c r="BR511" t="s">
        <v>104</v>
      </c>
      <c r="BS511" t="s">
        <v>10132</v>
      </c>
      <c r="BT511" t="str">
        <f>HYPERLINK("https%3A%2F%2Fwww.webofscience.com%2Fwos%2Fwoscc%2Ffull-record%2FWOS:000441860300008","View Full Record in Web of Science")</f>
        <v>View Full Record in Web of Science</v>
      </c>
    </row>
    <row r="512" spans="1:72" x14ac:dyDescent="0.15">
      <c r="A512" t="s">
        <v>72</v>
      </c>
      <c r="B512" t="s">
        <v>10133</v>
      </c>
      <c r="C512" t="s">
        <v>74</v>
      </c>
      <c r="D512" t="s">
        <v>74</v>
      </c>
      <c r="E512" t="s">
        <v>74</v>
      </c>
      <c r="F512" t="s">
        <v>10134</v>
      </c>
      <c r="G512" t="s">
        <v>74</v>
      </c>
      <c r="H512" t="s">
        <v>74</v>
      </c>
      <c r="I512" t="s">
        <v>10135</v>
      </c>
      <c r="J512" t="s">
        <v>9692</v>
      </c>
      <c r="K512" t="s">
        <v>74</v>
      </c>
      <c r="L512" t="s">
        <v>74</v>
      </c>
      <c r="M512" t="s">
        <v>78</v>
      </c>
      <c r="N512" t="s">
        <v>79</v>
      </c>
      <c r="O512" t="s">
        <v>74</v>
      </c>
      <c r="P512" t="s">
        <v>74</v>
      </c>
      <c r="Q512" t="s">
        <v>74</v>
      </c>
      <c r="R512" t="s">
        <v>74</v>
      </c>
      <c r="S512" t="s">
        <v>74</v>
      </c>
      <c r="T512" t="s">
        <v>10136</v>
      </c>
      <c r="U512" t="s">
        <v>10137</v>
      </c>
      <c r="V512" t="s">
        <v>10138</v>
      </c>
      <c r="W512" t="s">
        <v>10139</v>
      </c>
      <c r="X512" t="s">
        <v>7061</v>
      </c>
      <c r="Y512" t="s">
        <v>10140</v>
      </c>
      <c r="Z512" t="s">
        <v>10141</v>
      </c>
      <c r="AA512" t="s">
        <v>10142</v>
      </c>
      <c r="AB512" t="s">
        <v>10143</v>
      </c>
      <c r="AC512" t="s">
        <v>10144</v>
      </c>
      <c r="AD512" t="s">
        <v>10144</v>
      </c>
      <c r="AE512" t="s">
        <v>10145</v>
      </c>
      <c r="AF512" t="s">
        <v>74</v>
      </c>
      <c r="AG512">
        <v>80</v>
      </c>
      <c r="AH512">
        <v>6</v>
      </c>
      <c r="AI512">
        <v>6</v>
      </c>
      <c r="AJ512">
        <v>0</v>
      </c>
      <c r="AK512">
        <v>25</v>
      </c>
      <c r="AL512" t="s">
        <v>149</v>
      </c>
      <c r="AM512" t="s">
        <v>93</v>
      </c>
      <c r="AN512" t="s">
        <v>150</v>
      </c>
      <c r="AO512" t="s">
        <v>9693</v>
      </c>
      <c r="AP512" t="s">
        <v>9694</v>
      </c>
      <c r="AQ512" t="s">
        <v>74</v>
      </c>
      <c r="AR512" t="s">
        <v>9695</v>
      </c>
      <c r="AS512" t="s">
        <v>9696</v>
      </c>
      <c r="AT512" t="s">
        <v>9050</v>
      </c>
      <c r="AU512">
        <v>2018</v>
      </c>
      <c r="AV512">
        <v>133</v>
      </c>
      <c r="AW512" t="s">
        <v>74</v>
      </c>
      <c r="AX512" t="s">
        <v>74</v>
      </c>
      <c r="AY512" t="s">
        <v>74</v>
      </c>
      <c r="AZ512" t="s">
        <v>74</v>
      </c>
      <c r="BA512" t="s">
        <v>74</v>
      </c>
      <c r="BB512">
        <v>209</v>
      </c>
      <c r="BC512">
        <v>217</v>
      </c>
      <c r="BD512" t="s">
        <v>74</v>
      </c>
      <c r="BE512" t="s">
        <v>10146</v>
      </c>
      <c r="BF512" t="str">
        <f>HYPERLINK("http://dx.doi.org/10.1016/j.marpolbul.2018.05.040","http://dx.doi.org/10.1016/j.marpolbul.2018.05.040")</f>
        <v>http://dx.doi.org/10.1016/j.marpolbul.2018.05.040</v>
      </c>
      <c r="BG512" t="s">
        <v>74</v>
      </c>
      <c r="BH512" t="s">
        <v>74</v>
      </c>
      <c r="BI512">
        <v>9</v>
      </c>
      <c r="BJ512" t="s">
        <v>3450</v>
      </c>
      <c r="BK512" t="s">
        <v>101</v>
      </c>
      <c r="BL512" t="s">
        <v>3451</v>
      </c>
      <c r="BM512" t="s">
        <v>9697</v>
      </c>
      <c r="BN512">
        <v>30041308</v>
      </c>
      <c r="BO512" t="s">
        <v>74</v>
      </c>
      <c r="BP512" t="s">
        <v>74</v>
      </c>
      <c r="BQ512" t="s">
        <v>74</v>
      </c>
      <c r="BR512" t="s">
        <v>104</v>
      </c>
      <c r="BS512" t="s">
        <v>10147</v>
      </c>
      <c r="BT512" t="str">
        <f>HYPERLINK("https%3A%2F%2Fwww.webofscience.com%2Fwos%2Fwoscc%2Ffull-record%2FWOS:000441853600021","View Full Record in Web of Science")</f>
        <v>View Full Record in Web of Science</v>
      </c>
    </row>
    <row r="513" spans="1:72" x14ac:dyDescent="0.15">
      <c r="A513" t="s">
        <v>72</v>
      </c>
      <c r="B513" t="s">
        <v>10148</v>
      </c>
      <c r="C513" t="s">
        <v>74</v>
      </c>
      <c r="D513" t="s">
        <v>74</v>
      </c>
      <c r="E513" t="s">
        <v>74</v>
      </c>
      <c r="F513" t="s">
        <v>10149</v>
      </c>
      <c r="G513" t="s">
        <v>74</v>
      </c>
      <c r="H513" t="s">
        <v>74</v>
      </c>
      <c r="I513" t="s">
        <v>10150</v>
      </c>
      <c r="J513" t="s">
        <v>9692</v>
      </c>
      <c r="K513" t="s">
        <v>74</v>
      </c>
      <c r="L513" t="s">
        <v>74</v>
      </c>
      <c r="M513" t="s">
        <v>78</v>
      </c>
      <c r="N513" t="s">
        <v>79</v>
      </c>
      <c r="O513" t="s">
        <v>74</v>
      </c>
      <c r="P513" t="s">
        <v>74</v>
      </c>
      <c r="Q513" t="s">
        <v>74</v>
      </c>
      <c r="R513" t="s">
        <v>74</v>
      </c>
      <c r="S513" t="s">
        <v>74</v>
      </c>
      <c r="T513" t="s">
        <v>10151</v>
      </c>
      <c r="U513" t="s">
        <v>10152</v>
      </c>
      <c r="V513" t="s">
        <v>10153</v>
      </c>
      <c r="W513" t="s">
        <v>10154</v>
      </c>
      <c r="X513" t="s">
        <v>8530</v>
      </c>
      <c r="Y513" t="s">
        <v>10155</v>
      </c>
      <c r="Z513" t="s">
        <v>10156</v>
      </c>
      <c r="AA513" t="s">
        <v>10157</v>
      </c>
      <c r="AB513" t="s">
        <v>10158</v>
      </c>
      <c r="AC513" t="s">
        <v>10159</v>
      </c>
      <c r="AD513" t="s">
        <v>10160</v>
      </c>
      <c r="AE513" t="s">
        <v>10161</v>
      </c>
      <c r="AF513" t="s">
        <v>74</v>
      </c>
      <c r="AG513">
        <v>49</v>
      </c>
      <c r="AH513">
        <v>11</v>
      </c>
      <c r="AI513">
        <v>12</v>
      </c>
      <c r="AJ513">
        <v>1</v>
      </c>
      <c r="AK513">
        <v>53</v>
      </c>
      <c r="AL513" t="s">
        <v>149</v>
      </c>
      <c r="AM513" t="s">
        <v>93</v>
      </c>
      <c r="AN513" t="s">
        <v>150</v>
      </c>
      <c r="AO513" t="s">
        <v>9693</v>
      </c>
      <c r="AP513" t="s">
        <v>9694</v>
      </c>
      <c r="AQ513" t="s">
        <v>74</v>
      </c>
      <c r="AR513" t="s">
        <v>9695</v>
      </c>
      <c r="AS513" t="s">
        <v>9696</v>
      </c>
      <c r="AT513" t="s">
        <v>9050</v>
      </c>
      <c r="AU513">
        <v>2018</v>
      </c>
      <c r="AV513">
        <v>133</v>
      </c>
      <c r="AW513" t="s">
        <v>74</v>
      </c>
      <c r="AX513" t="s">
        <v>74</v>
      </c>
      <c r="AY513" t="s">
        <v>74</v>
      </c>
      <c r="AZ513" t="s">
        <v>74</v>
      </c>
      <c r="BA513" t="s">
        <v>74</v>
      </c>
      <c r="BB513">
        <v>448</v>
      </c>
      <c r="BC513">
        <v>459</v>
      </c>
      <c r="BD513" t="s">
        <v>74</v>
      </c>
      <c r="BE513" t="s">
        <v>10162</v>
      </c>
      <c r="BF513" t="str">
        <f>HYPERLINK("http://dx.doi.org/10.1016/j.marpolbul.2018.05.045","http://dx.doi.org/10.1016/j.marpolbul.2018.05.045")</f>
        <v>http://dx.doi.org/10.1016/j.marpolbul.2018.05.045</v>
      </c>
      <c r="BG513" t="s">
        <v>74</v>
      </c>
      <c r="BH513" t="s">
        <v>74</v>
      </c>
      <c r="BI513">
        <v>12</v>
      </c>
      <c r="BJ513" t="s">
        <v>3450</v>
      </c>
      <c r="BK513" t="s">
        <v>101</v>
      </c>
      <c r="BL513" t="s">
        <v>3451</v>
      </c>
      <c r="BM513" t="s">
        <v>9697</v>
      </c>
      <c r="BN513">
        <v>30041336</v>
      </c>
      <c r="BO513" t="s">
        <v>74</v>
      </c>
      <c r="BP513" t="s">
        <v>74</v>
      </c>
      <c r="BQ513" t="s">
        <v>74</v>
      </c>
      <c r="BR513" t="s">
        <v>104</v>
      </c>
      <c r="BS513" t="s">
        <v>10163</v>
      </c>
      <c r="BT513" t="str">
        <f>HYPERLINK("https%3A%2F%2Fwww.webofscience.com%2Fwos%2Fwoscc%2Ffull-record%2FWOS:000441853600047","View Full Record in Web of Science")</f>
        <v>View Full Record in Web of Science</v>
      </c>
    </row>
    <row r="514" spans="1:72" x14ac:dyDescent="0.15">
      <c r="A514" t="s">
        <v>72</v>
      </c>
      <c r="B514" t="s">
        <v>10164</v>
      </c>
      <c r="C514" t="s">
        <v>74</v>
      </c>
      <c r="D514" t="s">
        <v>74</v>
      </c>
      <c r="E514" t="s">
        <v>74</v>
      </c>
      <c r="F514" t="s">
        <v>10165</v>
      </c>
      <c r="G514" t="s">
        <v>74</v>
      </c>
      <c r="H514" t="s">
        <v>74</v>
      </c>
      <c r="I514" t="s">
        <v>10166</v>
      </c>
      <c r="J514" t="s">
        <v>9692</v>
      </c>
      <c r="K514" t="s">
        <v>74</v>
      </c>
      <c r="L514" t="s">
        <v>74</v>
      </c>
      <c r="M514" t="s">
        <v>78</v>
      </c>
      <c r="N514" t="s">
        <v>79</v>
      </c>
      <c r="O514" t="s">
        <v>74</v>
      </c>
      <c r="P514" t="s">
        <v>74</v>
      </c>
      <c r="Q514" t="s">
        <v>74</v>
      </c>
      <c r="R514" t="s">
        <v>74</v>
      </c>
      <c r="S514" t="s">
        <v>74</v>
      </c>
      <c r="T514" t="s">
        <v>10167</v>
      </c>
      <c r="U514" t="s">
        <v>10168</v>
      </c>
      <c r="V514" t="s">
        <v>10169</v>
      </c>
      <c r="W514" t="s">
        <v>10170</v>
      </c>
      <c r="X514" t="s">
        <v>10171</v>
      </c>
      <c r="Y514" t="s">
        <v>10172</v>
      </c>
      <c r="Z514" t="s">
        <v>10173</v>
      </c>
      <c r="AA514" t="s">
        <v>10174</v>
      </c>
      <c r="AB514" t="s">
        <v>10175</v>
      </c>
      <c r="AC514" t="s">
        <v>10176</v>
      </c>
      <c r="AD514" t="s">
        <v>10177</v>
      </c>
      <c r="AE514" t="s">
        <v>10178</v>
      </c>
      <c r="AF514" t="s">
        <v>74</v>
      </c>
      <c r="AG514">
        <v>58</v>
      </c>
      <c r="AH514">
        <v>25</v>
      </c>
      <c r="AI514">
        <v>27</v>
      </c>
      <c r="AJ514">
        <v>1</v>
      </c>
      <c r="AK514">
        <v>50</v>
      </c>
      <c r="AL514" t="s">
        <v>149</v>
      </c>
      <c r="AM514" t="s">
        <v>93</v>
      </c>
      <c r="AN514" t="s">
        <v>150</v>
      </c>
      <c r="AO514" t="s">
        <v>9693</v>
      </c>
      <c r="AP514" t="s">
        <v>9694</v>
      </c>
      <c r="AQ514" t="s">
        <v>74</v>
      </c>
      <c r="AR514" t="s">
        <v>9695</v>
      </c>
      <c r="AS514" t="s">
        <v>9696</v>
      </c>
      <c r="AT514" t="s">
        <v>9050</v>
      </c>
      <c r="AU514">
        <v>2018</v>
      </c>
      <c r="AV514">
        <v>133</v>
      </c>
      <c r="AW514" t="s">
        <v>74</v>
      </c>
      <c r="AX514" t="s">
        <v>74</v>
      </c>
      <c r="AY514" t="s">
        <v>74</v>
      </c>
      <c r="AZ514" t="s">
        <v>74</v>
      </c>
      <c r="BA514" t="s">
        <v>74</v>
      </c>
      <c r="BB514">
        <v>616</v>
      </c>
      <c r="BC514">
        <v>621</v>
      </c>
      <c r="BD514" t="s">
        <v>74</v>
      </c>
      <c r="BE514" t="s">
        <v>10179</v>
      </c>
      <c r="BF514" t="str">
        <f>HYPERLINK("http://dx.doi.org/10.1016/j.marpolbul.2018.06.023","http://dx.doi.org/10.1016/j.marpolbul.2018.06.023")</f>
        <v>http://dx.doi.org/10.1016/j.marpolbul.2018.06.023</v>
      </c>
      <c r="BG514" t="s">
        <v>74</v>
      </c>
      <c r="BH514" t="s">
        <v>74</v>
      </c>
      <c r="BI514">
        <v>6</v>
      </c>
      <c r="BJ514" t="s">
        <v>3450</v>
      </c>
      <c r="BK514" t="s">
        <v>101</v>
      </c>
      <c r="BL514" t="s">
        <v>3451</v>
      </c>
      <c r="BM514" t="s">
        <v>9697</v>
      </c>
      <c r="BN514">
        <v>30041356</v>
      </c>
      <c r="BO514" t="s">
        <v>740</v>
      </c>
      <c r="BP514" t="s">
        <v>74</v>
      </c>
      <c r="BQ514" t="s">
        <v>74</v>
      </c>
      <c r="BR514" t="s">
        <v>104</v>
      </c>
      <c r="BS514" t="s">
        <v>10180</v>
      </c>
      <c r="BT514" t="str">
        <f>HYPERLINK("https%3A%2F%2Fwww.webofscience.com%2Fwos%2Fwoscc%2Ffull-record%2FWOS:000441853600066","View Full Record in Web of Science")</f>
        <v>View Full Record in Web of Science</v>
      </c>
    </row>
    <row r="515" spans="1:72" x14ac:dyDescent="0.15">
      <c r="A515" t="s">
        <v>72</v>
      </c>
      <c r="B515" t="s">
        <v>10181</v>
      </c>
      <c r="C515" t="s">
        <v>74</v>
      </c>
      <c r="D515" t="s">
        <v>74</v>
      </c>
      <c r="E515" t="s">
        <v>74</v>
      </c>
      <c r="F515" t="s">
        <v>10182</v>
      </c>
      <c r="G515" t="s">
        <v>74</v>
      </c>
      <c r="H515" t="s">
        <v>74</v>
      </c>
      <c r="I515" t="s">
        <v>10183</v>
      </c>
      <c r="J515" t="s">
        <v>10184</v>
      </c>
      <c r="K515" t="s">
        <v>74</v>
      </c>
      <c r="L515" t="s">
        <v>74</v>
      </c>
      <c r="M515" t="s">
        <v>78</v>
      </c>
      <c r="N515" t="s">
        <v>79</v>
      </c>
      <c r="O515" t="s">
        <v>74</v>
      </c>
      <c r="P515" t="s">
        <v>74</v>
      </c>
      <c r="Q515" t="s">
        <v>74</v>
      </c>
      <c r="R515" t="s">
        <v>74</v>
      </c>
      <c r="S515" t="s">
        <v>74</v>
      </c>
      <c r="T515" t="s">
        <v>10185</v>
      </c>
      <c r="U515" t="s">
        <v>10186</v>
      </c>
      <c r="V515" t="s">
        <v>10187</v>
      </c>
      <c r="W515" t="s">
        <v>10188</v>
      </c>
      <c r="X515" t="s">
        <v>10189</v>
      </c>
      <c r="Y515" t="s">
        <v>10190</v>
      </c>
      <c r="Z515" t="s">
        <v>10191</v>
      </c>
      <c r="AA515" t="s">
        <v>10192</v>
      </c>
      <c r="AB515" t="s">
        <v>10193</v>
      </c>
      <c r="AC515" t="s">
        <v>10194</v>
      </c>
      <c r="AD515" t="s">
        <v>10195</v>
      </c>
      <c r="AE515" t="s">
        <v>10196</v>
      </c>
      <c r="AF515" t="s">
        <v>74</v>
      </c>
      <c r="AG515">
        <v>74</v>
      </c>
      <c r="AH515">
        <v>7</v>
      </c>
      <c r="AI515">
        <v>7</v>
      </c>
      <c r="AJ515">
        <v>0</v>
      </c>
      <c r="AK515">
        <v>21</v>
      </c>
      <c r="AL515" t="s">
        <v>337</v>
      </c>
      <c r="AM515" t="s">
        <v>912</v>
      </c>
      <c r="AN515" t="s">
        <v>913</v>
      </c>
      <c r="AO515" t="s">
        <v>10197</v>
      </c>
      <c r="AP515" t="s">
        <v>10198</v>
      </c>
      <c r="AQ515" t="s">
        <v>74</v>
      </c>
      <c r="AR515" t="s">
        <v>10199</v>
      </c>
      <c r="AS515" t="s">
        <v>10200</v>
      </c>
      <c r="AT515" t="s">
        <v>9050</v>
      </c>
      <c r="AU515">
        <v>2018</v>
      </c>
      <c r="AV515">
        <v>30</v>
      </c>
      <c r="AW515">
        <v>4</v>
      </c>
      <c r="AX515" t="s">
        <v>74</v>
      </c>
      <c r="AY515" t="s">
        <v>74</v>
      </c>
      <c r="AZ515" t="s">
        <v>74</v>
      </c>
      <c r="BA515" t="s">
        <v>74</v>
      </c>
      <c r="BB515">
        <v>2485</v>
      </c>
      <c r="BC515">
        <v>2497</v>
      </c>
      <c r="BD515" t="s">
        <v>74</v>
      </c>
      <c r="BE515" t="s">
        <v>10201</v>
      </c>
      <c r="BF515" t="str">
        <f>HYPERLINK("http://dx.doi.org/10.1007/s10811-018-1416-3","http://dx.doi.org/10.1007/s10811-018-1416-3")</f>
        <v>http://dx.doi.org/10.1007/s10811-018-1416-3</v>
      </c>
      <c r="BG515" t="s">
        <v>74</v>
      </c>
      <c r="BH515" t="s">
        <v>74</v>
      </c>
      <c r="BI515">
        <v>13</v>
      </c>
      <c r="BJ515" t="s">
        <v>1035</v>
      </c>
      <c r="BK515" t="s">
        <v>101</v>
      </c>
      <c r="BL515" t="s">
        <v>1035</v>
      </c>
      <c r="BM515" t="s">
        <v>10202</v>
      </c>
      <c r="BN515" t="s">
        <v>74</v>
      </c>
      <c r="BO515" t="s">
        <v>74</v>
      </c>
      <c r="BP515" t="s">
        <v>74</v>
      </c>
      <c r="BQ515" t="s">
        <v>74</v>
      </c>
      <c r="BR515" t="s">
        <v>104</v>
      </c>
      <c r="BS515" t="s">
        <v>10203</v>
      </c>
      <c r="BT515" t="str">
        <f>HYPERLINK("https%3A%2F%2Fwww.webofscience.com%2Fwos%2Fwoscc%2Ffull-record%2FWOS:000440782100029","View Full Record in Web of Science")</f>
        <v>View Full Record in Web of Science</v>
      </c>
    </row>
    <row r="516" spans="1:72" x14ac:dyDescent="0.15">
      <c r="A516" t="s">
        <v>72</v>
      </c>
      <c r="B516" t="s">
        <v>10204</v>
      </c>
      <c r="C516" t="s">
        <v>74</v>
      </c>
      <c r="D516" t="s">
        <v>74</v>
      </c>
      <c r="E516" t="s">
        <v>74</v>
      </c>
      <c r="F516" t="s">
        <v>10205</v>
      </c>
      <c r="G516" t="s">
        <v>74</v>
      </c>
      <c r="H516" t="s">
        <v>74</v>
      </c>
      <c r="I516" t="s">
        <v>10206</v>
      </c>
      <c r="J516" t="s">
        <v>1192</v>
      </c>
      <c r="K516" t="s">
        <v>74</v>
      </c>
      <c r="L516" t="s">
        <v>74</v>
      </c>
      <c r="M516" t="s">
        <v>78</v>
      </c>
      <c r="N516" t="s">
        <v>79</v>
      </c>
      <c r="O516" t="s">
        <v>74</v>
      </c>
      <c r="P516" t="s">
        <v>74</v>
      </c>
      <c r="Q516" t="s">
        <v>74</v>
      </c>
      <c r="R516" t="s">
        <v>74</v>
      </c>
      <c r="S516" t="s">
        <v>74</v>
      </c>
      <c r="T516" t="s">
        <v>10207</v>
      </c>
      <c r="U516" t="s">
        <v>10208</v>
      </c>
      <c r="V516" t="s">
        <v>10209</v>
      </c>
      <c r="W516" t="s">
        <v>10210</v>
      </c>
      <c r="X516" t="s">
        <v>10211</v>
      </c>
      <c r="Y516" t="s">
        <v>10212</v>
      </c>
      <c r="Z516" t="s">
        <v>10213</v>
      </c>
      <c r="AA516" t="s">
        <v>10214</v>
      </c>
      <c r="AB516" t="s">
        <v>10215</v>
      </c>
      <c r="AC516" t="s">
        <v>10216</v>
      </c>
      <c r="AD516" t="s">
        <v>10217</v>
      </c>
      <c r="AE516" t="s">
        <v>10218</v>
      </c>
      <c r="AF516" t="s">
        <v>74</v>
      </c>
      <c r="AG516">
        <v>85</v>
      </c>
      <c r="AH516">
        <v>97</v>
      </c>
      <c r="AI516">
        <v>104</v>
      </c>
      <c r="AJ516">
        <v>2</v>
      </c>
      <c r="AK516">
        <v>43</v>
      </c>
      <c r="AL516" t="s">
        <v>337</v>
      </c>
      <c r="AM516" t="s">
        <v>258</v>
      </c>
      <c r="AN516" t="s">
        <v>387</v>
      </c>
      <c r="AO516" t="s">
        <v>1204</v>
      </c>
      <c r="AP516" t="s">
        <v>1205</v>
      </c>
      <c r="AQ516" t="s">
        <v>74</v>
      </c>
      <c r="AR516" t="s">
        <v>1206</v>
      </c>
      <c r="AS516" t="s">
        <v>1207</v>
      </c>
      <c r="AT516" t="s">
        <v>9050</v>
      </c>
      <c r="AU516">
        <v>2018</v>
      </c>
      <c r="AV516">
        <v>41</v>
      </c>
      <c r="AW516">
        <v>8</v>
      </c>
      <c r="AX516" t="s">
        <v>74</v>
      </c>
      <c r="AY516" t="s">
        <v>74</v>
      </c>
      <c r="AZ516" t="s">
        <v>155</v>
      </c>
      <c r="BA516" t="s">
        <v>74</v>
      </c>
      <c r="BB516">
        <v>1587</v>
      </c>
      <c r="BC516">
        <v>1605</v>
      </c>
      <c r="BD516" t="s">
        <v>74</v>
      </c>
      <c r="BE516" t="s">
        <v>10219</v>
      </c>
      <c r="BF516" t="str">
        <f>HYPERLINK("http://dx.doi.org/10.1007/s00300-018-2299-0","http://dx.doi.org/10.1007/s00300-018-2299-0")</f>
        <v>http://dx.doi.org/10.1007/s00300-018-2299-0</v>
      </c>
      <c r="BG516" t="s">
        <v>74</v>
      </c>
      <c r="BH516" t="s">
        <v>74</v>
      </c>
      <c r="BI516">
        <v>19</v>
      </c>
      <c r="BJ516" t="s">
        <v>1209</v>
      </c>
      <c r="BK516" t="s">
        <v>101</v>
      </c>
      <c r="BL516" t="s">
        <v>1210</v>
      </c>
      <c r="BM516" t="s">
        <v>10220</v>
      </c>
      <c r="BN516" t="s">
        <v>74</v>
      </c>
      <c r="BO516" t="s">
        <v>211</v>
      </c>
      <c r="BP516" t="s">
        <v>74</v>
      </c>
      <c r="BQ516" t="s">
        <v>74</v>
      </c>
      <c r="BR516" t="s">
        <v>104</v>
      </c>
      <c r="BS516" t="s">
        <v>10221</v>
      </c>
      <c r="BT516" t="str">
        <f>HYPERLINK("https%3A%2F%2Fwww.webofscience.com%2Fwos%2Fwoscc%2Ffull-record%2FWOS:000441514400007","View Full Record in Web of Science")</f>
        <v>View Full Record in Web of Science</v>
      </c>
    </row>
    <row r="517" spans="1:72" x14ac:dyDescent="0.15">
      <c r="A517" t="s">
        <v>72</v>
      </c>
      <c r="B517" t="s">
        <v>10222</v>
      </c>
      <c r="C517" t="s">
        <v>74</v>
      </c>
      <c r="D517" t="s">
        <v>74</v>
      </c>
      <c r="E517" t="s">
        <v>74</v>
      </c>
      <c r="F517" t="s">
        <v>10223</v>
      </c>
      <c r="G517" t="s">
        <v>74</v>
      </c>
      <c r="H517" t="s">
        <v>74</v>
      </c>
      <c r="I517" t="s">
        <v>10224</v>
      </c>
      <c r="J517" t="s">
        <v>9103</v>
      </c>
      <c r="K517" t="s">
        <v>74</v>
      </c>
      <c r="L517" t="s">
        <v>74</v>
      </c>
      <c r="M517" t="s">
        <v>78</v>
      </c>
      <c r="N517" t="s">
        <v>79</v>
      </c>
      <c r="O517" t="s">
        <v>74</v>
      </c>
      <c r="P517" t="s">
        <v>74</v>
      </c>
      <c r="Q517" t="s">
        <v>74</v>
      </c>
      <c r="R517" t="s">
        <v>74</v>
      </c>
      <c r="S517" t="s">
        <v>74</v>
      </c>
      <c r="T517" t="s">
        <v>10225</v>
      </c>
      <c r="U517" t="s">
        <v>10226</v>
      </c>
      <c r="V517" t="s">
        <v>10227</v>
      </c>
      <c r="W517" t="s">
        <v>10228</v>
      </c>
      <c r="X517" t="s">
        <v>10229</v>
      </c>
      <c r="Y517" t="s">
        <v>10230</v>
      </c>
      <c r="Z517" t="s">
        <v>10231</v>
      </c>
      <c r="AA517" t="s">
        <v>10232</v>
      </c>
      <c r="AB517" t="s">
        <v>10233</v>
      </c>
      <c r="AC517" t="s">
        <v>10234</v>
      </c>
      <c r="AD517" t="s">
        <v>10235</v>
      </c>
      <c r="AE517" t="s">
        <v>10236</v>
      </c>
      <c r="AF517" t="s">
        <v>74</v>
      </c>
      <c r="AG517">
        <v>32</v>
      </c>
      <c r="AH517">
        <v>7</v>
      </c>
      <c r="AI517">
        <v>8</v>
      </c>
      <c r="AJ517">
        <v>3</v>
      </c>
      <c r="AK517">
        <v>20</v>
      </c>
      <c r="AL517" t="s">
        <v>337</v>
      </c>
      <c r="AM517" t="s">
        <v>258</v>
      </c>
      <c r="AN517" t="s">
        <v>387</v>
      </c>
      <c r="AO517" t="s">
        <v>9115</v>
      </c>
      <c r="AP517" t="s">
        <v>9116</v>
      </c>
      <c r="AQ517" t="s">
        <v>74</v>
      </c>
      <c r="AR517" t="s">
        <v>9117</v>
      </c>
      <c r="AS517" t="s">
        <v>9118</v>
      </c>
      <c r="AT517" t="s">
        <v>9050</v>
      </c>
      <c r="AU517">
        <v>2018</v>
      </c>
      <c r="AV517">
        <v>37</v>
      </c>
      <c r="AW517">
        <v>8</v>
      </c>
      <c r="AX517" t="s">
        <v>74</v>
      </c>
      <c r="AY517" t="s">
        <v>74</v>
      </c>
      <c r="AZ517" t="s">
        <v>74</v>
      </c>
      <c r="BA517" t="s">
        <v>74</v>
      </c>
      <c r="BB517">
        <v>15</v>
      </c>
      <c r="BC517">
        <v>20</v>
      </c>
      <c r="BD517" t="s">
        <v>74</v>
      </c>
      <c r="BE517" t="s">
        <v>10237</v>
      </c>
      <c r="BF517" t="str">
        <f>HYPERLINK("http://dx.doi.org/10.1007/s13131-018-1228-y","http://dx.doi.org/10.1007/s13131-018-1228-y")</f>
        <v>http://dx.doi.org/10.1007/s13131-018-1228-y</v>
      </c>
      <c r="BG517" t="s">
        <v>74</v>
      </c>
      <c r="BH517" t="s">
        <v>74</v>
      </c>
      <c r="BI517">
        <v>6</v>
      </c>
      <c r="BJ517" t="s">
        <v>157</v>
      </c>
      <c r="BK517" t="s">
        <v>101</v>
      </c>
      <c r="BL517" t="s">
        <v>157</v>
      </c>
      <c r="BM517" t="s">
        <v>9120</v>
      </c>
      <c r="BN517" t="s">
        <v>74</v>
      </c>
      <c r="BO517" t="s">
        <v>74</v>
      </c>
      <c r="BP517" t="s">
        <v>74</v>
      </c>
      <c r="BQ517" t="s">
        <v>74</v>
      </c>
      <c r="BR517" t="s">
        <v>104</v>
      </c>
      <c r="BS517" t="s">
        <v>10238</v>
      </c>
      <c r="BT517" t="str">
        <f>HYPERLINK("https%3A%2F%2Fwww.webofscience.com%2Fwos%2Fwoscc%2Ffull-record%2FWOS:000441239100003","View Full Record in Web of Science")</f>
        <v>View Full Record in Web of Science</v>
      </c>
    </row>
    <row r="518" spans="1:72" x14ac:dyDescent="0.15">
      <c r="A518" t="s">
        <v>72</v>
      </c>
      <c r="B518" t="s">
        <v>10239</v>
      </c>
      <c r="C518" t="s">
        <v>74</v>
      </c>
      <c r="D518" t="s">
        <v>74</v>
      </c>
      <c r="E518" t="s">
        <v>74</v>
      </c>
      <c r="F518" t="s">
        <v>10240</v>
      </c>
      <c r="G518" t="s">
        <v>74</v>
      </c>
      <c r="H518" t="s">
        <v>74</v>
      </c>
      <c r="I518" t="s">
        <v>10241</v>
      </c>
      <c r="J518" t="s">
        <v>616</v>
      </c>
      <c r="K518" t="s">
        <v>74</v>
      </c>
      <c r="L518" t="s">
        <v>74</v>
      </c>
      <c r="M518" t="s">
        <v>78</v>
      </c>
      <c r="N518" t="s">
        <v>79</v>
      </c>
      <c r="O518" t="s">
        <v>74</v>
      </c>
      <c r="P518" t="s">
        <v>74</v>
      </c>
      <c r="Q518" t="s">
        <v>74</v>
      </c>
      <c r="R518" t="s">
        <v>74</v>
      </c>
      <c r="S518" t="s">
        <v>74</v>
      </c>
      <c r="T518" t="s">
        <v>10242</v>
      </c>
      <c r="U518" t="s">
        <v>10243</v>
      </c>
      <c r="V518" t="s">
        <v>10244</v>
      </c>
      <c r="W518" t="s">
        <v>10245</v>
      </c>
      <c r="X518" t="s">
        <v>10246</v>
      </c>
      <c r="Y518" t="s">
        <v>10247</v>
      </c>
      <c r="Z518" t="s">
        <v>10248</v>
      </c>
      <c r="AA518" t="s">
        <v>10249</v>
      </c>
      <c r="AB518" t="s">
        <v>10250</v>
      </c>
      <c r="AC518" t="s">
        <v>10251</v>
      </c>
      <c r="AD518" t="s">
        <v>10252</v>
      </c>
      <c r="AE518" t="s">
        <v>10253</v>
      </c>
      <c r="AF518" t="s">
        <v>74</v>
      </c>
      <c r="AG518">
        <v>82</v>
      </c>
      <c r="AH518">
        <v>17</v>
      </c>
      <c r="AI518">
        <v>17</v>
      </c>
      <c r="AJ518">
        <v>9</v>
      </c>
      <c r="AK518">
        <v>78</v>
      </c>
      <c r="AL518" t="s">
        <v>92</v>
      </c>
      <c r="AM518" t="s">
        <v>93</v>
      </c>
      <c r="AN518" t="s">
        <v>94</v>
      </c>
      <c r="AO518" t="s">
        <v>628</v>
      </c>
      <c r="AP518" t="s">
        <v>629</v>
      </c>
      <c r="AQ518" t="s">
        <v>74</v>
      </c>
      <c r="AR518" t="s">
        <v>630</v>
      </c>
      <c r="AS518" t="s">
        <v>631</v>
      </c>
      <c r="AT518" t="s">
        <v>9050</v>
      </c>
      <c r="AU518">
        <v>2018</v>
      </c>
      <c r="AV518">
        <v>94</v>
      </c>
      <c r="AW518">
        <v>8</v>
      </c>
      <c r="AX518" t="s">
        <v>74</v>
      </c>
      <c r="AY518" t="s">
        <v>74</v>
      </c>
      <c r="AZ518" t="s">
        <v>74</v>
      </c>
      <c r="BA518" t="s">
        <v>74</v>
      </c>
      <c r="BB518" t="s">
        <v>74</v>
      </c>
      <c r="BC518" t="s">
        <v>74</v>
      </c>
      <c r="BD518" t="s">
        <v>10254</v>
      </c>
      <c r="BE518" t="s">
        <v>10255</v>
      </c>
      <c r="BF518" t="str">
        <f>HYPERLINK("http://dx.doi.org/10.1093/femsec/fiy109","http://dx.doi.org/10.1093/femsec/fiy109")</f>
        <v>http://dx.doi.org/10.1093/femsec/fiy109</v>
      </c>
      <c r="BG518" t="s">
        <v>74</v>
      </c>
      <c r="BH518" t="s">
        <v>74</v>
      </c>
      <c r="BI518">
        <v>14</v>
      </c>
      <c r="BJ518" t="s">
        <v>344</v>
      </c>
      <c r="BK518" t="s">
        <v>101</v>
      </c>
      <c r="BL518" t="s">
        <v>344</v>
      </c>
      <c r="BM518" t="s">
        <v>10256</v>
      </c>
      <c r="BN518">
        <v>29878114</v>
      </c>
      <c r="BO518" t="s">
        <v>712</v>
      </c>
      <c r="BP518" t="s">
        <v>74</v>
      </c>
      <c r="BQ518" t="s">
        <v>74</v>
      </c>
      <c r="BR518" t="s">
        <v>104</v>
      </c>
      <c r="BS518" t="s">
        <v>10257</v>
      </c>
      <c r="BT518" t="str">
        <f>HYPERLINK("https%3A%2F%2Fwww.webofscience.com%2Fwos%2Fwoscc%2Ffull-record%2FWOS:000441198800019","View Full Record in Web of Science")</f>
        <v>View Full Record in Web of Science</v>
      </c>
    </row>
    <row r="519" spans="1:72" x14ac:dyDescent="0.15">
      <c r="A519" t="s">
        <v>72</v>
      </c>
      <c r="B519" t="s">
        <v>10258</v>
      </c>
      <c r="C519" t="s">
        <v>74</v>
      </c>
      <c r="D519" t="s">
        <v>74</v>
      </c>
      <c r="E519" t="s">
        <v>74</v>
      </c>
      <c r="F519" t="s">
        <v>10259</v>
      </c>
      <c r="G519" t="s">
        <v>74</v>
      </c>
      <c r="H519" t="s">
        <v>74</v>
      </c>
      <c r="I519" t="s">
        <v>10260</v>
      </c>
      <c r="J519" t="s">
        <v>10261</v>
      </c>
      <c r="K519" t="s">
        <v>74</v>
      </c>
      <c r="L519" t="s">
        <v>74</v>
      </c>
      <c r="M519" t="s">
        <v>78</v>
      </c>
      <c r="N519" t="s">
        <v>79</v>
      </c>
      <c r="O519" t="s">
        <v>74</v>
      </c>
      <c r="P519" t="s">
        <v>74</v>
      </c>
      <c r="Q519" t="s">
        <v>74</v>
      </c>
      <c r="R519" t="s">
        <v>74</v>
      </c>
      <c r="S519" t="s">
        <v>74</v>
      </c>
      <c r="T519" t="s">
        <v>10262</v>
      </c>
      <c r="U519" t="s">
        <v>10263</v>
      </c>
      <c r="V519" t="s">
        <v>10264</v>
      </c>
      <c r="W519" t="s">
        <v>10265</v>
      </c>
      <c r="X519" t="s">
        <v>10266</v>
      </c>
      <c r="Y519" t="s">
        <v>10267</v>
      </c>
      <c r="Z519" t="s">
        <v>10268</v>
      </c>
      <c r="AA519" t="s">
        <v>74</v>
      </c>
      <c r="AB519" t="s">
        <v>10269</v>
      </c>
      <c r="AC519" t="s">
        <v>10266</v>
      </c>
      <c r="AD519" t="s">
        <v>10270</v>
      </c>
      <c r="AE519" t="s">
        <v>10271</v>
      </c>
      <c r="AF519" t="s">
        <v>74</v>
      </c>
      <c r="AG519">
        <v>48</v>
      </c>
      <c r="AH519">
        <v>3</v>
      </c>
      <c r="AI519">
        <v>3</v>
      </c>
      <c r="AJ519">
        <v>0</v>
      </c>
      <c r="AK519">
        <v>7</v>
      </c>
      <c r="AL519" t="s">
        <v>337</v>
      </c>
      <c r="AM519" t="s">
        <v>912</v>
      </c>
      <c r="AN519" t="s">
        <v>913</v>
      </c>
      <c r="AO519" t="s">
        <v>10272</v>
      </c>
      <c r="AP519" t="s">
        <v>10273</v>
      </c>
      <c r="AQ519" t="s">
        <v>74</v>
      </c>
      <c r="AR519" t="s">
        <v>10274</v>
      </c>
      <c r="AS519" t="s">
        <v>10275</v>
      </c>
      <c r="AT519" t="s">
        <v>9050</v>
      </c>
      <c r="AU519">
        <v>2018</v>
      </c>
      <c r="AV519">
        <v>18</v>
      </c>
      <c r="AW519">
        <v>4</v>
      </c>
      <c r="AX519" t="s">
        <v>74</v>
      </c>
      <c r="AY519" t="s">
        <v>74</v>
      </c>
      <c r="AZ519" t="s">
        <v>74</v>
      </c>
      <c r="BA519" t="s">
        <v>74</v>
      </c>
      <c r="BB519">
        <v>541</v>
      </c>
      <c r="BC519">
        <v>556</v>
      </c>
      <c r="BD519" t="s">
        <v>74</v>
      </c>
      <c r="BE519" t="s">
        <v>10276</v>
      </c>
      <c r="BF519" t="str">
        <f>HYPERLINK("http://dx.doi.org/10.1007/s10784-018-9403-3","http://dx.doi.org/10.1007/s10784-018-9403-3")</f>
        <v>http://dx.doi.org/10.1007/s10784-018-9403-3</v>
      </c>
      <c r="BG519" t="s">
        <v>74</v>
      </c>
      <c r="BH519" t="s">
        <v>74</v>
      </c>
      <c r="BI519">
        <v>16</v>
      </c>
      <c r="BJ519" t="s">
        <v>10277</v>
      </c>
      <c r="BK519" t="s">
        <v>2020</v>
      </c>
      <c r="BL519" t="s">
        <v>10278</v>
      </c>
      <c r="BM519" t="s">
        <v>10279</v>
      </c>
      <c r="BN519" t="s">
        <v>74</v>
      </c>
      <c r="BO519" t="s">
        <v>1477</v>
      </c>
      <c r="BP519" t="s">
        <v>74</v>
      </c>
      <c r="BQ519" t="s">
        <v>74</v>
      </c>
      <c r="BR519" t="s">
        <v>104</v>
      </c>
      <c r="BS519" t="s">
        <v>10280</v>
      </c>
      <c r="BT519" t="str">
        <f>HYPERLINK("https%3A%2F%2Fwww.webofscience.com%2Fwos%2Fwoscc%2Ffull-record%2FWOS:000441114200005","View Full Record in Web of Science")</f>
        <v>View Full Record in Web of Science</v>
      </c>
    </row>
    <row r="520" spans="1:72" x14ac:dyDescent="0.15">
      <c r="A520" t="s">
        <v>72</v>
      </c>
      <c r="B520" t="s">
        <v>10281</v>
      </c>
      <c r="C520" t="s">
        <v>74</v>
      </c>
      <c r="D520" t="s">
        <v>74</v>
      </c>
      <c r="E520" t="s">
        <v>74</v>
      </c>
      <c r="F520" t="s">
        <v>10282</v>
      </c>
      <c r="G520" t="s">
        <v>74</v>
      </c>
      <c r="H520" t="s">
        <v>74</v>
      </c>
      <c r="I520" t="s">
        <v>10283</v>
      </c>
      <c r="J520" t="s">
        <v>5089</v>
      </c>
      <c r="K520" t="s">
        <v>74</v>
      </c>
      <c r="L520" t="s">
        <v>74</v>
      </c>
      <c r="M520" t="s">
        <v>78</v>
      </c>
      <c r="N520" t="s">
        <v>79</v>
      </c>
      <c r="O520" t="s">
        <v>74</v>
      </c>
      <c r="P520" t="s">
        <v>74</v>
      </c>
      <c r="Q520" t="s">
        <v>74</v>
      </c>
      <c r="R520" t="s">
        <v>74</v>
      </c>
      <c r="S520" t="s">
        <v>74</v>
      </c>
      <c r="T520" t="s">
        <v>10284</v>
      </c>
      <c r="U520" t="s">
        <v>10285</v>
      </c>
      <c r="V520" t="s">
        <v>10286</v>
      </c>
      <c r="W520" t="s">
        <v>10287</v>
      </c>
      <c r="X520" t="s">
        <v>10288</v>
      </c>
      <c r="Y520" t="s">
        <v>10289</v>
      </c>
      <c r="Z520" t="s">
        <v>10290</v>
      </c>
      <c r="AA520" t="s">
        <v>10291</v>
      </c>
      <c r="AB520" t="s">
        <v>10292</v>
      </c>
      <c r="AC520" t="s">
        <v>10293</v>
      </c>
      <c r="AD520" t="s">
        <v>10294</v>
      </c>
      <c r="AE520" t="s">
        <v>10295</v>
      </c>
      <c r="AF520" t="s">
        <v>74</v>
      </c>
      <c r="AG520">
        <v>54</v>
      </c>
      <c r="AH520">
        <v>14</v>
      </c>
      <c r="AI520">
        <v>16</v>
      </c>
      <c r="AJ520">
        <v>2</v>
      </c>
      <c r="AK520">
        <v>17</v>
      </c>
      <c r="AL520" t="s">
        <v>758</v>
      </c>
      <c r="AM520" t="s">
        <v>759</v>
      </c>
      <c r="AN520" t="s">
        <v>760</v>
      </c>
      <c r="AO520" t="s">
        <v>5102</v>
      </c>
      <c r="AP520" t="s">
        <v>5103</v>
      </c>
      <c r="AQ520" t="s">
        <v>74</v>
      </c>
      <c r="AR520" t="s">
        <v>5104</v>
      </c>
      <c r="AS520" t="s">
        <v>5105</v>
      </c>
      <c r="AT520" t="s">
        <v>9050</v>
      </c>
      <c r="AU520">
        <v>2018</v>
      </c>
      <c r="AV520">
        <v>38</v>
      </c>
      <c r="AW520">
        <v>10</v>
      </c>
      <c r="AX520" t="s">
        <v>74</v>
      </c>
      <c r="AY520" t="s">
        <v>74</v>
      </c>
      <c r="AZ520" t="s">
        <v>74</v>
      </c>
      <c r="BA520" t="s">
        <v>74</v>
      </c>
      <c r="BB520">
        <v>3878</v>
      </c>
      <c r="BC520">
        <v>3895</v>
      </c>
      <c r="BD520" t="s">
        <v>74</v>
      </c>
      <c r="BE520" t="s">
        <v>10296</v>
      </c>
      <c r="BF520" t="str">
        <f>HYPERLINK("http://dx.doi.org/10.1002/joc.5541","http://dx.doi.org/10.1002/joc.5541")</f>
        <v>http://dx.doi.org/10.1002/joc.5541</v>
      </c>
      <c r="BG520" t="s">
        <v>74</v>
      </c>
      <c r="BH520" t="s">
        <v>74</v>
      </c>
      <c r="BI520">
        <v>18</v>
      </c>
      <c r="BJ520" t="s">
        <v>369</v>
      </c>
      <c r="BK520" t="s">
        <v>101</v>
      </c>
      <c r="BL520" t="s">
        <v>369</v>
      </c>
      <c r="BM520" t="s">
        <v>10297</v>
      </c>
      <c r="BN520" t="s">
        <v>74</v>
      </c>
      <c r="BO520" t="s">
        <v>7417</v>
      </c>
      <c r="BP520" t="s">
        <v>74</v>
      </c>
      <c r="BQ520" t="s">
        <v>74</v>
      </c>
      <c r="BR520" t="s">
        <v>104</v>
      </c>
      <c r="BS520" t="s">
        <v>10298</v>
      </c>
      <c r="BT520" t="str">
        <f>HYPERLINK("https%3A%2F%2Fwww.webofscience.com%2Fwos%2Fwoscc%2Ffull-record%2FWOS:000440826000009","View Full Record in Web of Science")</f>
        <v>View Full Record in Web of Science</v>
      </c>
    </row>
    <row r="521" spans="1:72" x14ac:dyDescent="0.15">
      <c r="A521" t="s">
        <v>72</v>
      </c>
      <c r="B521" t="s">
        <v>10299</v>
      </c>
      <c r="C521" t="s">
        <v>74</v>
      </c>
      <c r="D521" t="s">
        <v>74</v>
      </c>
      <c r="E521" t="s">
        <v>74</v>
      </c>
      <c r="F521" t="s">
        <v>10300</v>
      </c>
      <c r="G521" t="s">
        <v>74</v>
      </c>
      <c r="H521" t="s">
        <v>74</v>
      </c>
      <c r="I521" t="s">
        <v>10301</v>
      </c>
      <c r="J521" t="s">
        <v>10302</v>
      </c>
      <c r="K521" t="s">
        <v>74</v>
      </c>
      <c r="L521" t="s">
        <v>74</v>
      </c>
      <c r="M521" t="s">
        <v>78</v>
      </c>
      <c r="N521" t="s">
        <v>79</v>
      </c>
      <c r="O521" t="s">
        <v>74</v>
      </c>
      <c r="P521" t="s">
        <v>74</v>
      </c>
      <c r="Q521" t="s">
        <v>74</v>
      </c>
      <c r="R521" t="s">
        <v>74</v>
      </c>
      <c r="S521" t="s">
        <v>74</v>
      </c>
      <c r="T521" t="s">
        <v>10303</v>
      </c>
      <c r="U521" t="s">
        <v>10304</v>
      </c>
      <c r="V521" t="s">
        <v>10305</v>
      </c>
      <c r="W521" t="s">
        <v>10306</v>
      </c>
      <c r="X521" t="s">
        <v>10307</v>
      </c>
      <c r="Y521" t="s">
        <v>10308</v>
      </c>
      <c r="Z521" t="s">
        <v>10309</v>
      </c>
      <c r="AA521" t="s">
        <v>10310</v>
      </c>
      <c r="AB521" t="s">
        <v>10311</v>
      </c>
      <c r="AC521" t="s">
        <v>10312</v>
      </c>
      <c r="AD521" t="s">
        <v>10313</v>
      </c>
      <c r="AE521" t="s">
        <v>10314</v>
      </c>
      <c r="AF521" t="s">
        <v>74</v>
      </c>
      <c r="AG521">
        <v>46</v>
      </c>
      <c r="AH521">
        <v>7</v>
      </c>
      <c r="AI521">
        <v>7</v>
      </c>
      <c r="AJ521">
        <v>2</v>
      </c>
      <c r="AK521">
        <v>12</v>
      </c>
      <c r="AL521" t="s">
        <v>92</v>
      </c>
      <c r="AM521" t="s">
        <v>93</v>
      </c>
      <c r="AN521" t="s">
        <v>94</v>
      </c>
      <c r="AO521" t="s">
        <v>10315</v>
      </c>
      <c r="AP521" t="s">
        <v>10316</v>
      </c>
      <c r="AQ521" t="s">
        <v>74</v>
      </c>
      <c r="AR521" t="s">
        <v>10317</v>
      </c>
      <c r="AS521" t="s">
        <v>10318</v>
      </c>
      <c r="AT521" t="s">
        <v>9050</v>
      </c>
      <c r="AU521">
        <v>2018</v>
      </c>
      <c r="AV521">
        <v>164</v>
      </c>
      <c r="AW521">
        <v>2</v>
      </c>
      <c r="AX521" t="s">
        <v>74</v>
      </c>
      <c r="AY521" t="s">
        <v>74</v>
      </c>
      <c r="AZ521" t="s">
        <v>74</v>
      </c>
      <c r="BA521" t="s">
        <v>74</v>
      </c>
      <c r="BB521">
        <v>127</v>
      </c>
      <c r="BC521">
        <v>140</v>
      </c>
      <c r="BD521" t="s">
        <v>74</v>
      </c>
      <c r="BE521" t="s">
        <v>10319</v>
      </c>
      <c r="BF521" t="str">
        <f>HYPERLINK("http://dx.doi.org/10.1093/jb/mvy035","http://dx.doi.org/10.1093/jb/mvy035")</f>
        <v>http://dx.doi.org/10.1093/jb/mvy035</v>
      </c>
      <c r="BG521" t="s">
        <v>74</v>
      </c>
      <c r="BH521" t="s">
        <v>74</v>
      </c>
      <c r="BI521">
        <v>14</v>
      </c>
      <c r="BJ521" t="s">
        <v>2931</v>
      </c>
      <c r="BK521" t="s">
        <v>101</v>
      </c>
      <c r="BL521" t="s">
        <v>2931</v>
      </c>
      <c r="BM521" t="s">
        <v>10320</v>
      </c>
      <c r="BN521">
        <v>29554278</v>
      </c>
      <c r="BO521" t="s">
        <v>74</v>
      </c>
      <c r="BP521" t="s">
        <v>74</v>
      </c>
      <c r="BQ521" t="s">
        <v>74</v>
      </c>
      <c r="BR521" t="s">
        <v>104</v>
      </c>
      <c r="BS521" t="s">
        <v>10321</v>
      </c>
      <c r="BT521" t="str">
        <f>HYPERLINK("https%3A%2F%2Fwww.webofscience.com%2Fwos%2Fwoscc%2Ffull-record%2FWOS:000440953200006","View Full Record in Web of Science")</f>
        <v>View Full Record in Web of Science</v>
      </c>
    </row>
    <row r="522" spans="1:72" x14ac:dyDescent="0.15">
      <c r="A522" t="s">
        <v>72</v>
      </c>
      <c r="B522" t="s">
        <v>10322</v>
      </c>
      <c r="C522" t="s">
        <v>74</v>
      </c>
      <c r="D522" t="s">
        <v>74</v>
      </c>
      <c r="E522" t="s">
        <v>74</v>
      </c>
      <c r="F522" t="s">
        <v>10323</v>
      </c>
      <c r="G522" t="s">
        <v>74</v>
      </c>
      <c r="H522" t="s">
        <v>74</v>
      </c>
      <c r="I522" t="s">
        <v>10324</v>
      </c>
      <c r="J522" t="s">
        <v>10325</v>
      </c>
      <c r="K522" t="s">
        <v>74</v>
      </c>
      <c r="L522" t="s">
        <v>74</v>
      </c>
      <c r="M522" t="s">
        <v>78</v>
      </c>
      <c r="N522" t="s">
        <v>79</v>
      </c>
      <c r="O522" t="s">
        <v>74</v>
      </c>
      <c r="P522" t="s">
        <v>74</v>
      </c>
      <c r="Q522" t="s">
        <v>74</v>
      </c>
      <c r="R522" t="s">
        <v>74</v>
      </c>
      <c r="S522" t="s">
        <v>74</v>
      </c>
      <c r="T522" t="s">
        <v>10326</v>
      </c>
      <c r="U522" t="s">
        <v>10327</v>
      </c>
      <c r="V522" t="s">
        <v>10328</v>
      </c>
      <c r="W522" t="s">
        <v>10329</v>
      </c>
      <c r="X522" t="s">
        <v>10330</v>
      </c>
      <c r="Y522" t="s">
        <v>10331</v>
      </c>
      <c r="Z522" t="s">
        <v>10332</v>
      </c>
      <c r="AA522" t="s">
        <v>10333</v>
      </c>
      <c r="AB522" t="s">
        <v>10334</v>
      </c>
      <c r="AC522" t="s">
        <v>10335</v>
      </c>
      <c r="AD522" t="s">
        <v>10336</v>
      </c>
      <c r="AE522" t="s">
        <v>10337</v>
      </c>
      <c r="AF522" t="s">
        <v>74</v>
      </c>
      <c r="AG522">
        <v>77</v>
      </c>
      <c r="AH522">
        <v>10</v>
      </c>
      <c r="AI522">
        <v>10</v>
      </c>
      <c r="AJ522">
        <v>1</v>
      </c>
      <c r="AK522">
        <v>33</v>
      </c>
      <c r="AL522" t="s">
        <v>758</v>
      </c>
      <c r="AM522" t="s">
        <v>759</v>
      </c>
      <c r="AN522" t="s">
        <v>760</v>
      </c>
      <c r="AO522" t="s">
        <v>10338</v>
      </c>
      <c r="AP522" t="s">
        <v>10339</v>
      </c>
      <c r="AQ522" t="s">
        <v>74</v>
      </c>
      <c r="AR522" t="s">
        <v>10340</v>
      </c>
      <c r="AS522" t="s">
        <v>10341</v>
      </c>
      <c r="AT522" t="s">
        <v>9050</v>
      </c>
      <c r="AU522">
        <v>2018</v>
      </c>
      <c r="AV522">
        <v>33</v>
      </c>
      <c r="AW522">
        <v>6</v>
      </c>
      <c r="AX522" t="s">
        <v>74</v>
      </c>
      <c r="AY522" t="s">
        <v>74</v>
      </c>
      <c r="AZ522" t="s">
        <v>74</v>
      </c>
      <c r="BA522" t="s">
        <v>74</v>
      </c>
      <c r="BB522">
        <v>689</v>
      </c>
      <c r="BC522">
        <v>701</v>
      </c>
      <c r="BD522" t="s">
        <v>74</v>
      </c>
      <c r="BE522" t="s">
        <v>10342</v>
      </c>
      <c r="BF522" t="str">
        <f>HYPERLINK("http://dx.doi.org/10.1002/jqs.3045","http://dx.doi.org/10.1002/jqs.3045")</f>
        <v>http://dx.doi.org/10.1002/jqs.3045</v>
      </c>
      <c r="BG522" t="s">
        <v>74</v>
      </c>
      <c r="BH522" t="s">
        <v>74</v>
      </c>
      <c r="BI522">
        <v>13</v>
      </c>
      <c r="BJ522" t="s">
        <v>208</v>
      </c>
      <c r="BK522" t="s">
        <v>101</v>
      </c>
      <c r="BL522" t="s">
        <v>209</v>
      </c>
      <c r="BM522" t="s">
        <v>10343</v>
      </c>
      <c r="BN522" t="s">
        <v>74</v>
      </c>
      <c r="BO522" t="s">
        <v>74</v>
      </c>
      <c r="BP522" t="s">
        <v>74</v>
      </c>
      <c r="BQ522" t="s">
        <v>74</v>
      </c>
      <c r="BR522" t="s">
        <v>104</v>
      </c>
      <c r="BS522" t="s">
        <v>10344</v>
      </c>
      <c r="BT522" t="str">
        <f>HYPERLINK("https%3A%2F%2Fwww.webofscience.com%2Fwos%2Fwoscc%2Ffull-record%2FWOS:000440926900007","View Full Record in Web of Science")</f>
        <v>View Full Record in Web of Science</v>
      </c>
    </row>
    <row r="523" spans="1:72" x14ac:dyDescent="0.15">
      <c r="A523" t="s">
        <v>72</v>
      </c>
      <c r="B523" t="s">
        <v>10345</v>
      </c>
      <c r="C523" t="s">
        <v>74</v>
      </c>
      <c r="D523" t="s">
        <v>74</v>
      </c>
      <c r="E523" t="s">
        <v>74</v>
      </c>
      <c r="F523" t="s">
        <v>10346</v>
      </c>
      <c r="G523" t="s">
        <v>74</v>
      </c>
      <c r="H523" t="s">
        <v>74</v>
      </c>
      <c r="I523" t="s">
        <v>10347</v>
      </c>
      <c r="J523" t="s">
        <v>10348</v>
      </c>
      <c r="K523" t="s">
        <v>74</v>
      </c>
      <c r="L523" t="s">
        <v>74</v>
      </c>
      <c r="M523" t="s">
        <v>78</v>
      </c>
      <c r="N523" t="s">
        <v>79</v>
      </c>
      <c r="O523" t="s">
        <v>74</v>
      </c>
      <c r="P523" t="s">
        <v>74</v>
      </c>
      <c r="Q523" t="s">
        <v>74</v>
      </c>
      <c r="R523" t="s">
        <v>74</v>
      </c>
      <c r="S523" t="s">
        <v>74</v>
      </c>
      <c r="T523" t="s">
        <v>10349</v>
      </c>
      <c r="U523" t="s">
        <v>10350</v>
      </c>
      <c r="V523" t="s">
        <v>10351</v>
      </c>
      <c r="W523" t="s">
        <v>10352</v>
      </c>
      <c r="X523" t="s">
        <v>10353</v>
      </c>
      <c r="Y523" t="s">
        <v>10354</v>
      </c>
      <c r="Z523" t="s">
        <v>10355</v>
      </c>
      <c r="AA523" t="s">
        <v>10356</v>
      </c>
      <c r="AB523" t="s">
        <v>10357</v>
      </c>
      <c r="AC523" t="s">
        <v>10358</v>
      </c>
      <c r="AD523" t="s">
        <v>10359</v>
      </c>
      <c r="AE523" t="s">
        <v>10360</v>
      </c>
      <c r="AF523" t="s">
        <v>74</v>
      </c>
      <c r="AG523">
        <v>45</v>
      </c>
      <c r="AH523">
        <v>4</v>
      </c>
      <c r="AI523">
        <v>10</v>
      </c>
      <c r="AJ523">
        <v>4</v>
      </c>
      <c r="AK523">
        <v>25</v>
      </c>
      <c r="AL523" t="s">
        <v>758</v>
      </c>
      <c r="AM523" t="s">
        <v>759</v>
      </c>
      <c r="AN523" t="s">
        <v>760</v>
      </c>
      <c r="AO523" t="s">
        <v>10361</v>
      </c>
      <c r="AP523" t="s">
        <v>10362</v>
      </c>
      <c r="AQ523" t="s">
        <v>74</v>
      </c>
      <c r="AR523" t="s">
        <v>10363</v>
      </c>
      <c r="AS523" t="s">
        <v>10364</v>
      </c>
      <c r="AT523" t="s">
        <v>9050</v>
      </c>
      <c r="AU523">
        <v>2018</v>
      </c>
      <c r="AV523">
        <v>49</v>
      </c>
      <c r="AW523">
        <v>4</v>
      </c>
      <c r="AX523" t="s">
        <v>74</v>
      </c>
      <c r="AY523" t="s">
        <v>74</v>
      </c>
      <c r="AZ523" t="s">
        <v>74</v>
      </c>
      <c r="BA523" t="s">
        <v>74</v>
      </c>
      <c r="BB523">
        <v>761</v>
      </c>
      <c r="BC523">
        <v>769</v>
      </c>
      <c r="BD523" t="s">
        <v>74</v>
      </c>
      <c r="BE523" t="s">
        <v>10365</v>
      </c>
      <c r="BF523" t="str">
        <f>HYPERLINK("http://dx.doi.org/10.1111/jwas.12455","http://dx.doi.org/10.1111/jwas.12455")</f>
        <v>http://dx.doi.org/10.1111/jwas.12455</v>
      </c>
      <c r="BG523" t="s">
        <v>74</v>
      </c>
      <c r="BH523" t="s">
        <v>74</v>
      </c>
      <c r="BI523">
        <v>9</v>
      </c>
      <c r="BJ523" t="s">
        <v>3009</v>
      </c>
      <c r="BK523" t="s">
        <v>101</v>
      </c>
      <c r="BL523" t="s">
        <v>3009</v>
      </c>
      <c r="BM523" t="s">
        <v>10366</v>
      </c>
      <c r="BN523" t="s">
        <v>74</v>
      </c>
      <c r="BO523" t="s">
        <v>74</v>
      </c>
      <c r="BP523" t="s">
        <v>74</v>
      </c>
      <c r="BQ523" t="s">
        <v>74</v>
      </c>
      <c r="BR523" t="s">
        <v>104</v>
      </c>
      <c r="BS523" t="s">
        <v>10367</v>
      </c>
      <c r="BT523" t="str">
        <f>HYPERLINK("https%3A%2F%2Fwww.webofscience.com%2Fwos%2Fwoscc%2Ffull-record%2FWOS:000440844200012","View Full Record in Web of Science")</f>
        <v>View Full Record in Web of Science</v>
      </c>
    </row>
    <row r="524" spans="1:72" x14ac:dyDescent="0.15">
      <c r="A524" t="s">
        <v>72</v>
      </c>
      <c r="B524" t="s">
        <v>10368</v>
      </c>
      <c r="C524" t="s">
        <v>74</v>
      </c>
      <c r="D524" t="s">
        <v>74</v>
      </c>
      <c r="E524" t="s">
        <v>74</v>
      </c>
      <c r="F524" t="s">
        <v>10369</v>
      </c>
      <c r="G524" t="s">
        <v>74</v>
      </c>
      <c r="H524" t="s">
        <v>74</v>
      </c>
      <c r="I524" t="s">
        <v>10370</v>
      </c>
      <c r="J524" t="s">
        <v>10371</v>
      </c>
      <c r="K524" t="s">
        <v>74</v>
      </c>
      <c r="L524" t="s">
        <v>74</v>
      </c>
      <c r="M524" t="s">
        <v>78</v>
      </c>
      <c r="N524" t="s">
        <v>79</v>
      </c>
      <c r="O524" t="s">
        <v>74</v>
      </c>
      <c r="P524" t="s">
        <v>74</v>
      </c>
      <c r="Q524" t="s">
        <v>74</v>
      </c>
      <c r="R524" t="s">
        <v>74</v>
      </c>
      <c r="S524" t="s">
        <v>74</v>
      </c>
      <c r="T524" t="s">
        <v>10372</v>
      </c>
      <c r="U524" t="s">
        <v>10373</v>
      </c>
      <c r="V524" t="s">
        <v>10374</v>
      </c>
      <c r="W524" t="s">
        <v>10375</v>
      </c>
      <c r="X524" t="s">
        <v>10376</v>
      </c>
      <c r="Y524" t="s">
        <v>10377</v>
      </c>
      <c r="Z524" t="s">
        <v>10378</v>
      </c>
      <c r="AA524" t="s">
        <v>10379</v>
      </c>
      <c r="AB524" t="s">
        <v>10380</v>
      </c>
      <c r="AC524" t="s">
        <v>10381</v>
      </c>
      <c r="AD524" t="s">
        <v>10382</v>
      </c>
      <c r="AE524" t="s">
        <v>10383</v>
      </c>
      <c r="AF524" t="s">
        <v>74</v>
      </c>
      <c r="AG524">
        <v>32</v>
      </c>
      <c r="AH524">
        <v>24</v>
      </c>
      <c r="AI524">
        <v>28</v>
      </c>
      <c r="AJ524">
        <v>1</v>
      </c>
      <c r="AK524">
        <v>19</v>
      </c>
      <c r="AL524" t="s">
        <v>758</v>
      </c>
      <c r="AM524" t="s">
        <v>759</v>
      </c>
      <c r="AN524" t="s">
        <v>760</v>
      </c>
      <c r="AO524" t="s">
        <v>10384</v>
      </c>
      <c r="AP524" t="s">
        <v>10385</v>
      </c>
      <c r="AQ524" t="s">
        <v>74</v>
      </c>
      <c r="AR524" t="s">
        <v>10386</v>
      </c>
      <c r="AS524" t="s">
        <v>10387</v>
      </c>
      <c r="AT524" t="s">
        <v>9050</v>
      </c>
      <c r="AU524">
        <v>2018</v>
      </c>
      <c r="AV524">
        <v>9</v>
      </c>
      <c r="AW524">
        <v>8</v>
      </c>
      <c r="AX524" t="s">
        <v>74</v>
      </c>
      <c r="AY524" t="s">
        <v>74</v>
      </c>
      <c r="AZ524" t="s">
        <v>74</v>
      </c>
      <c r="BA524" t="s">
        <v>74</v>
      </c>
      <c r="BB524">
        <v>1853</v>
      </c>
      <c r="BC524">
        <v>1863</v>
      </c>
      <c r="BD524" t="s">
        <v>74</v>
      </c>
      <c r="BE524" t="s">
        <v>10388</v>
      </c>
      <c r="BF524" t="str">
        <f>HYPERLINK("http://dx.doi.org/10.1111/2041-210X.13015","http://dx.doi.org/10.1111/2041-210X.13015")</f>
        <v>http://dx.doi.org/10.1111/2041-210X.13015</v>
      </c>
      <c r="BG524" t="s">
        <v>74</v>
      </c>
      <c r="BH524" t="s">
        <v>74</v>
      </c>
      <c r="BI524">
        <v>11</v>
      </c>
      <c r="BJ524" t="s">
        <v>2087</v>
      </c>
      <c r="BK524" t="s">
        <v>101</v>
      </c>
      <c r="BL524" t="s">
        <v>559</v>
      </c>
      <c r="BM524" t="s">
        <v>10389</v>
      </c>
      <c r="BN524" t="s">
        <v>74</v>
      </c>
      <c r="BO524" t="s">
        <v>3263</v>
      </c>
      <c r="BP524" t="s">
        <v>74</v>
      </c>
      <c r="BQ524" t="s">
        <v>74</v>
      </c>
      <c r="BR524" t="s">
        <v>104</v>
      </c>
      <c r="BS524" t="s">
        <v>10390</v>
      </c>
      <c r="BT524" t="str">
        <f>HYPERLINK("https%3A%2F%2Fwww.webofscience.com%2Fwos%2Fwoscc%2Ffull-record%2FWOS:000440846600007","View Full Record in Web of Science")</f>
        <v>View Full Record in Web of Science</v>
      </c>
    </row>
    <row r="525" spans="1:72" x14ac:dyDescent="0.15">
      <c r="A525" t="s">
        <v>72</v>
      </c>
      <c r="B525" t="s">
        <v>10391</v>
      </c>
      <c r="C525" t="s">
        <v>74</v>
      </c>
      <c r="D525" t="s">
        <v>74</v>
      </c>
      <c r="E525" t="s">
        <v>74</v>
      </c>
      <c r="F525" t="s">
        <v>10392</v>
      </c>
      <c r="G525" t="s">
        <v>74</v>
      </c>
      <c r="H525" t="s">
        <v>74</v>
      </c>
      <c r="I525" t="s">
        <v>10393</v>
      </c>
      <c r="J525" t="s">
        <v>1147</v>
      </c>
      <c r="K525" t="s">
        <v>74</v>
      </c>
      <c r="L525" t="s">
        <v>74</v>
      </c>
      <c r="M525" t="s">
        <v>78</v>
      </c>
      <c r="N525" t="s">
        <v>4341</v>
      </c>
      <c r="O525" t="s">
        <v>74</v>
      </c>
      <c r="P525" t="s">
        <v>74</v>
      </c>
      <c r="Q525" t="s">
        <v>74</v>
      </c>
      <c r="R525" t="s">
        <v>74</v>
      </c>
      <c r="S525" t="s">
        <v>74</v>
      </c>
      <c r="T525" t="s">
        <v>74</v>
      </c>
      <c r="U525" t="s">
        <v>74</v>
      </c>
      <c r="V525" t="s">
        <v>74</v>
      </c>
      <c r="W525" t="s">
        <v>74</v>
      </c>
      <c r="X525" t="s">
        <v>74</v>
      </c>
      <c r="Y525" t="s">
        <v>74</v>
      </c>
      <c r="Z525" t="s">
        <v>74</v>
      </c>
      <c r="AA525" t="s">
        <v>10394</v>
      </c>
      <c r="AB525" t="s">
        <v>10395</v>
      </c>
      <c r="AC525" t="s">
        <v>74</v>
      </c>
      <c r="AD525" t="s">
        <v>74</v>
      </c>
      <c r="AE525" t="s">
        <v>74</v>
      </c>
      <c r="AF525" t="s">
        <v>74</v>
      </c>
      <c r="AG525">
        <v>1</v>
      </c>
      <c r="AH525">
        <v>0</v>
      </c>
      <c r="AI525">
        <v>0</v>
      </c>
      <c r="AJ525">
        <v>0</v>
      </c>
      <c r="AK525">
        <v>8</v>
      </c>
      <c r="AL525" t="s">
        <v>1159</v>
      </c>
      <c r="AM525" t="s">
        <v>258</v>
      </c>
      <c r="AN525" t="s">
        <v>1160</v>
      </c>
      <c r="AO525" t="s">
        <v>1161</v>
      </c>
      <c r="AP525" t="s">
        <v>1162</v>
      </c>
      <c r="AQ525" t="s">
        <v>74</v>
      </c>
      <c r="AR525" t="s">
        <v>1163</v>
      </c>
      <c r="AS525" t="s">
        <v>1164</v>
      </c>
      <c r="AT525" t="s">
        <v>9050</v>
      </c>
      <c r="AU525">
        <v>2018</v>
      </c>
      <c r="AV525">
        <v>11</v>
      </c>
      <c r="AW525">
        <v>8</v>
      </c>
      <c r="AX525" t="s">
        <v>74</v>
      </c>
      <c r="AY525" t="s">
        <v>74</v>
      </c>
      <c r="AZ525" t="s">
        <v>74</v>
      </c>
      <c r="BA525" t="s">
        <v>74</v>
      </c>
      <c r="BB525">
        <v>615</v>
      </c>
      <c r="BC525">
        <v>615</v>
      </c>
      <c r="BD525" t="s">
        <v>74</v>
      </c>
      <c r="BE525" t="s">
        <v>10396</v>
      </c>
      <c r="BF525" t="str">
        <f>HYPERLINK("http://dx.doi.org/10.1038/s41561-018-0185-6","http://dx.doi.org/10.1038/s41561-018-0185-6")</f>
        <v>http://dx.doi.org/10.1038/s41561-018-0185-6</v>
      </c>
      <c r="BG525" t="s">
        <v>74</v>
      </c>
      <c r="BH525" t="s">
        <v>74</v>
      </c>
      <c r="BI525">
        <v>1</v>
      </c>
      <c r="BJ525" t="s">
        <v>182</v>
      </c>
      <c r="BK525" t="s">
        <v>101</v>
      </c>
      <c r="BL525" t="s">
        <v>183</v>
      </c>
      <c r="BM525" t="s">
        <v>10397</v>
      </c>
      <c r="BN525" t="s">
        <v>74</v>
      </c>
      <c r="BO525" t="s">
        <v>712</v>
      </c>
      <c r="BP525" t="s">
        <v>74</v>
      </c>
      <c r="BQ525" t="s">
        <v>74</v>
      </c>
      <c r="BR525" t="s">
        <v>104</v>
      </c>
      <c r="BS525" t="s">
        <v>10398</v>
      </c>
      <c r="BT525" t="str">
        <f>HYPERLINK("https%3A%2F%2Fwww.webofscience.com%2Fwos%2Fwoscc%2Ffull-record%2FWOS:000440301400019","View Full Record in Web of Science")</f>
        <v>View Full Record in Web of Science</v>
      </c>
    </row>
    <row r="526" spans="1:72" x14ac:dyDescent="0.15">
      <c r="A526" t="s">
        <v>72</v>
      </c>
      <c r="B526" t="s">
        <v>10399</v>
      </c>
      <c r="C526" t="s">
        <v>74</v>
      </c>
      <c r="D526" t="s">
        <v>74</v>
      </c>
      <c r="E526" t="s">
        <v>74</v>
      </c>
      <c r="F526" t="s">
        <v>10400</v>
      </c>
      <c r="G526" t="s">
        <v>74</v>
      </c>
      <c r="H526" t="s">
        <v>74</v>
      </c>
      <c r="I526" t="s">
        <v>10401</v>
      </c>
      <c r="J526" t="s">
        <v>10402</v>
      </c>
      <c r="K526" t="s">
        <v>74</v>
      </c>
      <c r="L526" t="s">
        <v>74</v>
      </c>
      <c r="M526" t="s">
        <v>78</v>
      </c>
      <c r="N526" t="s">
        <v>79</v>
      </c>
      <c r="O526" t="s">
        <v>74</v>
      </c>
      <c r="P526" t="s">
        <v>74</v>
      </c>
      <c r="Q526" t="s">
        <v>74</v>
      </c>
      <c r="R526" t="s">
        <v>74</v>
      </c>
      <c r="S526" t="s">
        <v>74</v>
      </c>
      <c r="T526" t="s">
        <v>10403</v>
      </c>
      <c r="U526" t="s">
        <v>10404</v>
      </c>
      <c r="V526" t="s">
        <v>10405</v>
      </c>
      <c r="W526" t="s">
        <v>10406</v>
      </c>
      <c r="X526" t="s">
        <v>10407</v>
      </c>
      <c r="Y526" t="s">
        <v>10408</v>
      </c>
      <c r="Z526" t="s">
        <v>10409</v>
      </c>
      <c r="AA526" t="s">
        <v>10410</v>
      </c>
      <c r="AB526" t="s">
        <v>10411</v>
      </c>
      <c r="AC526" t="s">
        <v>10412</v>
      </c>
      <c r="AD526" t="s">
        <v>10413</v>
      </c>
      <c r="AE526" t="s">
        <v>10414</v>
      </c>
      <c r="AF526" t="s">
        <v>74</v>
      </c>
      <c r="AG526">
        <v>57</v>
      </c>
      <c r="AH526">
        <v>11</v>
      </c>
      <c r="AI526">
        <v>12</v>
      </c>
      <c r="AJ526">
        <v>0</v>
      </c>
      <c r="AK526">
        <v>14</v>
      </c>
      <c r="AL526" t="s">
        <v>92</v>
      </c>
      <c r="AM526" t="s">
        <v>93</v>
      </c>
      <c r="AN526" t="s">
        <v>94</v>
      </c>
      <c r="AO526" t="s">
        <v>10415</v>
      </c>
      <c r="AP526" t="s">
        <v>10416</v>
      </c>
      <c r="AQ526" t="s">
        <v>74</v>
      </c>
      <c r="AR526" t="s">
        <v>10417</v>
      </c>
      <c r="AS526" t="s">
        <v>10418</v>
      </c>
      <c r="AT526" t="s">
        <v>9050</v>
      </c>
      <c r="AU526">
        <v>2018</v>
      </c>
      <c r="AV526">
        <v>183</v>
      </c>
      <c r="AW526">
        <v>4</v>
      </c>
      <c r="AX526" t="s">
        <v>74</v>
      </c>
      <c r="AY526" t="s">
        <v>74</v>
      </c>
      <c r="AZ526" t="s">
        <v>74</v>
      </c>
      <c r="BA526" t="s">
        <v>74</v>
      </c>
      <c r="BB526">
        <v>763</v>
      </c>
      <c r="BC526">
        <v>775</v>
      </c>
      <c r="BD526" t="s">
        <v>74</v>
      </c>
      <c r="BE526" t="s">
        <v>10419</v>
      </c>
      <c r="BF526" t="str">
        <f>HYPERLINK("http://dx.doi.org/10.1093/zoolinnean/zlx089","http://dx.doi.org/10.1093/zoolinnean/zlx089")</f>
        <v>http://dx.doi.org/10.1093/zoolinnean/zlx089</v>
      </c>
      <c r="BG526" t="s">
        <v>74</v>
      </c>
      <c r="BH526" t="s">
        <v>74</v>
      </c>
      <c r="BI526">
        <v>13</v>
      </c>
      <c r="BJ526" t="s">
        <v>2343</v>
      </c>
      <c r="BK526" t="s">
        <v>101</v>
      </c>
      <c r="BL526" t="s">
        <v>2343</v>
      </c>
      <c r="BM526" t="s">
        <v>10420</v>
      </c>
      <c r="BN526" t="s">
        <v>74</v>
      </c>
      <c r="BO526" t="s">
        <v>74</v>
      </c>
      <c r="BP526" t="s">
        <v>74</v>
      </c>
      <c r="BQ526" t="s">
        <v>74</v>
      </c>
      <c r="BR526" t="s">
        <v>104</v>
      </c>
      <c r="BS526" t="s">
        <v>10421</v>
      </c>
      <c r="BT526" t="str">
        <f>HYPERLINK("https%3A%2F%2Fwww.webofscience.com%2Fwos%2Fwoscc%2Ffull-record%2FWOS:000440994600003","View Full Record in Web of Science")</f>
        <v>View Full Record in Web of Science</v>
      </c>
    </row>
    <row r="527" spans="1:72" x14ac:dyDescent="0.15">
      <c r="A527" t="s">
        <v>72</v>
      </c>
      <c r="B527" t="s">
        <v>10422</v>
      </c>
      <c r="C527" t="s">
        <v>74</v>
      </c>
      <c r="D527" t="s">
        <v>74</v>
      </c>
      <c r="E527" t="s">
        <v>74</v>
      </c>
      <c r="F527" t="s">
        <v>10423</v>
      </c>
      <c r="G527" t="s">
        <v>74</v>
      </c>
      <c r="H527" t="s">
        <v>74</v>
      </c>
      <c r="I527" t="s">
        <v>10424</v>
      </c>
      <c r="J527" t="s">
        <v>10425</v>
      </c>
      <c r="K527" t="s">
        <v>74</v>
      </c>
      <c r="L527" t="s">
        <v>74</v>
      </c>
      <c r="M527" t="s">
        <v>78</v>
      </c>
      <c r="N527" t="s">
        <v>79</v>
      </c>
      <c r="O527" t="s">
        <v>74</v>
      </c>
      <c r="P527" t="s">
        <v>74</v>
      </c>
      <c r="Q527" t="s">
        <v>74</v>
      </c>
      <c r="R527" t="s">
        <v>74</v>
      </c>
      <c r="S527" t="s">
        <v>74</v>
      </c>
      <c r="T527" t="s">
        <v>10426</v>
      </c>
      <c r="U527" t="s">
        <v>10427</v>
      </c>
      <c r="V527" t="s">
        <v>10428</v>
      </c>
      <c r="W527" t="s">
        <v>10429</v>
      </c>
      <c r="X527" t="s">
        <v>10430</v>
      </c>
      <c r="Y527" t="s">
        <v>10431</v>
      </c>
      <c r="Z527" t="s">
        <v>10432</v>
      </c>
      <c r="AA527" t="s">
        <v>10433</v>
      </c>
      <c r="AB527" t="s">
        <v>10434</v>
      </c>
      <c r="AC527" t="s">
        <v>74</v>
      </c>
      <c r="AD527" t="s">
        <v>74</v>
      </c>
      <c r="AE527" t="s">
        <v>74</v>
      </c>
      <c r="AF527" t="s">
        <v>74</v>
      </c>
      <c r="AG527">
        <v>15</v>
      </c>
      <c r="AH527">
        <v>8</v>
      </c>
      <c r="AI527">
        <v>8</v>
      </c>
      <c r="AJ527">
        <v>0</v>
      </c>
      <c r="AK527">
        <v>0</v>
      </c>
      <c r="AL527" t="s">
        <v>10435</v>
      </c>
      <c r="AM527" t="s">
        <v>10436</v>
      </c>
      <c r="AN527" t="s">
        <v>10437</v>
      </c>
      <c r="AO527" t="s">
        <v>10438</v>
      </c>
      <c r="AP527" t="s">
        <v>74</v>
      </c>
      <c r="AQ527" t="s">
        <v>74</v>
      </c>
      <c r="AR527" t="s">
        <v>10439</v>
      </c>
      <c r="AS527" t="s">
        <v>10440</v>
      </c>
      <c r="AT527" t="s">
        <v>9050</v>
      </c>
      <c r="AU527">
        <v>2018</v>
      </c>
      <c r="AV527">
        <v>66</v>
      </c>
      <c r="AW527">
        <v>4</v>
      </c>
      <c r="AX527" t="s">
        <v>74</v>
      </c>
      <c r="AY527" t="s">
        <v>74</v>
      </c>
      <c r="AZ527" t="s">
        <v>74</v>
      </c>
      <c r="BA527" t="s">
        <v>74</v>
      </c>
      <c r="BB527">
        <v>509</v>
      </c>
      <c r="BC527">
        <v>521</v>
      </c>
      <c r="BD527" t="s">
        <v>74</v>
      </c>
      <c r="BE527" t="s">
        <v>10441</v>
      </c>
      <c r="BF527" t="str">
        <f>HYPERLINK("http://dx.doi.org/10.1007/s11600-018-0169-3","http://dx.doi.org/10.1007/s11600-018-0169-3")</f>
        <v>http://dx.doi.org/10.1007/s11600-018-0169-3</v>
      </c>
      <c r="BG527" t="s">
        <v>74</v>
      </c>
      <c r="BH527" t="s">
        <v>74</v>
      </c>
      <c r="BI527">
        <v>13</v>
      </c>
      <c r="BJ527" t="s">
        <v>484</v>
      </c>
      <c r="BK527" t="s">
        <v>101</v>
      </c>
      <c r="BL527" t="s">
        <v>484</v>
      </c>
      <c r="BM527" t="s">
        <v>10442</v>
      </c>
      <c r="BN527" t="s">
        <v>74</v>
      </c>
      <c r="BO527" t="s">
        <v>486</v>
      </c>
      <c r="BP527" t="s">
        <v>74</v>
      </c>
      <c r="BQ527" t="s">
        <v>74</v>
      </c>
      <c r="BR527" t="s">
        <v>104</v>
      </c>
      <c r="BS527" t="s">
        <v>10443</v>
      </c>
      <c r="BT527" t="str">
        <f>HYPERLINK("https%3A%2F%2Fwww.webofscience.com%2Fwos%2Fwoscc%2Ffull-record%2FWOS:000440706400006","View Full Record in Web of Science")</f>
        <v>View Full Record in Web of Science</v>
      </c>
    </row>
    <row r="528" spans="1:72" x14ac:dyDescent="0.15">
      <c r="A528" t="s">
        <v>72</v>
      </c>
      <c r="B528" t="s">
        <v>10444</v>
      </c>
      <c r="C528" t="s">
        <v>74</v>
      </c>
      <c r="D528" t="s">
        <v>74</v>
      </c>
      <c r="E528" t="s">
        <v>74</v>
      </c>
      <c r="F528" t="s">
        <v>10445</v>
      </c>
      <c r="G528" t="s">
        <v>74</v>
      </c>
      <c r="H528" t="s">
        <v>74</v>
      </c>
      <c r="I528" t="s">
        <v>10446</v>
      </c>
      <c r="J528" t="s">
        <v>10447</v>
      </c>
      <c r="K528" t="s">
        <v>74</v>
      </c>
      <c r="L528" t="s">
        <v>74</v>
      </c>
      <c r="M528" t="s">
        <v>10448</v>
      </c>
      <c r="N528" t="s">
        <v>1637</v>
      </c>
      <c r="O528" t="s">
        <v>74</v>
      </c>
      <c r="P528" t="s">
        <v>74</v>
      </c>
      <c r="Q528" t="s">
        <v>74</v>
      </c>
      <c r="R528" t="s">
        <v>74</v>
      </c>
      <c r="S528" t="s">
        <v>74</v>
      </c>
      <c r="T528" t="s">
        <v>74</v>
      </c>
      <c r="U528" t="s">
        <v>74</v>
      </c>
      <c r="V528" t="s">
        <v>74</v>
      </c>
      <c r="W528" t="s">
        <v>74</v>
      </c>
      <c r="X528" t="s">
        <v>74</v>
      </c>
      <c r="Y528" t="s">
        <v>74</v>
      </c>
      <c r="Z528" t="s">
        <v>74</v>
      </c>
      <c r="AA528" t="s">
        <v>74</v>
      </c>
      <c r="AB528" t="s">
        <v>74</v>
      </c>
      <c r="AC528" t="s">
        <v>74</v>
      </c>
      <c r="AD528" t="s">
        <v>74</v>
      </c>
      <c r="AE528" t="s">
        <v>74</v>
      </c>
      <c r="AF528" t="s">
        <v>74</v>
      </c>
      <c r="AG528">
        <v>1</v>
      </c>
      <c r="AH528">
        <v>0</v>
      </c>
      <c r="AI528">
        <v>0</v>
      </c>
      <c r="AJ528">
        <v>0</v>
      </c>
      <c r="AK528">
        <v>0</v>
      </c>
      <c r="AL528" t="s">
        <v>10449</v>
      </c>
      <c r="AM528" t="s">
        <v>1131</v>
      </c>
      <c r="AN528" t="s">
        <v>10450</v>
      </c>
      <c r="AO528" t="s">
        <v>10451</v>
      </c>
      <c r="AP528" t="s">
        <v>74</v>
      </c>
      <c r="AQ528" t="s">
        <v>74</v>
      </c>
      <c r="AR528" t="s">
        <v>10452</v>
      </c>
      <c r="AS528" t="s">
        <v>10453</v>
      </c>
      <c r="AT528" t="s">
        <v>9050</v>
      </c>
      <c r="AU528">
        <v>2018</v>
      </c>
      <c r="AV528">
        <v>307</v>
      </c>
      <c r="AW528">
        <v>1</v>
      </c>
      <c r="AX528" t="s">
        <v>74</v>
      </c>
      <c r="AY528" t="s">
        <v>74</v>
      </c>
      <c r="AZ528" t="s">
        <v>74</v>
      </c>
      <c r="BA528" t="s">
        <v>74</v>
      </c>
      <c r="BB528">
        <v>250</v>
      </c>
      <c r="BC528">
        <v>252</v>
      </c>
      <c r="BD528" t="s">
        <v>74</v>
      </c>
      <c r="BE528" t="s">
        <v>10454</v>
      </c>
      <c r="BF528" t="str">
        <f>HYPERLINK("http://dx.doi.org/10.1515/hzhz-2018-1354","http://dx.doi.org/10.1515/hzhz-2018-1354")</f>
        <v>http://dx.doi.org/10.1515/hzhz-2018-1354</v>
      </c>
      <c r="BG528" t="s">
        <v>74</v>
      </c>
      <c r="BH528" t="s">
        <v>74</v>
      </c>
      <c r="BI528">
        <v>3</v>
      </c>
      <c r="BJ528" t="s">
        <v>1646</v>
      </c>
      <c r="BK528" t="s">
        <v>10455</v>
      </c>
      <c r="BL528" t="s">
        <v>1646</v>
      </c>
      <c r="BM528" t="s">
        <v>10456</v>
      </c>
      <c r="BN528" t="s">
        <v>74</v>
      </c>
      <c r="BO528" t="s">
        <v>74</v>
      </c>
      <c r="BP528" t="s">
        <v>74</v>
      </c>
      <c r="BQ528" t="s">
        <v>74</v>
      </c>
      <c r="BR528" t="s">
        <v>104</v>
      </c>
      <c r="BS528" t="s">
        <v>10457</v>
      </c>
      <c r="BT528" t="str">
        <f>HYPERLINK("https%3A%2F%2Fwww.webofscience.com%2Fwos%2Fwoscc%2Ffull-record%2FWOS:000440581700069","View Full Record in Web of Science")</f>
        <v>View Full Record in Web of Science</v>
      </c>
    </row>
    <row r="529" spans="1:72" x14ac:dyDescent="0.15">
      <c r="A529" t="s">
        <v>72</v>
      </c>
      <c r="B529" t="s">
        <v>10458</v>
      </c>
      <c r="C529" t="s">
        <v>74</v>
      </c>
      <c r="D529" t="s">
        <v>74</v>
      </c>
      <c r="E529" t="s">
        <v>74</v>
      </c>
      <c r="F529" t="s">
        <v>10459</v>
      </c>
      <c r="G529" t="s">
        <v>74</v>
      </c>
      <c r="H529" t="s">
        <v>74</v>
      </c>
      <c r="I529" t="s">
        <v>10460</v>
      </c>
      <c r="J529" t="s">
        <v>10461</v>
      </c>
      <c r="K529" t="s">
        <v>74</v>
      </c>
      <c r="L529" t="s">
        <v>74</v>
      </c>
      <c r="M529" t="s">
        <v>78</v>
      </c>
      <c r="N529" t="s">
        <v>79</v>
      </c>
      <c r="O529" t="s">
        <v>74</v>
      </c>
      <c r="P529" t="s">
        <v>74</v>
      </c>
      <c r="Q529" t="s">
        <v>74</v>
      </c>
      <c r="R529" t="s">
        <v>74</v>
      </c>
      <c r="S529" t="s">
        <v>74</v>
      </c>
      <c r="T529" t="s">
        <v>10462</v>
      </c>
      <c r="U529" t="s">
        <v>10463</v>
      </c>
      <c r="V529" t="s">
        <v>10464</v>
      </c>
      <c r="W529" t="s">
        <v>10465</v>
      </c>
      <c r="X529" t="s">
        <v>10466</v>
      </c>
      <c r="Y529" t="s">
        <v>10467</v>
      </c>
      <c r="Z529" t="s">
        <v>10468</v>
      </c>
      <c r="AA529" t="s">
        <v>10469</v>
      </c>
      <c r="AB529" t="s">
        <v>10470</v>
      </c>
      <c r="AC529" t="s">
        <v>10471</v>
      </c>
      <c r="AD529" t="s">
        <v>10472</v>
      </c>
      <c r="AE529" t="s">
        <v>10473</v>
      </c>
      <c r="AF529" t="s">
        <v>74</v>
      </c>
      <c r="AG529">
        <v>94</v>
      </c>
      <c r="AH529">
        <v>10</v>
      </c>
      <c r="AI529">
        <v>10</v>
      </c>
      <c r="AJ529">
        <v>0</v>
      </c>
      <c r="AK529">
        <v>21</v>
      </c>
      <c r="AL529" t="s">
        <v>676</v>
      </c>
      <c r="AM529" t="s">
        <v>677</v>
      </c>
      <c r="AN529" t="s">
        <v>678</v>
      </c>
      <c r="AO529" t="s">
        <v>10474</v>
      </c>
      <c r="AP529" t="s">
        <v>10475</v>
      </c>
      <c r="AQ529" t="s">
        <v>74</v>
      </c>
      <c r="AR529" t="s">
        <v>10476</v>
      </c>
      <c r="AS529" t="s">
        <v>10477</v>
      </c>
      <c r="AT529" t="s">
        <v>9050</v>
      </c>
      <c r="AU529">
        <v>2018</v>
      </c>
      <c r="AV529">
        <v>11</v>
      </c>
      <c r="AW529">
        <v>15</v>
      </c>
      <c r="AX529" t="s">
        <v>74</v>
      </c>
      <c r="AY529" t="s">
        <v>74</v>
      </c>
      <c r="AZ529" t="s">
        <v>74</v>
      </c>
      <c r="BA529" t="s">
        <v>74</v>
      </c>
      <c r="BB529" t="s">
        <v>74</v>
      </c>
      <c r="BC529" t="s">
        <v>74</v>
      </c>
      <c r="BD529">
        <v>416</v>
      </c>
      <c r="BE529" t="s">
        <v>10478</v>
      </c>
      <c r="BF529" t="str">
        <f>HYPERLINK("http://dx.doi.org/10.1007/s12517-018-3755-4","http://dx.doi.org/10.1007/s12517-018-3755-4")</f>
        <v>http://dx.doi.org/10.1007/s12517-018-3755-4</v>
      </c>
      <c r="BG529" t="s">
        <v>74</v>
      </c>
      <c r="BH529" t="s">
        <v>74</v>
      </c>
      <c r="BI529">
        <v>17</v>
      </c>
      <c r="BJ529" t="s">
        <v>182</v>
      </c>
      <c r="BK529" t="s">
        <v>101</v>
      </c>
      <c r="BL529" t="s">
        <v>183</v>
      </c>
      <c r="BM529" t="s">
        <v>10479</v>
      </c>
      <c r="BN529" t="s">
        <v>74</v>
      </c>
      <c r="BO529" t="s">
        <v>74</v>
      </c>
      <c r="BP529" t="s">
        <v>74</v>
      </c>
      <c r="BQ529" t="s">
        <v>74</v>
      </c>
      <c r="BR529" t="s">
        <v>104</v>
      </c>
      <c r="BS529" t="s">
        <v>10480</v>
      </c>
      <c r="BT529" t="str">
        <f>HYPERLINK("https%3A%2F%2Fwww.webofscience.com%2Fwos%2Fwoscc%2Ffull-record%2FWOS:000440492100006","View Full Record in Web of Science")</f>
        <v>View Full Record in Web of Science</v>
      </c>
    </row>
    <row r="530" spans="1:72" x14ac:dyDescent="0.15">
      <c r="A530" t="s">
        <v>72</v>
      </c>
      <c r="B530" t="s">
        <v>10481</v>
      </c>
      <c r="C530" t="s">
        <v>74</v>
      </c>
      <c r="D530" t="s">
        <v>74</v>
      </c>
      <c r="E530" t="s">
        <v>74</v>
      </c>
      <c r="F530" t="s">
        <v>10482</v>
      </c>
      <c r="G530" t="s">
        <v>74</v>
      </c>
      <c r="H530" t="s">
        <v>74</v>
      </c>
      <c r="I530" t="s">
        <v>10483</v>
      </c>
      <c r="J530" t="s">
        <v>1613</v>
      </c>
      <c r="K530" t="s">
        <v>74</v>
      </c>
      <c r="L530" t="s">
        <v>74</v>
      </c>
      <c r="M530" t="s">
        <v>78</v>
      </c>
      <c r="N530" t="s">
        <v>79</v>
      </c>
      <c r="O530" t="s">
        <v>74</v>
      </c>
      <c r="P530" t="s">
        <v>74</v>
      </c>
      <c r="Q530" t="s">
        <v>74</v>
      </c>
      <c r="R530" t="s">
        <v>74</v>
      </c>
      <c r="S530" t="s">
        <v>74</v>
      </c>
      <c r="T530" t="s">
        <v>74</v>
      </c>
      <c r="U530" t="s">
        <v>10484</v>
      </c>
      <c r="V530" t="s">
        <v>10485</v>
      </c>
      <c r="W530" t="s">
        <v>10486</v>
      </c>
      <c r="X530" t="s">
        <v>10487</v>
      </c>
      <c r="Y530" t="s">
        <v>10488</v>
      </c>
      <c r="Z530" t="s">
        <v>10489</v>
      </c>
      <c r="AA530" t="s">
        <v>10490</v>
      </c>
      <c r="AB530" t="s">
        <v>10491</v>
      </c>
      <c r="AC530" t="s">
        <v>10492</v>
      </c>
      <c r="AD530" t="s">
        <v>10493</v>
      </c>
      <c r="AE530" t="s">
        <v>10494</v>
      </c>
      <c r="AF530" t="s">
        <v>74</v>
      </c>
      <c r="AG530">
        <v>42</v>
      </c>
      <c r="AH530">
        <v>5</v>
      </c>
      <c r="AI530">
        <v>6</v>
      </c>
      <c r="AJ530">
        <v>0</v>
      </c>
      <c r="AK530">
        <v>9</v>
      </c>
      <c r="AL530" t="s">
        <v>676</v>
      </c>
      <c r="AM530" t="s">
        <v>677</v>
      </c>
      <c r="AN530" t="s">
        <v>678</v>
      </c>
      <c r="AO530" t="s">
        <v>1625</v>
      </c>
      <c r="AP530" t="s">
        <v>1626</v>
      </c>
      <c r="AQ530" t="s">
        <v>74</v>
      </c>
      <c r="AR530" t="s">
        <v>1627</v>
      </c>
      <c r="AS530" t="s">
        <v>1628</v>
      </c>
      <c r="AT530" t="s">
        <v>9050</v>
      </c>
      <c r="AU530">
        <v>2018</v>
      </c>
      <c r="AV530">
        <v>165</v>
      </c>
      <c r="AW530">
        <v>8</v>
      </c>
      <c r="AX530" t="s">
        <v>74</v>
      </c>
      <c r="AY530" t="s">
        <v>74</v>
      </c>
      <c r="AZ530" t="s">
        <v>74</v>
      </c>
      <c r="BA530" t="s">
        <v>74</v>
      </c>
      <c r="BB530" t="s">
        <v>74</v>
      </c>
      <c r="BC530" t="s">
        <v>74</v>
      </c>
      <c r="BD530">
        <v>137</v>
      </c>
      <c r="BE530" t="s">
        <v>10495</v>
      </c>
      <c r="BF530" t="str">
        <f>HYPERLINK("http://dx.doi.org/10.1007/s00227-018-3389-9","http://dx.doi.org/10.1007/s00227-018-3389-9")</f>
        <v>http://dx.doi.org/10.1007/s00227-018-3389-9</v>
      </c>
      <c r="BG530" t="s">
        <v>74</v>
      </c>
      <c r="BH530" t="s">
        <v>74</v>
      </c>
      <c r="BI530">
        <v>8</v>
      </c>
      <c r="BJ530" t="s">
        <v>1630</v>
      </c>
      <c r="BK530" t="s">
        <v>101</v>
      </c>
      <c r="BL530" t="s">
        <v>1630</v>
      </c>
      <c r="BM530" t="s">
        <v>10496</v>
      </c>
      <c r="BN530" t="s">
        <v>74</v>
      </c>
      <c r="BO530" t="s">
        <v>74</v>
      </c>
      <c r="BP530" t="s">
        <v>74</v>
      </c>
      <c r="BQ530" t="s">
        <v>74</v>
      </c>
      <c r="BR530" t="s">
        <v>104</v>
      </c>
      <c r="BS530" t="s">
        <v>10497</v>
      </c>
      <c r="BT530" t="str">
        <f>HYPERLINK("https%3A%2F%2Fwww.webofscience.com%2Fwos%2Fwoscc%2Ffull-record%2FWOS:000440470300001","View Full Record in Web of Science")</f>
        <v>View Full Record in Web of Science</v>
      </c>
    </row>
    <row r="531" spans="1:72" x14ac:dyDescent="0.15">
      <c r="A531" t="s">
        <v>72</v>
      </c>
      <c r="B531" t="s">
        <v>10498</v>
      </c>
      <c r="C531" t="s">
        <v>74</v>
      </c>
      <c r="D531" t="s">
        <v>74</v>
      </c>
      <c r="E531" t="s">
        <v>74</v>
      </c>
      <c r="F531" t="s">
        <v>10499</v>
      </c>
      <c r="G531" t="s">
        <v>74</v>
      </c>
      <c r="H531" t="s">
        <v>74</v>
      </c>
      <c r="I531" t="s">
        <v>10500</v>
      </c>
      <c r="J531" t="s">
        <v>6649</v>
      </c>
      <c r="K531" t="s">
        <v>74</v>
      </c>
      <c r="L531" t="s">
        <v>74</v>
      </c>
      <c r="M531" t="s">
        <v>78</v>
      </c>
      <c r="N531" t="s">
        <v>79</v>
      </c>
      <c r="O531" t="s">
        <v>74</v>
      </c>
      <c r="P531" t="s">
        <v>74</v>
      </c>
      <c r="Q531" t="s">
        <v>74</v>
      </c>
      <c r="R531" t="s">
        <v>74</v>
      </c>
      <c r="S531" t="s">
        <v>74</v>
      </c>
      <c r="T531" t="s">
        <v>10501</v>
      </c>
      <c r="U531" t="s">
        <v>10502</v>
      </c>
      <c r="V531" t="s">
        <v>10503</v>
      </c>
      <c r="W531" t="s">
        <v>10504</v>
      </c>
      <c r="X531" t="s">
        <v>10505</v>
      </c>
      <c r="Y531" t="s">
        <v>10506</v>
      </c>
      <c r="Z531" t="s">
        <v>10507</v>
      </c>
      <c r="AA531" t="s">
        <v>10508</v>
      </c>
      <c r="AB531" t="s">
        <v>10509</v>
      </c>
      <c r="AC531" t="s">
        <v>10510</v>
      </c>
      <c r="AD531" t="s">
        <v>10511</v>
      </c>
      <c r="AE531" t="s">
        <v>10512</v>
      </c>
      <c r="AF531" t="s">
        <v>74</v>
      </c>
      <c r="AG531">
        <v>83</v>
      </c>
      <c r="AH531">
        <v>48</v>
      </c>
      <c r="AI531">
        <v>49</v>
      </c>
      <c r="AJ531">
        <v>0</v>
      </c>
      <c r="AK531">
        <v>12</v>
      </c>
      <c r="AL531" t="s">
        <v>785</v>
      </c>
      <c r="AM531" t="s">
        <v>786</v>
      </c>
      <c r="AN531" t="s">
        <v>787</v>
      </c>
      <c r="AO531" t="s">
        <v>6660</v>
      </c>
      <c r="AP531" t="s">
        <v>6661</v>
      </c>
      <c r="AQ531" t="s">
        <v>74</v>
      </c>
      <c r="AR531" t="s">
        <v>6662</v>
      </c>
      <c r="AS531" t="s">
        <v>6663</v>
      </c>
      <c r="AT531" t="s">
        <v>9050</v>
      </c>
      <c r="AU531">
        <v>2018</v>
      </c>
      <c r="AV531">
        <v>146</v>
      </c>
      <c r="AW531">
        <v>8</v>
      </c>
      <c r="AX531" t="s">
        <v>74</v>
      </c>
      <c r="AY531" t="s">
        <v>74</v>
      </c>
      <c r="AZ531" t="s">
        <v>74</v>
      </c>
      <c r="BA531" t="s">
        <v>74</v>
      </c>
      <c r="BB531">
        <v>2639</v>
      </c>
      <c r="BC531">
        <v>2666</v>
      </c>
      <c r="BD531" t="s">
        <v>74</v>
      </c>
      <c r="BE531" t="s">
        <v>10513</v>
      </c>
      <c r="BF531" t="str">
        <f>HYPERLINK("http://dx.doi.org/10.1175/MWR-D-17-0386.1","http://dx.doi.org/10.1175/MWR-D-17-0386.1")</f>
        <v>http://dx.doi.org/10.1175/MWR-D-17-0386.1</v>
      </c>
      <c r="BG531" t="s">
        <v>74</v>
      </c>
      <c r="BH531" t="s">
        <v>74</v>
      </c>
      <c r="BI531">
        <v>28</v>
      </c>
      <c r="BJ531" t="s">
        <v>369</v>
      </c>
      <c r="BK531" t="s">
        <v>101</v>
      </c>
      <c r="BL531" t="s">
        <v>369</v>
      </c>
      <c r="BM531" t="s">
        <v>10514</v>
      </c>
      <c r="BN531" t="s">
        <v>74</v>
      </c>
      <c r="BO531" t="s">
        <v>871</v>
      </c>
      <c r="BP531" t="s">
        <v>74</v>
      </c>
      <c r="BQ531" t="s">
        <v>74</v>
      </c>
      <c r="BR531" t="s">
        <v>104</v>
      </c>
      <c r="BS531" t="s">
        <v>10515</v>
      </c>
      <c r="BT531" t="str">
        <f>HYPERLINK("https%3A%2F%2Fwww.webofscience.com%2Fwos%2Fwoscc%2Ffull-record%2FWOS:000440543200001","View Full Record in Web of Science")</f>
        <v>View Full Record in Web of Science</v>
      </c>
    </row>
    <row r="532" spans="1:72" x14ac:dyDescent="0.15">
      <c r="A532" t="s">
        <v>72</v>
      </c>
      <c r="B532" t="s">
        <v>10516</v>
      </c>
      <c r="C532" t="s">
        <v>74</v>
      </c>
      <c r="D532" t="s">
        <v>74</v>
      </c>
      <c r="E532" t="s">
        <v>74</v>
      </c>
      <c r="F532" t="s">
        <v>10517</v>
      </c>
      <c r="G532" t="s">
        <v>74</v>
      </c>
      <c r="H532" t="s">
        <v>74</v>
      </c>
      <c r="I532" t="s">
        <v>10518</v>
      </c>
      <c r="J532" t="s">
        <v>9626</v>
      </c>
      <c r="K532" t="s">
        <v>74</v>
      </c>
      <c r="L532" t="s">
        <v>74</v>
      </c>
      <c r="M532" t="s">
        <v>78</v>
      </c>
      <c r="N532" t="s">
        <v>79</v>
      </c>
      <c r="O532" t="s">
        <v>74</v>
      </c>
      <c r="P532" t="s">
        <v>74</v>
      </c>
      <c r="Q532" t="s">
        <v>74</v>
      </c>
      <c r="R532" t="s">
        <v>74</v>
      </c>
      <c r="S532" t="s">
        <v>74</v>
      </c>
      <c r="T532" t="s">
        <v>10519</v>
      </c>
      <c r="U532" t="s">
        <v>10520</v>
      </c>
      <c r="V532" t="s">
        <v>10521</v>
      </c>
      <c r="W532" t="s">
        <v>10522</v>
      </c>
      <c r="X532" t="s">
        <v>10523</v>
      </c>
      <c r="Y532" t="s">
        <v>10524</v>
      </c>
      <c r="Z532" t="s">
        <v>10525</v>
      </c>
      <c r="AA532" t="s">
        <v>74</v>
      </c>
      <c r="AB532" t="s">
        <v>10526</v>
      </c>
      <c r="AC532" t="s">
        <v>10527</v>
      </c>
      <c r="AD532" t="s">
        <v>10528</v>
      </c>
      <c r="AE532" t="s">
        <v>10529</v>
      </c>
      <c r="AF532" t="s">
        <v>74</v>
      </c>
      <c r="AG532">
        <v>74</v>
      </c>
      <c r="AH532">
        <v>11</v>
      </c>
      <c r="AI532">
        <v>12</v>
      </c>
      <c r="AJ532">
        <v>6</v>
      </c>
      <c r="AK532">
        <v>16</v>
      </c>
      <c r="AL532" t="s">
        <v>430</v>
      </c>
      <c r="AM532" t="s">
        <v>286</v>
      </c>
      <c r="AN532" t="s">
        <v>431</v>
      </c>
      <c r="AO532" t="s">
        <v>9639</v>
      </c>
      <c r="AP532" t="s">
        <v>9640</v>
      </c>
      <c r="AQ532" t="s">
        <v>74</v>
      </c>
      <c r="AR532" t="s">
        <v>9641</v>
      </c>
      <c r="AS532" t="s">
        <v>9642</v>
      </c>
      <c r="AT532" t="s">
        <v>9643</v>
      </c>
      <c r="AU532">
        <v>2018</v>
      </c>
      <c r="AV532">
        <v>402</v>
      </c>
      <c r="AW532" t="s">
        <v>74</v>
      </c>
      <c r="AX532" t="s">
        <v>74</v>
      </c>
      <c r="AY532" t="s">
        <v>74</v>
      </c>
      <c r="AZ532" t="s">
        <v>155</v>
      </c>
      <c r="BA532" t="s">
        <v>74</v>
      </c>
      <c r="BB532">
        <v>17</v>
      </c>
      <c r="BC532">
        <v>32</v>
      </c>
      <c r="BD532" t="s">
        <v>74</v>
      </c>
      <c r="BE532" t="s">
        <v>10530</v>
      </c>
      <c r="BF532" t="str">
        <f>HYPERLINK("http://dx.doi.org/10.1016/j.margeo.2018.02.001","http://dx.doi.org/10.1016/j.margeo.2018.02.001")</f>
        <v>http://dx.doi.org/10.1016/j.margeo.2018.02.001</v>
      </c>
      <c r="BG532" t="s">
        <v>74</v>
      </c>
      <c r="BH532" t="s">
        <v>74</v>
      </c>
      <c r="BI532">
        <v>16</v>
      </c>
      <c r="BJ532" t="s">
        <v>9645</v>
      </c>
      <c r="BK532" t="s">
        <v>101</v>
      </c>
      <c r="BL532" t="s">
        <v>9646</v>
      </c>
      <c r="BM532" t="s">
        <v>9647</v>
      </c>
      <c r="BN532" t="s">
        <v>74</v>
      </c>
      <c r="BO532" t="s">
        <v>1667</v>
      </c>
      <c r="BP532" t="s">
        <v>74</v>
      </c>
      <c r="BQ532" t="s">
        <v>74</v>
      </c>
      <c r="BR532" t="s">
        <v>104</v>
      </c>
      <c r="BS532" t="s">
        <v>10531</v>
      </c>
      <c r="BT532" t="str">
        <f>HYPERLINK("https%3A%2F%2Fwww.webofscience.com%2Fwos%2Fwoscc%2Ffull-record%2FWOS:000440121200003","View Full Record in Web of Science")</f>
        <v>View Full Record in Web of Science</v>
      </c>
    </row>
    <row r="533" spans="1:72" x14ac:dyDescent="0.15">
      <c r="A533" t="s">
        <v>72</v>
      </c>
      <c r="B533" t="s">
        <v>10532</v>
      </c>
      <c r="C533" t="s">
        <v>74</v>
      </c>
      <c r="D533" t="s">
        <v>74</v>
      </c>
      <c r="E533" t="s">
        <v>74</v>
      </c>
      <c r="F533" t="s">
        <v>10533</v>
      </c>
      <c r="G533" t="s">
        <v>74</v>
      </c>
      <c r="H533" t="s">
        <v>74</v>
      </c>
      <c r="I533" t="s">
        <v>10534</v>
      </c>
      <c r="J533" t="s">
        <v>9626</v>
      </c>
      <c r="K533" t="s">
        <v>74</v>
      </c>
      <c r="L533" t="s">
        <v>74</v>
      </c>
      <c r="M533" t="s">
        <v>78</v>
      </c>
      <c r="N533" t="s">
        <v>79</v>
      </c>
      <c r="O533" t="s">
        <v>74</v>
      </c>
      <c r="P533" t="s">
        <v>74</v>
      </c>
      <c r="Q533" t="s">
        <v>74</v>
      </c>
      <c r="R533" t="s">
        <v>74</v>
      </c>
      <c r="S533" t="s">
        <v>74</v>
      </c>
      <c r="T533" t="s">
        <v>10535</v>
      </c>
      <c r="U533" t="s">
        <v>10536</v>
      </c>
      <c r="V533" t="s">
        <v>10537</v>
      </c>
      <c r="W533" t="s">
        <v>10538</v>
      </c>
      <c r="X533" t="s">
        <v>10539</v>
      </c>
      <c r="Y533" t="s">
        <v>10540</v>
      </c>
      <c r="Z533" t="s">
        <v>10541</v>
      </c>
      <c r="AA533" t="s">
        <v>10542</v>
      </c>
      <c r="AB533" t="s">
        <v>10543</v>
      </c>
      <c r="AC533" t="s">
        <v>10544</v>
      </c>
      <c r="AD533" t="s">
        <v>10545</v>
      </c>
      <c r="AE533" t="s">
        <v>10546</v>
      </c>
      <c r="AF533" t="s">
        <v>74</v>
      </c>
      <c r="AG533">
        <v>57</v>
      </c>
      <c r="AH533">
        <v>2</v>
      </c>
      <c r="AI533">
        <v>3</v>
      </c>
      <c r="AJ533">
        <v>0</v>
      </c>
      <c r="AK533">
        <v>5</v>
      </c>
      <c r="AL533" t="s">
        <v>285</v>
      </c>
      <c r="AM533" t="s">
        <v>286</v>
      </c>
      <c r="AN533" t="s">
        <v>287</v>
      </c>
      <c r="AO533" t="s">
        <v>9639</v>
      </c>
      <c r="AP533" t="s">
        <v>9640</v>
      </c>
      <c r="AQ533" t="s">
        <v>74</v>
      </c>
      <c r="AR533" t="s">
        <v>9641</v>
      </c>
      <c r="AS533" t="s">
        <v>9642</v>
      </c>
      <c r="AT533" t="s">
        <v>9643</v>
      </c>
      <c r="AU533">
        <v>2018</v>
      </c>
      <c r="AV533">
        <v>402</v>
      </c>
      <c r="AW533" t="s">
        <v>74</v>
      </c>
      <c r="AX533" t="s">
        <v>74</v>
      </c>
      <c r="AY533" t="s">
        <v>74</v>
      </c>
      <c r="AZ533" t="s">
        <v>155</v>
      </c>
      <c r="BA533" t="s">
        <v>74</v>
      </c>
      <c r="BB533">
        <v>184</v>
      </c>
      <c r="BC533">
        <v>193</v>
      </c>
      <c r="BD533" t="s">
        <v>74</v>
      </c>
      <c r="BE533" t="s">
        <v>10547</v>
      </c>
      <c r="BF533" t="str">
        <f>HYPERLINK("http://dx.doi.org/10.1016/j.margeo.2018.02.014","http://dx.doi.org/10.1016/j.margeo.2018.02.014")</f>
        <v>http://dx.doi.org/10.1016/j.margeo.2018.02.014</v>
      </c>
      <c r="BG533" t="s">
        <v>74</v>
      </c>
      <c r="BH533" t="s">
        <v>74</v>
      </c>
      <c r="BI533">
        <v>10</v>
      </c>
      <c r="BJ533" t="s">
        <v>9645</v>
      </c>
      <c r="BK533" t="s">
        <v>101</v>
      </c>
      <c r="BL533" t="s">
        <v>9646</v>
      </c>
      <c r="BM533" t="s">
        <v>9647</v>
      </c>
      <c r="BN533" t="s">
        <v>74</v>
      </c>
      <c r="BO533" t="s">
        <v>74</v>
      </c>
      <c r="BP533" t="s">
        <v>74</v>
      </c>
      <c r="BQ533" t="s">
        <v>74</v>
      </c>
      <c r="BR533" t="s">
        <v>104</v>
      </c>
      <c r="BS533" t="s">
        <v>10548</v>
      </c>
      <c r="BT533" t="str">
        <f>HYPERLINK("https%3A%2F%2Fwww.webofscience.com%2Fwos%2Fwoscc%2Ffull-record%2FWOS:000440121200014","View Full Record in Web of Science")</f>
        <v>View Full Record in Web of Science</v>
      </c>
    </row>
    <row r="534" spans="1:72" x14ac:dyDescent="0.15">
      <c r="A534" t="s">
        <v>72</v>
      </c>
      <c r="B534" t="s">
        <v>10549</v>
      </c>
      <c r="C534" t="s">
        <v>74</v>
      </c>
      <c r="D534" t="s">
        <v>74</v>
      </c>
      <c r="E534" t="s">
        <v>74</v>
      </c>
      <c r="F534" t="s">
        <v>10550</v>
      </c>
      <c r="G534" t="s">
        <v>74</v>
      </c>
      <c r="H534" t="s">
        <v>74</v>
      </c>
      <c r="I534" t="s">
        <v>10551</v>
      </c>
      <c r="J534" t="s">
        <v>4109</v>
      </c>
      <c r="K534" t="s">
        <v>74</v>
      </c>
      <c r="L534" t="s">
        <v>74</v>
      </c>
      <c r="M534" t="s">
        <v>78</v>
      </c>
      <c r="N534" t="s">
        <v>79</v>
      </c>
      <c r="O534" t="s">
        <v>74</v>
      </c>
      <c r="P534" t="s">
        <v>74</v>
      </c>
      <c r="Q534" t="s">
        <v>74</v>
      </c>
      <c r="R534" t="s">
        <v>74</v>
      </c>
      <c r="S534" t="s">
        <v>74</v>
      </c>
      <c r="T534" t="s">
        <v>74</v>
      </c>
      <c r="U534" t="s">
        <v>10552</v>
      </c>
      <c r="V534" t="s">
        <v>10553</v>
      </c>
      <c r="W534" t="s">
        <v>10554</v>
      </c>
      <c r="X534" t="s">
        <v>10555</v>
      </c>
      <c r="Y534" t="s">
        <v>10556</v>
      </c>
      <c r="Z534" t="s">
        <v>10557</v>
      </c>
      <c r="AA534" t="s">
        <v>10558</v>
      </c>
      <c r="AB534" t="s">
        <v>10559</v>
      </c>
      <c r="AC534" t="s">
        <v>10560</v>
      </c>
      <c r="AD534" t="s">
        <v>10561</v>
      </c>
      <c r="AE534" t="s">
        <v>10562</v>
      </c>
      <c r="AF534" t="s">
        <v>74</v>
      </c>
      <c r="AG534">
        <v>68</v>
      </c>
      <c r="AH534">
        <v>1</v>
      </c>
      <c r="AI534">
        <v>1</v>
      </c>
      <c r="AJ534">
        <v>2</v>
      </c>
      <c r="AK534">
        <v>19</v>
      </c>
      <c r="AL534" t="s">
        <v>1130</v>
      </c>
      <c r="AM534" t="s">
        <v>1131</v>
      </c>
      <c r="AN534" t="s">
        <v>1132</v>
      </c>
      <c r="AO534" t="s">
        <v>4121</v>
      </c>
      <c r="AP534" t="s">
        <v>74</v>
      </c>
      <c r="AQ534" t="s">
        <v>74</v>
      </c>
      <c r="AR534" t="s">
        <v>4122</v>
      </c>
      <c r="AS534" t="s">
        <v>4123</v>
      </c>
      <c r="AT534" t="s">
        <v>9643</v>
      </c>
      <c r="AU534">
        <v>2018</v>
      </c>
      <c r="AV534">
        <v>8</v>
      </c>
      <c r="AW534" t="s">
        <v>74</v>
      </c>
      <c r="AX534" t="s">
        <v>74</v>
      </c>
      <c r="AY534" t="s">
        <v>74</v>
      </c>
      <c r="AZ534" t="s">
        <v>74</v>
      </c>
      <c r="BA534" t="s">
        <v>74</v>
      </c>
      <c r="BB534" t="s">
        <v>74</v>
      </c>
      <c r="BC534" t="s">
        <v>74</v>
      </c>
      <c r="BD534">
        <v>11520</v>
      </c>
      <c r="BE534" t="s">
        <v>10563</v>
      </c>
      <c r="BF534" t="str">
        <f>HYPERLINK("http://dx.doi.org/10.1038/s41598-018-29916-3","http://dx.doi.org/10.1038/s41598-018-29916-3")</f>
        <v>http://dx.doi.org/10.1038/s41598-018-29916-3</v>
      </c>
      <c r="BG534" t="s">
        <v>74</v>
      </c>
      <c r="BH534" t="s">
        <v>74</v>
      </c>
      <c r="BI534">
        <v>10</v>
      </c>
      <c r="BJ534" t="s">
        <v>436</v>
      </c>
      <c r="BK534" t="s">
        <v>101</v>
      </c>
      <c r="BL534" t="s">
        <v>437</v>
      </c>
      <c r="BM534" t="s">
        <v>10564</v>
      </c>
      <c r="BN534">
        <v>30069038</v>
      </c>
      <c r="BO534" t="s">
        <v>1566</v>
      </c>
      <c r="BP534" t="s">
        <v>74</v>
      </c>
      <c r="BQ534" t="s">
        <v>74</v>
      </c>
      <c r="BR534" t="s">
        <v>104</v>
      </c>
      <c r="BS534" t="s">
        <v>10565</v>
      </c>
      <c r="BT534" t="str">
        <f>HYPERLINK("https%3A%2F%2Fwww.webofscience.com%2Fwos%2Fwoscc%2Ffull-record%2FWOS:000440411300005","View Full Record in Web of Science")</f>
        <v>View Full Record in Web of Science</v>
      </c>
    </row>
    <row r="535" spans="1:72" x14ac:dyDescent="0.15">
      <c r="A535" t="s">
        <v>72</v>
      </c>
      <c r="B535" t="s">
        <v>10566</v>
      </c>
      <c r="C535" t="s">
        <v>74</v>
      </c>
      <c r="D535" t="s">
        <v>74</v>
      </c>
      <c r="E535" t="s">
        <v>74</v>
      </c>
      <c r="F535" t="s">
        <v>10567</v>
      </c>
      <c r="G535" t="s">
        <v>74</v>
      </c>
      <c r="H535" t="s">
        <v>74</v>
      </c>
      <c r="I535" t="s">
        <v>10568</v>
      </c>
      <c r="J535" t="s">
        <v>10569</v>
      </c>
      <c r="K535" t="s">
        <v>74</v>
      </c>
      <c r="L535" t="s">
        <v>74</v>
      </c>
      <c r="M535" t="s">
        <v>78</v>
      </c>
      <c r="N535" t="s">
        <v>79</v>
      </c>
      <c r="O535" t="s">
        <v>74</v>
      </c>
      <c r="P535" t="s">
        <v>74</v>
      </c>
      <c r="Q535" t="s">
        <v>74</v>
      </c>
      <c r="R535" t="s">
        <v>74</v>
      </c>
      <c r="S535" t="s">
        <v>74</v>
      </c>
      <c r="T535" t="s">
        <v>10570</v>
      </c>
      <c r="U535" t="s">
        <v>10571</v>
      </c>
      <c r="V535" t="s">
        <v>10572</v>
      </c>
      <c r="W535" t="s">
        <v>10573</v>
      </c>
      <c r="X535" t="s">
        <v>10574</v>
      </c>
      <c r="Y535" t="s">
        <v>10575</v>
      </c>
      <c r="Z535" t="s">
        <v>10576</v>
      </c>
      <c r="AA535" t="s">
        <v>10577</v>
      </c>
      <c r="AB535" t="s">
        <v>10578</v>
      </c>
      <c r="AC535" t="s">
        <v>10579</v>
      </c>
      <c r="AD535" t="s">
        <v>10580</v>
      </c>
      <c r="AE535" t="s">
        <v>10581</v>
      </c>
      <c r="AF535" t="s">
        <v>74</v>
      </c>
      <c r="AG535">
        <v>72</v>
      </c>
      <c r="AH535">
        <v>45</v>
      </c>
      <c r="AI535">
        <v>46</v>
      </c>
      <c r="AJ535">
        <v>1</v>
      </c>
      <c r="AK535">
        <v>26</v>
      </c>
      <c r="AL535" t="s">
        <v>6731</v>
      </c>
      <c r="AM535" t="s">
        <v>6732</v>
      </c>
      <c r="AN535" t="s">
        <v>6733</v>
      </c>
      <c r="AO535" t="s">
        <v>10582</v>
      </c>
      <c r="AP535" t="s">
        <v>10583</v>
      </c>
      <c r="AQ535" t="s">
        <v>74</v>
      </c>
      <c r="AR535" t="s">
        <v>10584</v>
      </c>
      <c r="AS535" t="s">
        <v>10585</v>
      </c>
      <c r="AT535" t="s">
        <v>9050</v>
      </c>
      <c r="AU535">
        <v>2018</v>
      </c>
      <c r="AV535">
        <v>56</v>
      </c>
      <c r="AW535">
        <v>8</v>
      </c>
      <c r="AX535" t="s">
        <v>74</v>
      </c>
      <c r="AY535" t="s">
        <v>74</v>
      </c>
      <c r="AZ535" t="s">
        <v>74</v>
      </c>
      <c r="BA535" t="s">
        <v>74</v>
      </c>
      <c r="BB535">
        <v>4237</v>
      </c>
      <c r="BC535">
        <v>4257</v>
      </c>
      <c r="BD535" t="s">
        <v>74</v>
      </c>
      <c r="BE535" t="s">
        <v>10586</v>
      </c>
      <c r="BF535" t="str">
        <f>HYPERLINK("http://dx.doi.org/10.1109/TGRS.2018.2803216","http://dx.doi.org/10.1109/TGRS.2018.2803216")</f>
        <v>http://dx.doi.org/10.1109/TGRS.2018.2803216</v>
      </c>
      <c r="BG535" t="s">
        <v>74</v>
      </c>
      <c r="BH535" t="s">
        <v>74</v>
      </c>
      <c r="BI535">
        <v>21</v>
      </c>
      <c r="BJ535" t="s">
        <v>6739</v>
      </c>
      <c r="BK535" t="s">
        <v>101</v>
      </c>
      <c r="BL535" t="s">
        <v>6740</v>
      </c>
      <c r="BM535" t="s">
        <v>10587</v>
      </c>
      <c r="BN535" t="s">
        <v>74</v>
      </c>
      <c r="BO535" t="s">
        <v>1142</v>
      </c>
      <c r="BP535" t="s">
        <v>74</v>
      </c>
      <c r="BQ535" t="s">
        <v>74</v>
      </c>
      <c r="BR535" t="s">
        <v>104</v>
      </c>
      <c r="BS535" t="s">
        <v>10588</v>
      </c>
      <c r="BT535" t="str">
        <f>HYPERLINK("https%3A%2F%2Fwww.webofscience.com%2Fwos%2Fwoscc%2Ffull-record%2FWOS:000439980200001","View Full Record in Web of Science")</f>
        <v>View Full Record in Web of Science</v>
      </c>
    </row>
    <row r="536" spans="1:72" x14ac:dyDescent="0.15">
      <c r="A536" t="s">
        <v>72</v>
      </c>
      <c r="B536" t="s">
        <v>10589</v>
      </c>
      <c r="C536" t="s">
        <v>74</v>
      </c>
      <c r="D536" t="s">
        <v>74</v>
      </c>
      <c r="E536" t="s">
        <v>74</v>
      </c>
      <c r="F536" t="s">
        <v>10590</v>
      </c>
      <c r="G536" t="s">
        <v>74</v>
      </c>
      <c r="H536" t="s">
        <v>74</v>
      </c>
      <c r="I536" t="s">
        <v>10591</v>
      </c>
      <c r="J536" t="s">
        <v>1613</v>
      </c>
      <c r="K536" t="s">
        <v>74</v>
      </c>
      <c r="L536" t="s">
        <v>74</v>
      </c>
      <c r="M536" t="s">
        <v>78</v>
      </c>
      <c r="N536" t="s">
        <v>79</v>
      </c>
      <c r="O536" t="s">
        <v>74</v>
      </c>
      <c r="P536" t="s">
        <v>74</v>
      </c>
      <c r="Q536" t="s">
        <v>74</v>
      </c>
      <c r="R536" t="s">
        <v>74</v>
      </c>
      <c r="S536" t="s">
        <v>74</v>
      </c>
      <c r="T536" t="s">
        <v>74</v>
      </c>
      <c r="U536" t="s">
        <v>10592</v>
      </c>
      <c r="V536" t="s">
        <v>10593</v>
      </c>
      <c r="W536" t="s">
        <v>10594</v>
      </c>
      <c r="X536" t="s">
        <v>10595</v>
      </c>
      <c r="Y536" t="s">
        <v>10596</v>
      </c>
      <c r="Z536" t="s">
        <v>10597</v>
      </c>
      <c r="AA536" t="s">
        <v>10598</v>
      </c>
      <c r="AB536" t="s">
        <v>10599</v>
      </c>
      <c r="AC536" t="s">
        <v>74</v>
      </c>
      <c r="AD536" t="s">
        <v>74</v>
      </c>
      <c r="AE536" t="s">
        <v>74</v>
      </c>
      <c r="AF536" t="s">
        <v>74</v>
      </c>
      <c r="AG536">
        <v>53</v>
      </c>
      <c r="AH536">
        <v>7</v>
      </c>
      <c r="AI536">
        <v>7</v>
      </c>
      <c r="AJ536">
        <v>0</v>
      </c>
      <c r="AK536">
        <v>17</v>
      </c>
      <c r="AL536" t="s">
        <v>676</v>
      </c>
      <c r="AM536" t="s">
        <v>677</v>
      </c>
      <c r="AN536" t="s">
        <v>678</v>
      </c>
      <c r="AO536" t="s">
        <v>1625</v>
      </c>
      <c r="AP536" t="s">
        <v>1626</v>
      </c>
      <c r="AQ536" t="s">
        <v>74</v>
      </c>
      <c r="AR536" t="s">
        <v>1627</v>
      </c>
      <c r="AS536" t="s">
        <v>1628</v>
      </c>
      <c r="AT536" t="s">
        <v>9050</v>
      </c>
      <c r="AU536">
        <v>2018</v>
      </c>
      <c r="AV536">
        <v>165</v>
      </c>
      <c r="AW536">
        <v>8</v>
      </c>
      <c r="AX536" t="s">
        <v>74</v>
      </c>
      <c r="AY536" t="s">
        <v>74</v>
      </c>
      <c r="AZ536" t="s">
        <v>74</v>
      </c>
      <c r="BA536" t="s">
        <v>74</v>
      </c>
      <c r="BB536" t="s">
        <v>74</v>
      </c>
      <c r="BC536" t="s">
        <v>74</v>
      </c>
      <c r="BD536">
        <v>132</v>
      </c>
      <c r="BE536" t="s">
        <v>10600</v>
      </c>
      <c r="BF536" t="str">
        <f>HYPERLINK("http://dx.doi.org/10.1007/s00227-018-3393-0","http://dx.doi.org/10.1007/s00227-018-3393-0")</f>
        <v>http://dx.doi.org/10.1007/s00227-018-3393-0</v>
      </c>
      <c r="BG536" t="s">
        <v>74</v>
      </c>
      <c r="BH536" t="s">
        <v>74</v>
      </c>
      <c r="BI536">
        <v>12</v>
      </c>
      <c r="BJ536" t="s">
        <v>1630</v>
      </c>
      <c r="BK536" t="s">
        <v>101</v>
      </c>
      <c r="BL536" t="s">
        <v>1630</v>
      </c>
      <c r="BM536" t="s">
        <v>10601</v>
      </c>
      <c r="BN536" t="s">
        <v>74</v>
      </c>
      <c r="BO536" t="s">
        <v>74</v>
      </c>
      <c r="BP536" t="s">
        <v>74</v>
      </c>
      <c r="BQ536" t="s">
        <v>74</v>
      </c>
      <c r="BR536" t="s">
        <v>104</v>
      </c>
      <c r="BS536" t="s">
        <v>10602</v>
      </c>
      <c r="BT536" t="str">
        <f>HYPERLINK("https%3A%2F%2Fwww.webofscience.com%2Fwos%2Fwoscc%2Ffull-record%2FWOS:000440088800001","View Full Record in Web of Science")</f>
        <v>View Full Record in Web of Science</v>
      </c>
    </row>
    <row r="537" spans="1:72" x14ac:dyDescent="0.15">
      <c r="A537" t="s">
        <v>72</v>
      </c>
      <c r="B537" t="s">
        <v>10603</v>
      </c>
      <c r="C537" t="s">
        <v>74</v>
      </c>
      <c r="D537" t="s">
        <v>74</v>
      </c>
      <c r="E537" t="s">
        <v>74</v>
      </c>
      <c r="F537" t="s">
        <v>10604</v>
      </c>
      <c r="G537" t="s">
        <v>74</v>
      </c>
      <c r="H537" t="s">
        <v>74</v>
      </c>
      <c r="I537" t="s">
        <v>10605</v>
      </c>
      <c r="J537" t="s">
        <v>351</v>
      </c>
      <c r="K537" t="s">
        <v>74</v>
      </c>
      <c r="L537" t="s">
        <v>74</v>
      </c>
      <c r="M537" t="s">
        <v>78</v>
      </c>
      <c r="N537" t="s">
        <v>79</v>
      </c>
      <c r="O537" t="s">
        <v>74</v>
      </c>
      <c r="P537" t="s">
        <v>74</v>
      </c>
      <c r="Q537" t="s">
        <v>74</v>
      </c>
      <c r="R537" t="s">
        <v>74</v>
      </c>
      <c r="S537" t="s">
        <v>74</v>
      </c>
      <c r="T537" t="s">
        <v>10606</v>
      </c>
      <c r="U537" t="s">
        <v>10607</v>
      </c>
      <c r="V537" t="s">
        <v>10608</v>
      </c>
      <c r="W537" t="s">
        <v>10609</v>
      </c>
      <c r="X537" t="s">
        <v>10610</v>
      </c>
      <c r="Y537" t="s">
        <v>10611</v>
      </c>
      <c r="Z537" t="s">
        <v>10612</v>
      </c>
      <c r="AA537" t="s">
        <v>74</v>
      </c>
      <c r="AB537" t="s">
        <v>74</v>
      </c>
      <c r="AC537" t="s">
        <v>10613</v>
      </c>
      <c r="AD537" t="s">
        <v>10614</v>
      </c>
      <c r="AE537" t="s">
        <v>10615</v>
      </c>
      <c r="AF537" t="s">
        <v>74</v>
      </c>
      <c r="AG537">
        <v>67</v>
      </c>
      <c r="AH537">
        <v>21</v>
      </c>
      <c r="AI537">
        <v>21</v>
      </c>
      <c r="AJ537">
        <v>2</v>
      </c>
      <c r="AK537">
        <v>15</v>
      </c>
      <c r="AL537" t="s">
        <v>337</v>
      </c>
      <c r="AM537" t="s">
        <v>258</v>
      </c>
      <c r="AN537" t="s">
        <v>387</v>
      </c>
      <c r="AO537" t="s">
        <v>363</v>
      </c>
      <c r="AP537" t="s">
        <v>364</v>
      </c>
      <c r="AQ537" t="s">
        <v>74</v>
      </c>
      <c r="AR537" t="s">
        <v>365</v>
      </c>
      <c r="AS537" t="s">
        <v>366</v>
      </c>
      <c r="AT537" t="s">
        <v>9050</v>
      </c>
      <c r="AU537">
        <v>2018</v>
      </c>
      <c r="AV537">
        <v>51</v>
      </c>
      <c r="AW537">
        <v>4</v>
      </c>
      <c r="AX537" t="s">
        <v>74</v>
      </c>
      <c r="AY537" t="s">
        <v>74</v>
      </c>
      <c r="AZ537" t="s">
        <v>74</v>
      </c>
      <c r="BA537" t="s">
        <v>74</v>
      </c>
      <c r="BB537">
        <v>1585</v>
      </c>
      <c r="BC537">
        <v>1603</v>
      </c>
      <c r="BD537" t="s">
        <v>74</v>
      </c>
      <c r="BE537" t="s">
        <v>10616</v>
      </c>
      <c r="BF537" t="str">
        <f>HYPERLINK("http://dx.doi.org/10.1007/s00382-017-3972-7","http://dx.doi.org/10.1007/s00382-017-3972-7")</f>
        <v>http://dx.doi.org/10.1007/s00382-017-3972-7</v>
      </c>
      <c r="BG537" t="s">
        <v>74</v>
      </c>
      <c r="BH537" t="s">
        <v>74</v>
      </c>
      <c r="BI537">
        <v>19</v>
      </c>
      <c r="BJ537" t="s">
        <v>369</v>
      </c>
      <c r="BK537" t="s">
        <v>101</v>
      </c>
      <c r="BL537" t="s">
        <v>369</v>
      </c>
      <c r="BM537" t="s">
        <v>10617</v>
      </c>
      <c r="BN537" t="s">
        <v>74</v>
      </c>
      <c r="BO537" t="s">
        <v>74</v>
      </c>
      <c r="BP537" t="s">
        <v>74</v>
      </c>
      <c r="BQ537" t="s">
        <v>74</v>
      </c>
      <c r="BR537" t="s">
        <v>104</v>
      </c>
      <c r="BS537" t="s">
        <v>10618</v>
      </c>
      <c r="BT537" t="str">
        <f>HYPERLINK("https%3A%2F%2Fwww.webofscience.com%2Fwos%2Fwoscc%2Ffull-record%2FWOS:000439440200018","View Full Record in Web of Science")</f>
        <v>View Full Record in Web of Science</v>
      </c>
    </row>
    <row r="538" spans="1:72" x14ac:dyDescent="0.15">
      <c r="A538" t="s">
        <v>72</v>
      </c>
      <c r="B538" t="s">
        <v>10619</v>
      </c>
      <c r="C538" t="s">
        <v>74</v>
      </c>
      <c r="D538" t="s">
        <v>74</v>
      </c>
      <c r="E538" t="s">
        <v>74</v>
      </c>
      <c r="F538" t="s">
        <v>10620</v>
      </c>
      <c r="G538" t="s">
        <v>74</v>
      </c>
      <c r="H538" t="s">
        <v>74</v>
      </c>
      <c r="I538" t="s">
        <v>10621</v>
      </c>
      <c r="J538" t="s">
        <v>244</v>
      </c>
      <c r="K538" t="s">
        <v>74</v>
      </c>
      <c r="L538" t="s">
        <v>74</v>
      </c>
      <c r="M538" t="s">
        <v>78</v>
      </c>
      <c r="N538" t="s">
        <v>79</v>
      </c>
      <c r="O538" t="s">
        <v>74</v>
      </c>
      <c r="P538" t="s">
        <v>74</v>
      </c>
      <c r="Q538" t="s">
        <v>74</v>
      </c>
      <c r="R538" t="s">
        <v>74</v>
      </c>
      <c r="S538" t="s">
        <v>74</v>
      </c>
      <c r="T538" t="s">
        <v>10622</v>
      </c>
      <c r="U538" t="s">
        <v>10623</v>
      </c>
      <c r="V538" t="s">
        <v>10624</v>
      </c>
      <c r="W538" t="s">
        <v>10625</v>
      </c>
      <c r="X538" t="s">
        <v>10626</v>
      </c>
      <c r="Y538" t="s">
        <v>10627</v>
      </c>
      <c r="Z538" t="s">
        <v>10628</v>
      </c>
      <c r="AA538" t="s">
        <v>74</v>
      </c>
      <c r="AB538" t="s">
        <v>10629</v>
      </c>
      <c r="AC538" t="s">
        <v>10630</v>
      </c>
      <c r="AD538" t="s">
        <v>10630</v>
      </c>
      <c r="AE538" t="s">
        <v>10631</v>
      </c>
      <c r="AF538" t="s">
        <v>74</v>
      </c>
      <c r="AG538">
        <v>40</v>
      </c>
      <c r="AH538">
        <v>9</v>
      </c>
      <c r="AI538">
        <v>9</v>
      </c>
      <c r="AJ538">
        <v>0</v>
      </c>
      <c r="AK538">
        <v>11</v>
      </c>
      <c r="AL538" t="s">
        <v>257</v>
      </c>
      <c r="AM538" t="s">
        <v>258</v>
      </c>
      <c r="AN538" t="s">
        <v>259</v>
      </c>
      <c r="AO538" t="s">
        <v>260</v>
      </c>
      <c r="AP538" t="s">
        <v>261</v>
      </c>
      <c r="AQ538" t="s">
        <v>74</v>
      </c>
      <c r="AR538" t="s">
        <v>262</v>
      </c>
      <c r="AS538" t="s">
        <v>263</v>
      </c>
      <c r="AT538" t="s">
        <v>9050</v>
      </c>
      <c r="AU538">
        <v>2018</v>
      </c>
      <c r="AV538">
        <v>30</v>
      </c>
      <c r="AW538">
        <v>4</v>
      </c>
      <c r="AX538" t="s">
        <v>74</v>
      </c>
      <c r="AY538" t="s">
        <v>74</v>
      </c>
      <c r="AZ538" t="s">
        <v>74</v>
      </c>
      <c r="BA538" t="s">
        <v>74</v>
      </c>
      <c r="BB538">
        <v>209</v>
      </c>
      <c r="BC538">
        <v>219</v>
      </c>
      <c r="BD538" t="s">
        <v>74</v>
      </c>
      <c r="BE538" t="s">
        <v>10632</v>
      </c>
      <c r="BF538" t="str">
        <f>HYPERLINK("http://dx.doi.org/10.1017/S095410201800007X","http://dx.doi.org/10.1017/S095410201800007X")</f>
        <v>http://dx.doi.org/10.1017/S095410201800007X</v>
      </c>
      <c r="BG538" t="s">
        <v>74</v>
      </c>
      <c r="BH538" t="s">
        <v>74</v>
      </c>
      <c r="BI538">
        <v>11</v>
      </c>
      <c r="BJ538" t="s">
        <v>265</v>
      </c>
      <c r="BK538" t="s">
        <v>101</v>
      </c>
      <c r="BL538" t="s">
        <v>266</v>
      </c>
      <c r="BM538" t="s">
        <v>10633</v>
      </c>
      <c r="BN538" t="s">
        <v>74</v>
      </c>
      <c r="BO538" t="s">
        <v>74</v>
      </c>
      <c r="BP538" t="s">
        <v>74</v>
      </c>
      <c r="BQ538" t="s">
        <v>74</v>
      </c>
      <c r="BR538" t="s">
        <v>104</v>
      </c>
      <c r="BS538" t="s">
        <v>10634</v>
      </c>
      <c r="BT538" t="str">
        <f>HYPERLINK("https%3A%2F%2Fwww.webofscience.com%2Fwos%2Fwoscc%2Ffull-record%2FWOS:000439712900002","View Full Record in Web of Science")</f>
        <v>View Full Record in Web of Science</v>
      </c>
    </row>
    <row r="539" spans="1:72" x14ac:dyDescent="0.15">
      <c r="A539" t="s">
        <v>72</v>
      </c>
      <c r="B539" t="s">
        <v>10635</v>
      </c>
      <c r="C539" t="s">
        <v>74</v>
      </c>
      <c r="D539" t="s">
        <v>74</v>
      </c>
      <c r="E539" t="s">
        <v>74</v>
      </c>
      <c r="F539" t="s">
        <v>10636</v>
      </c>
      <c r="G539" t="s">
        <v>74</v>
      </c>
      <c r="H539" t="s">
        <v>74</v>
      </c>
      <c r="I539" t="s">
        <v>10637</v>
      </c>
      <c r="J539" t="s">
        <v>244</v>
      </c>
      <c r="K539" t="s">
        <v>74</v>
      </c>
      <c r="L539" t="s">
        <v>74</v>
      </c>
      <c r="M539" t="s">
        <v>78</v>
      </c>
      <c r="N539" t="s">
        <v>79</v>
      </c>
      <c r="O539" t="s">
        <v>74</v>
      </c>
      <c r="P539" t="s">
        <v>74</v>
      </c>
      <c r="Q539" t="s">
        <v>74</v>
      </c>
      <c r="R539" t="s">
        <v>74</v>
      </c>
      <c r="S539" t="s">
        <v>74</v>
      </c>
      <c r="T539" t="s">
        <v>10638</v>
      </c>
      <c r="U539" t="s">
        <v>10639</v>
      </c>
      <c r="V539" t="s">
        <v>10640</v>
      </c>
      <c r="W539" t="s">
        <v>10641</v>
      </c>
      <c r="X539" t="s">
        <v>74</v>
      </c>
      <c r="Y539" t="s">
        <v>10642</v>
      </c>
      <c r="Z539" t="s">
        <v>10643</v>
      </c>
      <c r="AA539" t="s">
        <v>10644</v>
      </c>
      <c r="AB539" t="s">
        <v>10645</v>
      </c>
      <c r="AC539" t="s">
        <v>10646</v>
      </c>
      <c r="AD539" t="s">
        <v>10647</v>
      </c>
      <c r="AE539" t="s">
        <v>10648</v>
      </c>
      <c r="AF539" t="s">
        <v>74</v>
      </c>
      <c r="AG539">
        <v>37</v>
      </c>
      <c r="AH539">
        <v>17</v>
      </c>
      <c r="AI539">
        <v>18</v>
      </c>
      <c r="AJ539">
        <v>2</v>
      </c>
      <c r="AK539">
        <v>14</v>
      </c>
      <c r="AL539" t="s">
        <v>257</v>
      </c>
      <c r="AM539" t="s">
        <v>258</v>
      </c>
      <c r="AN539" t="s">
        <v>259</v>
      </c>
      <c r="AO539" t="s">
        <v>260</v>
      </c>
      <c r="AP539" t="s">
        <v>261</v>
      </c>
      <c r="AQ539" t="s">
        <v>74</v>
      </c>
      <c r="AR539" t="s">
        <v>262</v>
      </c>
      <c r="AS539" t="s">
        <v>263</v>
      </c>
      <c r="AT539" t="s">
        <v>9050</v>
      </c>
      <c r="AU539">
        <v>2018</v>
      </c>
      <c r="AV539">
        <v>30</v>
      </c>
      <c r="AW539">
        <v>4</v>
      </c>
      <c r="AX539" t="s">
        <v>74</v>
      </c>
      <c r="AY539" t="s">
        <v>74</v>
      </c>
      <c r="AZ539" t="s">
        <v>74</v>
      </c>
      <c r="BA539" t="s">
        <v>74</v>
      </c>
      <c r="BB539">
        <v>220</v>
      </c>
      <c r="BC539">
        <v>226</v>
      </c>
      <c r="BD539" t="s">
        <v>74</v>
      </c>
      <c r="BE539" t="s">
        <v>10649</v>
      </c>
      <c r="BF539" t="str">
        <f>HYPERLINK("http://dx.doi.org/10.1017/S0954102018000135","http://dx.doi.org/10.1017/S0954102018000135")</f>
        <v>http://dx.doi.org/10.1017/S0954102018000135</v>
      </c>
      <c r="BG539" t="s">
        <v>74</v>
      </c>
      <c r="BH539" t="s">
        <v>74</v>
      </c>
      <c r="BI539">
        <v>7</v>
      </c>
      <c r="BJ539" t="s">
        <v>265</v>
      </c>
      <c r="BK539" t="s">
        <v>101</v>
      </c>
      <c r="BL539" t="s">
        <v>266</v>
      </c>
      <c r="BM539" t="s">
        <v>10633</v>
      </c>
      <c r="BN539" t="s">
        <v>74</v>
      </c>
      <c r="BO539" t="s">
        <v>74</v>
      </c>
      <c r="BP539" t="s">
        <v>74</v>
      </c>
      <c r="BQ539" t="s">
        <v>74</v>
      </c>
      <c r="BR539" t="s">
        <v>104</v>
      </c>
      <c r="BS539" t="s">
        <v>10650</v>
      </c>
      <c r="BT539" t="str">
        <f>HYPERLINK("https%3A%2F%2Fwww.webofscience.com%2Fwos%2Fwoscc%2Ffull-record%2FWOS:000439712900003","View Full Record in Web of Science")</f>
        <v>View Full Record in Web of Science</v>
      </c>
    </row>
    <row r="540" spans="1:72" x14ac:dyDescent="0.15">
      <c r="A540" t="s">
        <v>72</v>
      </c>
      <c r="B540" t="s">
        <v>10651</v>
      </c>
      <c r="C540" t="s">
        <v>74</v>
      </c>
      <c r="D540" t="s">
        <v>74</v>
      </c>
      <c r="E540" t="s">
        <v>74</v>
      </c>
      <c r="F540" t="s">
        <v>10652</v>
      </c>
      <c r="G540" t="s">
        <v>74</v>
      </c>
      <c r="H540" t="s">
        <v>74</v>
      </c>
      <c r="I540" t="s">
        <v>10653</v>
      </c>
      <c r="J540" t="s">
        <v>244</v>
      </c>
      <c r="K540" t="s">
        <v>74</v>
      </c>
      <c r="L540" t="s">
        <v>74</v>
      </c>
      <c r="M540" t="s">
        <v>78</v>
      </c>
      <c r="N540" t="s">
        <v>79</v>
      </c>
      <c r="O540" t="s">
        <v>74</v>
      </c>
      <c r="P540" t="s">
        <v>74</v>
      </c>
      <c r="Q540" t="s">
        <v>74</v>
      </c>
      <c r="R540" t="s">
        <v>74</v>
      </c>
      <c r="S540" t="s">
        <v>74</v>
      </c>
      <c r="T540" t="s">
        <v>10654</v>
      </c>
      <c r="U540" t="s">
        <v>10655</v>
      </c>
      <c r="V540" t="s">
        <v>10656</v>
      </c>
      <c r="W540" t="s">
        <v>10657</v>
      </c>
      <c r="X540" t="s">
        <v>10658</v>
      </c>
      <c r="Y540" t="s">
        <v>10659</v>
      </c>
      <c r="Z540" t="s">
        <v>10660</v>
      </c>
      <c r="AA540" t="s">
        <v>10661</v>
      </c>
      <c r="AB540" t="s">
        <v>10662</v>
      </c>
      <c r="AC540" t="s">
        <v>10663</v>
      </c>
      <c r="AD540" t="s">
        <v>10664</v>
      </c>
      <c r="AE540" t="s">
        <v>10665</v>
      </c>
      <c r="AF540" t="s">
        <v>74</v>
      </c>
      <c r="AG540">
        <v>54</v>
      </c>
      <c r="AH540">
        <v>11</v>
      </c>
      <c r="AI540">
        <v>13</v>
      </c>
      <c r="AJ540">
        <v>0</v>
      </c>
      <c r="AK540">
        <v>13</v>
      </c>
      <c r="AL540" t="s">
        <v>257</v>
      </c>
      <c r="AM540" t="s">
        <v>258</v>
      </c>
      <c r="AN540" t="s">
        <v>259</v>
      </c>
      <c r="AO540" t="s">
        <v>260</v>
      </c>
      <c r="AP540" t="s">
        <v>261</v>
      </c>
      <c r="AQ540" t="s">
        <v>74</v>
      </c>
      <c r="AR540" t="s">
        <v>262</v>
      </c>
      <c r="AS540" t="s">
        <v>263</v>
      </c>
      <c r="AT540" t="s">
        <v>9050</v>
      </c>
      <c r="AU540">
        <v>2018</v>
      </c>
      <c r="AV540">
        <v>30</v>
      </c>
      <c r="AW540">
        <v>4</v>
      </c>
      <c r="AX540" t="s">
        <v>74</v>
      </c>
      <c r="AY540" t="s">
        <v>74</v>
      </c>
      <c r="AZ540" t="s">
        <v>74</v>
      </c>
      <c r="BA540" t="s">
        <v>74</v>
      </c>
      <c r="BB540">
        <v>227</v>
      </c>
      <c r="BC540">
        <v>235</v>
      </c>
      <c r="BD540" t="s">
        <v>74</v>
      </c>
      <c r="BE540" t="s">
        <v>10666</v>
      </c>
      <c r="BF540" t="str">
        <f>HYPERLINK("http://dx.doi.org/10.1017/S0954102018000172","http://dx.doi.org/10.1017/S0954102018000172")</f>
        <v>http://dx.doi.org/10.1017/S0954102018000172</v>
      </c>
      <c r="BG540" t="s">
        <v>74</v>
      </c>
      <c r="BH540" t="s">
        <v>74</v>
      </c>
      <c r="BI540">
        <v>9</v>
      </c>
      <c r="BJ540" t="s">
        <v>265</v>
      </c>
      <c r="BK540" t="s">
        <v>101</v>
      </c>
      <c r="BL540" t="s">
        <v>266</v>
      </c>
      <c r="BM540" t="s">
        <v>10633</v>
      </c>
      <c r="BN540" t="s">
        <v>74</v>
      </c>
      <c r="BO540" t="s">
        <v>712</v>
      </c>
      <c r="BP540" t="s">
        <v>74</v>
      </c>
      <c r="BQ540" t="s">
        <v>74</v>
      </c>
      <c r="BR540" t="s">
        <v>104</v>
      </c>
      <c r="BS540" t="s">
        <v>10667</v>
      </c>
      <c r="BT540" t="str">
        <f>HYPERLINK("https%3A%2F%2Fwww.webofscience.com%2Fwos%2Fwoscc%2Ffull-record%2FWOS:000439712900004","View Full Record in Web of Science")</f>
        <v>View Full Record in Web of Science</v>
      </c>
    </row>
    <row r="541" spans="1:72" x14ac:dyDescent="0.15">
      <c r="A541" t="s">
        <v>72</v>
      </c>
      <c r="B541" t="s">
        <v>10668</v>
      </c>
      <c r="C541" t="s">
        <v>74</v>
      </c>
      <c r="D541" t="s">
        <v>74</v>
      </c>
      <c r="E541" t="s">
        <v>74</v>
      </c>
      <c r="F541" t="s">
        <v>10669</v>
      </c>
      <c r="G541" t="s">
        <v>74</v>
      </c>
      <c r="H541" t="s">
        <v>74</v>
      </c>
      <c r="I541" t="s">
        <v>10670</v>
      </c>
      <c r="J541" t="s">
        <v>244</v>
      </c>
      <c r="K541" t="s">
        <v>74</v>
      </c>
      <c r="L541" t="s">
        <v>74</v>
      </c>
      <c r="M541" t="s">
        <v>78</v>
      </c>
      <c r="N541" t="s">
        <v>79</v>
      </c>
      <c r="O541" t="s">
        <v>74</v>
      </c>
      <c r="P541" t="s">
        <v>74</v>
      </c>
      <c r="Q541" t="s">
        <v>74</v>
      </c>
      <c r="R541" t="s">
        <v>74</v>
      </c>
      <c r="S541" t="s">
        <v>74</v>
      </c>
      <c r="T541" t="s">
        <v>10671</v>
      </c>
      <c r="U541" t="s">
        <v>10672</v>
      </c>
      <c r="V541" t="s">
        <v>10673</v>
      </c>
      <c r="W541" t="s">
        <v>10674</v>
      </c>
      <c r="X541" t="s">
        <v>10675</v>
      </c>
      <c r="Y541" t="s">
        <v>10676</v>
      </c>
      <c r="Z541" t="s">
        <v>10677</v>
      </c>
      <c r="AA541" t="s">
        <v>10678</v>
      </c>
      <c r="AB541" t="s">
        <v>10679</v>
      </c>
      <c r="AC541" t="s">
        <v>10680</v>
      </c>
      <c r="AD541" t="s">
        <v>10681</v>
      </c>
      <c r="AE541" t="s">
        <v>10682</v>
      </c>
      <c r="AF541" t="s">
        <v>74</v>
      </c>
      <c r="AG541">
        <v>31</v>
      </c>
      <c r="AH541">
        <v>19</v>
      </c>
      <c r="AI541">
        <v>21</v>
      </c>
      <c r="AJ541">
        <v>0</v>
      </c>
      <c r="AK541">
        <v>12</v>
      </c>
      <c r="AL541" t="s">
        <v>257</v>
      </c>
      <c r="AM541" t="s">
        <v>258</v>
      </c>
      <c r="AN541" t="s">
        <v>259</v>
      </c>
      <c r="AO541" t="s">
        <v>260</v>
      </c>
      <c r="AP541" t="s">
        <v>261</v>
      </c>
      <c r="AQ541" t="s">
        <v>74</v>
      </c>
      <c r="AR541" t="s">
        <v>262</v>
      </c>
      <c r="AS541" t="s">
        <v>263</v>
      </c>
      <c r="AT541" t="s">
        <v>9050</v>
      </c>
      <c r="AU541">
        <v>2018</v>
      </c>
      <c r="AV541">
        <v>30</v>
      </c>
      <c r="AW541">
        <v>4</v>
      </c>
      <c r="AX541" t="s">
        <v>74</v>
      </c>
      <c r="AY541" t="s">
        <v>74</v>
      </c>
      <c r="AZ541" t="s">
        <v>74</v>
      </c>
      <c r="BA541" t="s">
        <v>74</v>
      </c>
      <c r="BB541">
        <v>236</v>
      </c>
      <c r="BC541">
        <v>242</v>
      </c>
      <c r="BD541" t="s">
        <v>74</v>
      </c>
      <c r="BE541" t="s">
        <v>10683</v>
      </c>
      <c r="BF541" t="str">
        <f>HYPERLINK("http://dx.doi.org/10.1017/S0954102018000226","http://dx.doi.org/10.1017/S0954102018000226")</f>
        <v>http://dx.doi.org/10.1017/S0954102018000226</v>
      </c>
      <c r="BG541" t="s">
        <v>74</v>
      </c>
      <c r="BH541" t="s">
        <v>74</v>
      </c>
      <c r="BI541">
        <v>7</v>
      </c>
      <c r="BJ541" t="s">
        <v>265</v>
      </c>
      <c r="BK541" t="s">
        <v>101</v>
      </c>
      <c r="BL541" t="s">
        <v>266</v>
      </c>
      <c r="BM541" t="s">
        <v>10633</v>
      </c>
      <c r="BN541" t="s">
        <v>74</v>
      </c>
      <c r="BO541" t="s">
        <v>712</v>
      </c>
      <c r="BP541" t="s">
        <v>74</v>
      </c>
      <c r="BQ541" t="s">
        <v>74</v>
      </c>
      <c r="BR541" t="s">
        <v>104</v>
      </c>
      <c r="BS541" t="s">
        <v>10684</v>
      </c>
      <c r="BT541" t="str">
        <f>HYPERLINK("https%3A%2F%2Fwww.webofscience.com%2Fwos%2Fwoscc%2Ffull-record%2FWOS:000439712900005","View Full Record in Web of Science")</f>
        <v>View Full Record in Web of Science</v>
      </c>
    </row>
    <row r="542" spans="1:72" x14ac:dyDescent="0.15">
      <c r="A542" t="s">
        <v>72</v>
      </c>
      <c r="B542" t="s">
        <v>10685</v>
      </c>
      <c r="C542" t="s">
        <v>74</v>
      </c>
      <c r="D542" t="s">
        <v>74</v>
      </c>
      <c r="E542" t="s">
        <v>74</v>
      </c>
      <c r="F542" t="s">
        <v>10686</v>
      </c>
      <c r="G542" t="s">
        <v>74</v>
      </c>
      <c r="H542" t="s">
        <v>74</v>
      </c>
      <c r="I542" t="s">
        <v>10687</v>
      </c>
      <c r="J542" t="s">
        <v>244</v>
      </c>
      <c r="K542" t="s">
        <v>74</v>
      </c>
      <c r="L542" t="s">
        <v>74</v>
      </c>
      <c r="M542" t="s">
        <v>78</v>
      </c>
      <c r="N542" t="s">
        <v>79</v>
      </c>
      <c r="O542" t="s">
        <v>74</v>
      </c>
      <c r="P542" t="s">
        <v>74</v>
      </c>
      <c r="Q542" t="s">
        <v>74</v>
      </c>
      <c r="R542" t="s">
        <v>74</v>
      </c>
      <c r="S542" t="s">
        <v>74</v>
      </c>
      <c r="T542" t="s">
        <v>74</v>
      </c>
      <c r="U542" t="s">
        <v>74</v>
      </c>
      <c r="V542" t="s">
        <v>74</v>
      </c>
      <c r="W542" t="s">
        <v>10688</v>
      </c>
      <c r="X542" t="s">
        <v>10689</v>
      </c>
      <c r="Y542" t="s">
        <v>10690</v>
      </c>
      <c r="Z542" t="s">
        <v>10691</v>
      </c>
      <c r="AA542" t="s">
        <v>74</v>
      </c>
      <c r="AB542" t="s">
        <v>10692</v>
      </c>
      <c r="AC542" t="s">
        <v>74</v>
      </c>
      <c r="AD542" t="s">
        <v>74</v>
      </c>
      <c r="AE542" t="s">
        <v>74</v>
      </c>
      <c r="AF542" t="s">
        <v>74</v>
      </c>
      <c r="AG542">
        <v>3</v>
      </c>
      <c r="AH542">
        <v>1</v>
      </c>
      <c r="AI542">
        <v>1</v>
      </c>
      <c r="AJ542">
        <v>0</v>
      </c>
      <c r="AK542">
        <v>4</v>
      </c>
      <c r="AL542" t="s">
        <v>257</v>
      </c>
      <c r="AM542" t="s">
        <v>258</v>
      </c>
      <c r="AN542" t="s">
        <v>259</v>
      </c>
      <c r="AO542" t="s">
        <v>260</v>
      </c>
      <c r="AP542" t="s">
        <v>261</v>
      </c>
      <c r="AQ542" t="s">
        <v>74</v>
      </c>
      <c r="AR542" t="s">
        <v>262</v>
      </c>
      <c r="AS542" t="s">
        <v>263</v>
      </c>
      <c r="AT542" t="s">
        <v>9050</v>
      </c>
      <c r="AU542">
        <v>2018</v>
      </c>
      <c r="AV542">
        <v>30</v>
      </c>
      <c r="AW542">
        <v>4</v>
      </c>
      <c r="AX542" t="s">
        <v>74</v>
      </c>
      <c r="AY542" t="s">
        <v>74</v>
      </c>
      <c r="AZ542" t="s">
        <v>74</v>
      </c>
      <c r="BA542" t="s">
        <v>74</v>
      </c>
      <c r="BB542">
        <v>243</v>
      </c>
      <c r="BC542">
        <v>244</v>
      </c>
      <c r="BD542" t="s">
        <v>74</v>
      </c>
      <c r="BE542" t="s">
        <v>10693</v>
      </c>
      <c r="BF542" t="str">
        <f>HYPERLINK("http://dx.doi.org/10.1017/S0954102018000202","http://dx.doi.org/10.1017/S0954102018000202")</f>
        <v>http://dx.doi.org/10.1017/S0954102018000202</v>
      </c>
      <c r="BG542" t="s">
        <v>74</v>
      </c>
      <c r="BH542" t="s">
        <v>74</v>
      </c>
      <c r="BI542">
        <v>2</v>
      </c>
      <c r="BJ542" t="s">
        <v>265</v>
      </c>
      <c r="BK542" t="s">
        <v>101</v>
      </c>
      <c r="BL542" t="s">
        <v>266</v>
      </c>
      <c r="BM542" t="s">
        <v>10633</v>
      </c>
      <c r="BN542" t="s">
        <v>74</v>
      </c>
      <c r="BO542" t="s">
        <v>74</v>
      </c>
      <c r="BP542" t="s">
        <v>74</v>
      </c>
      <c r="BQ542" t="s">
        <v>74</v>
      </c>
      <c r="BR542" t="s">
        <v>104</v>
      </c>
      <c r="BS542" t="s">
        <v>10694</v>
      </c>
      <c r="BT542" t="str">
        <f>HYPERLINK("https%3A%2F%2Fwww.webofscience.com%2Fwos%2Fwoscc%2Ffull-record%2FWOS:000439712900006","View Full Record in Web of Science")</f>
        <v>View Full Record in Web of Science</v>
      </c>
    </row>
    <row r="543" spans="1:72" x14ac:dyDescent="0.15">
      <c r="A543" t="s">
        <v>72</v>
      </c>
      <c r="B543" t="s">
        <v>10695</v>
      </c>
      <c r="C543" t="s">
        <v>74</v>
      </c>
      <c r="D543" t="s">
        <v>74</v>
      </c>
      <c r="E543" t="s">
        <v>74</v>
      </c>
      <c r="F543" t="s">
        <v>10696</v>
      </c>
      <c r="G543" t="s">
        <v>74</v>
      </c>
      <c r="H543" t="s">
        <v>74</v>
      </c>
      <c r="I543" t="s">
        <v>10697</v>
      </c>
      <c r="J543" t="s">
        <v>244</v>
      </c>
      <c r="K543" t="s">
        <v>74</v>
      </c>
      <c r="L543" t="s">
        <v>74</v>
      </c>
      <c r="M543" t="s">
        <v>78</v>
      </c>
      <c r="N543" t="s">
        <v>79</v>
      </c>
      <c r="O543" t="s">
        <v>74</v>
      </c>
      <c r="P543" t="s">
        <v>74</v>
      </c>
      <c r="Q543" t="s">
        <v>74</v>
      </c>
      <c r="R543" t="s">
        <v>74</v>
      </c>
      <c r="S543" t="s">
        <v>74</v>
      </c>
      <c r="T543" t="s">
        <v>10698</v>
      </c>
      <c r="U543" t="s">
        <v>10699</v>
      </c>
      <c r="V543" t="s">
        <v>10700</v>
      </c>
      <c r="W543" t="s">
        <v>10701</v>
      </c>
      <c r="X543" t="s">
        <v>10702</v>
      </c>
      <c r="Y543" t="s">
        <v>10703</v>
      </c>
      <c r="Z543" t="s">
        <v>10704</v>
      </c>
      <c r="AA543" t="s">
        <v>74</v>
      </c>
      <c r="AB543" t="s">
        <v>74</v>
      </c>
      <c r="AC543" t="s">
        <v>10705</v>
      </c>
      <c r="AD543" t="s">
        <v>10706</v>
      </c>
      <c r="AE543" t="s">
        <v>10707</v>
      </c>
      <c r="AF543" t="s">
        <v>74</v>
      </c>
      <c r="AG543">
        <v>43</v>
      </c>
      <c r="AH543">
        <v>2</v>
      </c>
      <c r="AI543">
        <v>2</v>
      </c>
      <c r="AJ543">
        <v>1</v>
      </c>
      <c r="AK543">
        <v>10</v>
      </c>
      <c r="AL543" t="s">
        <v>257</v>
      </c>
      <c r="AM543" t="s">
        <v>258</v>
      </c>
      <c r="AN543" t="s">
        <v>259</v>
      </c>
      <c r="AO543" t="s">
        <v>260</v>
      </c>
      <c r="AP543" t="s">
        <v>261</v>
      </c>
      <c r="AQ543" t="s">
        <v>74</v>
      </c>
      <c r="AR543" t="s">
        <v>262</v>
      </c>
      <c r="AS543" t="s">
        <v>263</v>
      </c>
      <c r="AT543" t="s">
        <v>9050</v>
      </c>
      <c r="AU543">
        <v>2018</v>
      </c>
      <c r="AV543">
        <v>30</v>
      </c>
      <c r="AW543">
        <v>4</v>
      </c>
      <c r="AX543" t="s">
        <v>74</v>
      </c>
      <c r="AY543" t="s">
        <v>74</v>
      </c>
      <c r="AZ543" t="s">
        <v>74</v>
      </c>
      <c r="BA543" t="s">
        <v>74</v>
      </c>
      <c r="BB543">
        <v>245</v>
      </c>
      <c r="BC543">
        <v>263</v>
      </c>
      <c r="BD543" t="s">
        <v>74</v>
      </c>
      <c r="BE543" t="s">
        <v>10708</v>
      </c>
      <c r="BF543" t="str">
        <f>HYPERLINK("http://dx.doi.org/10.1017/S0954102018000123","http://dx.doi.org/10.1017/S0954102018000123")</f>
        <v>http://dx.doi.org/10.1017/S0954102018000123</v>
      </c>
      <c r="BG543" t="s">
        <v>74</v>
      </c>
      <c r="BH543" t="s">
        <v>74</v>
      </c>
      <c r="BI543">
        <v>19</v>
      </c>
      <c r="BJ543" t="s">
        <v>265</v>
      </c>
      <c r="BK543" t="s">
        <v>101</v>
      </c>
      <c r="BL543" t="s">
        <v>266</v>
      </c>
      <c r="BM543" t="s">
        <v>10633</v>
      </c>
      <c r="BN543" t="s">
        <v>74</v>
      </c>
      <c r="BO543" t="s">
        <v>74</v>
      </c>
      <c r="BP543" t="s">
        <v>74</v>
      </c>
      <c r="BQ543" t="s">
        <v>74</v>
      </c>
      <c r="BR543" t="s">
        <v>104</v>
      </c>
      <c r="BS543" t="s">
        <v>10709</v>
      </c>
      <c r="BT543" t="str">
        <f>HYPERLINK("https%3A%2F%2Fwww.webofscience.com%2Fwos%2Fwoscc%2Ffull-record%2FWOS:000439712900007","View Full Record in Web of Science")</f>
        <v>View Full Record in Web of Science</v>
      </c>
    </row>
    <row r="544" spans="1:72" x14ac:dyDescent="0.15">
      <c r="A544" t="s">
        <v>72</v>
      </c>
      <c r="B544" t="s">
        <v>10710</v>
      </c>
      <c r="C544" t="s">
        <v>74</v>
      </c>
      <c r="D544" t="s">
        <v>74</v>
      </c>
      <c r="E544" t="s">
        <v>74</v>
      </c>
      <c r="F544" t="s">
        <v>10711</v>
      </c>
      <c r="G544" t="s">
        <v>74</v>
      </c>
      <c r="H544" t="s">
        <v>74</v>
      </c>
      <c r="I544" t="s">
        <v>10712</v>
      </c>
      <c r="J544" t="s">
        <v>1866</v>
      </c>
      <c r="K544" t="s">
        <v>74</v>
      </c>
      <c r="L544" t="s">
        <v>74</v>
      </c>
      <c r="M544" t="s">
        <v>78</v>
      </c>
      <c r="N544" t="s">
        <v>79</v>
      </c>
      <c r="O544" t="s">
        <v>74</v>
      </c>
      <c r="P544" t="s">
        <v>74</v>
      </c>
      <c r="Q544" t="s">
        <v>74</v>
      </c>
      <c r="R544" t="s">
        <v>74</v>
      </c>
      <c r="S544" t="s">
        <v>74</v>
      </c>
      <c r="T544" t="s">
        <v>10713</v>
      </c>
      <c r="U544" t="s">
        <v>10714</v>
      </c>
      <c r="V544" t="s">
        <v>10715</v>
      </c>
      <c r="W544" t="s">
        <v>10716</v>
      </c>
      <c r="X544" t="s">
        <v>10717</v>
      </c>
      <c r="Y544" t="s">
        <v>10718</v>
      </c>
      <c r="Z544" t="s">
        <v>10719</v>
      </c>
      <c r="AA544" t="s">
        <v>10720</v>
      </c>
      <c r="AB544" t="s">
        <v>10721</v>
      </c>
      <c r="AC544" t="s">
        <v>10722</v>
      </c>
      <c r="AD544" t="s">
        <v>10723</v>
      </c>
      <c r="AE544" t="s">
        <v>10724</v>
      </c>
      <c r="AF544" t="s">
        <v>74</v>
      </c>
      <c r="AG544">
        <v>183</v>
      </c>
      <c r="AH544">
        <v>29</v>
      </c>
      <c r="AI544">
        <v>30</v>
      </c>
      <c r="AJ544">
        <v>1</v>
      </c>
      <c r="AK544">
        <v>39</v>
      </c>
      <c r="AL544" t="s">
        <v>149</v>
      </c>
      <c r="AM544" t="s">
        <v>93</v>
      </c>
      <c r="AN544" t="s">
        <v>150</v>
      </c>
      <c r="AO544" t="s">
        <v>1879</v>
      </c>
      <c r="AP544" t="s">
        <v>74</v>
      </c>
      <c r="AQ544" t="s">
        <v>74</v>
      </c>
      <c r="AR544" t="s">
        <v>1880</v>
      </c>
      <c r="AS544" t="s">
        <v>1881</v>
      </c>
      <c r="AT544" t="s">
        <v>9643</v>
      </c>
      <c r="AU544">
        <v>2018</v>
      </c>
      <c r="AV544">
        <v>193</v>
      </c>
      <c r="AW544" t="s">
        <v>74</v>
      </c>
      <c r="AX544" t="s">
        <v>74</v>
      </c>
      <c r="AY544" t="s">
        <v>74</v>
      </c>
      <c r="AZ544" t="s">
        <v>74</v>
      </c>
      <c r="BA544" t="s">
        <v>74</v>
      </c>
      <c r="BB544">
        <v>98</v>
      </c>
      <c r="BC544">
        <v>117</v>
      </c>
      <c r="BD544" t="s">
        <v>74</v>
      </c>
      <c r="BE544" t="s">
        <v>10725</v>
      </c>
      <c r="BF544" t="str">
        <f>HYPERLINK("http://dx.doi.org/10.1016/j.quascirev.2018.06.006","http://dx.doi.org/10.1016/j.quascirev.2018.06.006")</f>
        <v>http://dx.doi.org/10.1016/j.quascirev.2018.06.006</v>
      </c>
      <c r="BG544" t="s">
        <v>74</v>
      </c>
      <c r="BH544" t="s">
        <v>74</v>
      </c>
      <c r="BI544">
        <v>20</v>
      </c>
      <c r="BJ544" t="s">
        <v>208</v>
      </c>
      <c r="BK544" t="s">
        <v>101</v>
      </c>
      <c r="BL544" t="s">
        <v>209</v>
      </c>
      <c r="BM544" t="s">
        <v>10726</v>
      </c>
      <c r="BN544" t="s">
        <v>74</v>
      </c>
      <c r="BO544" t="s">
        <v>1142</v>
      </c>
      <c r="BP544" t="s">
        <v>74</v>
      </c>
      <c r="BQ544" t="s">
        <v>74</v>
      </c>
      <c r="BR544" t="s">
        <v>104</v>
      </c>
      <c r="BS544" t="s">
        <v>10727</v>
      </c>
      <c r="BT544" t="str">
        <f>HYPERLINK("https%3A%2F%2Fwww.webofscience.com%2Fwos%2Fwoscc%2Ffull-record%2FWOS:000439674100007","View Full Record in Web of Science")</f>
        <v>View Full Record in Web of Science</v>
      </c>
    </row>
    <row r="545" spans="1:72" x14ac:dyDescent="0.15">
      <c r="A545" t="s">
        <v>72</v>
      </c>
      <c r="B545" t="s">
        <v>10728</v>
      </c>
      <c r="C545" t="s">
        <v>74</v>
      </c>
      <c r="D545" t="s">
        <v>74</v>
      </c>
      <c r="E545" t="s">
        <v>74</v>
      </c>
      <c r="F545" t="s">
        <v>10729</v>
      </c>
      <c r="G545" t="s">
        <v>74</v>
      </c>
      <c r="H545" t="s">
        <v>74</v>
      </c>
      <c r="I545" t="s">
        <v>10730</v>
      </c>
      <c r="J545" t="s">
        <v>244</v>
      </c>
      <c r="K545" t="s">
        <v>74</v>
      </c>
      <c r="L545" t="s">
        <v>74</v>
      </c>
      <c r="M545" t="s">
        <v>78</v>
      </c>
      <c r="N545" t="s">
        <v>2499</v>
      </c>
      <c r="O545" t="s">
        <v>74</v>
      </c>
      <c r="P545" t="s">
        <v>74</v>
      </c>
      <c r="Q545" t="s">
        <v>74</v>
      </c>
      <c r="R545" t="s">
        <v>74</v>
      </c>
      <c r="S545" t="s">
        <v>74</v>
      </c>
      <c r="T545" t="s">
        <v>74</v>
      </c>
      <c r="U545" t="s">
        <v>74</v>
      </c>
      <c r="V545" t="s">
        <v>74</v>
      </c>
      <c r="W545" t="s">
        <v>74</v>
      </c>
      <c r="X545" t="s">
        <v>74</v>
      </c>
      <c r="Y545" t="s">
        <v>74</v>
      </c>
      <c r="Z545" t="s">
        <v>74</v>
      </c>
      <c r="AA545" t="s">
        <v>74</v>
      </c>
      <c r="AB545" t="s">
        <v>74</v>
      </c>
      <c r="AC545" t="s">
        <v>74</v>
      </c>
      <c r="AD545" t="s">
        <v>74</v>
      </c>
      <c r="AE545" t="s">
        <v>74</v>
      </c>
      <c r="AF545" t="s">
        <v>74</v>
      </c>
      <c r="AG545">
        <v>0</v>
      </c>
      <c r="AH545">
        <v>0</v>
      </c>
      <c r="AI545">
        <v>0</v>
      </c>
      <c r="AJ545">
        <v>0</v>
      </c>
      <c r="AK545">
        <v>3</v>
      </c>
      <c r="AL545" t="s">
        <v>257</v>
      </c>
      <c r="AM545" t="s">
        <v>258</v>
      </c>
      <c r="AN545" t="s">
        <v>259</v>
      </c>
      <c r="AO545" t="s">
        <v>260</v>
      </c>
      <c r="AP545" t="s">
        <v>261</v>
      </c>
      <c r="AQ545" t="s">
        <v>74</v>
      </c>
      <c r="AR545" t="s">
        <v>262</v>
      </c>
      <c r="AS545" t="s">
        <v>263</v>
      </c>
      <c r="AT545" t="s">
        <v>9050</v>
      </c>
      <c r="AU545">
        <v>2018</v>
      </c>
      <c r="AV545">
        <v>30</v>
      </c>
      <c r="AW545">
        <v>4</v>
      </c>
      <c r="AX545" t="s">
        <v>74</v>
      </c>
      <c r="AY545" t="s">
        <v>74</v>
      </c>
      <c r="AZ545" t="s">
        <v>74</v>
      </c>
      <c r="BA545" t="s">
        <v>74</v>
      </c>
      <c r="BB545">
        <v>207</v>
      </c>
      <c r="BC545">
        <v>207</v>
      </c>
      <c r="BD545" t="s">
        <v>74</v>
      </c>
      <c r="BE545" t="s">
        <v>10731</v>
      </c>
      <c r="BF545" t="str">
        <f>HYPERLINK("http://dx.doi.org/10.1017/S0954102018000287","http://dx.doi.org/10.1017/S0954102018000287")</f>
        <v>http://dx.doi.org/10.1017/S0954102018000287</v>
      </c>
      <c r="BG545" t="s">
        <v>74</v>
      </c>
      <c r="BH545" t="s">
        <v>74</v>
      </c>
      <c r="BI545">
        <v>1</v>
      </c>
      <c r="BJ545" t="s">
        <v>265</v>
      </c>
      <c r="BK545" t="s">
        <v>101</v>
      </c>
      <c r="BL545" t="s">
        <v>266</v>
      </c>
      <c r="BM545" t="s">
        <v>10633</v>
      </c>
      <c r="BN545" t="s">
        <v>74</v>
      </c>
      <c r="BO545" t="s">
        <v>712</v>
      </c>
      <c r="BP545" t="s">
        <v>74</v>
      </c>
      <c r="BQ545" t="s">
        <v>74</v>
      </c>
      <c r="BR545" t="s">
        <v>104</v>
      </c>
      <c r="BS545" t="s">
        <v>10732</v>
      </c>
      <c r="BT545" t="str">
        <f>HYPERLINK("https%3A%2F%2Fwww.webofscience.com%2Fwos%2Fwoscc%2Ffull-record%2FWOS:000439712900001","View Full Record in Web of Science")</f>
        <v>View Full Record in Web of Science</v>
      </c>
    </row>
    <row r="546" spans="1:72" x14ac:dyDescent="0.15">
      <c r="A546" t="s">
        <v>72</v>
      </c>
      <c r="B546" t="s">
        <v>9690</v>
      </c>
      <c r="C546" t="s">
        <v>74</v>
      </c>
      <c r="D546" t="s">
        <v>74</v>
      </c>
      <c r="E546" t="s">
        <v>74</v>
      </c>
      <c r="F546" t="s">
        <v>9690</v>
      </c>
      <c r="G546" t="s">
        <v>74</v>
      </c>
      <c r="H546" t="s">
        <v>74</v>
      </c>
      <c r="I546" t="s">
        <v>10733</v>
      </c>
      <c r="J546" t="s">
        <v>10734</v>
      </c>
      <c r="K546" t="s">
        <v>74</v>
      </c>
      <c r="L546" t="s">
        <v>74</v>
      </c>
      <c r="M546" t="s">
        <v>78</v>
      </c>
      <c r="N546" t="s">
        <v>6598</v>
      </c>
      <c r="O546" t="s">
        <v>74</v>
      </c>
      <c r="P546" t="s">
        <v>74</v>
      </c>
      <c r="Q546" t="s">
        <v>74</v>
      </c>
      <c r="R546" t="s">
        <v>74</v>
      </c>
      <c r="S546" t="s">
        <v>74</v>
      </c>
      <c r="T546" t="s">
        <v>74</v>
      </c>
      <c r="U546" t="s">
        <v>74</v>
      </c>
      <c r="V546" t="s">
        <v>74</v>
      </c>
      <c r="W546" t="s">
        <v>74</v>
      </c>
      <c r="X546" t="s">
        <v>74</v>
      </c>
      <c r="Y546" t="s">
        <v>74</v>
      </c>
      <c r="Z546" t="s">
        <v>74</v>
      </c>
      <c r="AA546" t="s">
        <v>74</v>
      </c>
      <c r="AB546" t="s">
        <v>74</v>
      </c>
      <c r="AC546" t="s">
        <v>74</v>
      </c>
      <c r="AD546" t="s">
        <v>74</v>
      </c>
      <c r="AE546" t="s">
        <v>74</v>
      </c>
      <c r="AF546" t="s">
        <v>74</v>
      </c>
      <c r="AG546">
        <v>0</v>
      </c>
      <c r="AH546">
        <v>0</v>
      </c>
      <c r="AI546">
        <v>0</v>
      </c>
      <c r="AJ546">
        <v>0</v>
      </c>
      <c r="AK546">
        <v>0</v>
      </c>
      <c r="AL546" t="s">
        <v>92</v>
      </c>
      <c r="AM546" t="s">
        <v>93</v>
      </c>
      <c r="AN546" t="s">
        <v>94</v>
      </c>
      <c r="AO546" t="s">
        <v>10735</v>
      </c>
      <c r="AP546" t="s">
        <v>10736</v>
      </c>
      <c r="AQ546" t="s">
        <v>74</v>
      </c>
      <c r="AR546" t="s">
        <v>10737</v>
      </c>
      <c r="AS546" t="s">
        <v>10738</v>
      </c>
      <c r="AT546" t="s">
        <v>9050</v>
      </c>
      <c r="AU546">
        <v>2018</v>
      </c>
      <c r="AV546">
        <v>59</v>
      </c>
      <c r="AW546">
        <v>4</v>
      </c>
      <c r="AX546" t="s">
        <v>74</v>
      </c>
      <c r="AY546" t="s">
        <v>74</v>
      </c>
      <c r="AZ546" t="s">
        <v>74</v>
      </c>
      <c r="BA546" t="s">
        <v>74</v>
      </c>
      <c r="BB546">
        <v>7</v>
      </c>
      <c r="BC546">
        <v>7</v>
      </c>
      <c r="BD546" t="s">
        <v>74</v>
      </c>
      <c r="BE546" t="s">
        <v>10739</v>
      </c>
      <c r="BF546" t="str">
        <f>HYPERLINK("http://dx.doi.org/10.1093/astrogeo/aty164","http://dx.doi.org/10.1093/astrogeo/aty164")</f>
        <v>http://dx.doi.org/10.1093/astrogeo/aty164</v>
      </c>
      <c r="BG546" t="s">
        <v>74</v>
      </c>
      <c r="BH546" t="s">
        <v>74</v>
      </c>
      <c r="BI546">
        <v>1</v>
      </c>
      <c r="BJ546" t="s">
        <v>10740</v>
      </c>
      <c r="BK546" t="s">
        <v>101</v>
      </c>
      <c r="BL546" t="s">
        <v>10740</v>
      </c>
      <c r="BM546" t="s">
        <v>10741</v>
      </c>
      <c r="BN546" t="s">
        <v>74</v>
      </c>
      <c r="BO546" t="s">
        <v>74</v>
      </c>
      <c r="BP546" t="s">
        <v>74</v>
      </c>
      <c r="BQ546" t="s">
        <v>74</v>
      </c>
      <c r="BR546" t="s">
        <v>104</v>
      </c>
      <c r="BS546" t="s">
        <v>10742</v>
      </c>
      <c r="BT546" t="str">
        <f>HYPERLINK("https%3A%2F%2Fwww.webofscience.com%2Fwos%2Fwoscc%2Ffull-record%2FWOS:000440980900010","View Full Record in Web of Science")</f>
        <v>View Full Record in Web of Science</v>
      </c>
    </row>
    <row r="547" spans="1:72" x14ac:dyDescent="0.15">
      <c r="A547" t="s">
        <v>72</v>
      </c>
      <c r="B547" t="s">
        <v>10743</v>
      </c>
      <c r="C547" t="s">
        <v>74</v>
      </c>
      <c r="D547" t="s">
        <v>74</v>
      </c>
      <c r="E547" t="s">
        <v>74</v>
      </c>
      <c r="F547" t="s">
        <v>10744</v>
      </c>
      <c r="G547" t="s">
        <v>74</v>
      </c>
      <c r="H547" t="s">
        <v>74</v>
      </c>
      <c r="I547" t="s">
        <v>10745</v>
      </c>
      <c r="J547" t="s">
        <v>10746</v>
      </c>
      <c r="K547" t="s">
        <v>74</v>
      </c>
      <c r="L547" t="s">
        <v>74</v>
      </c>
      <c r="M547" t="s">
        <v>78</v>
      </c>
      <c r="N547" t="s">
        <v>79</v>
      </c>
      <c r="O547" t="s">
        <v>74</v>
      </c>
      <c r="P547" t="s">
        <v>74</v>
      </c>
      <c r="Q547" t="s">
        <v>74</v>
      </c>
      <c r="R547" t="s">
        <v>74</v>
      </c>
      <c r="S547" t="s">
        <v>74</v>
      </c>
      <c r="T547" t="s">
        <v>10747</v>
      </c>
      <c r="U547" t="s">
        <v>10748</v>
      </c>
      <c r="V547" t="s">
        <v>10749</v>
      </c>
      <c r="W547" t="s">
        <v>10750</v>
      </c>
      <c r="X547" t="s">
        <v>10751</v>
      </c>
      <c r="Y547" t="s">
        <v>10752</v>
      </c>
      <c r="Z547" t="s">
        <v>74</v>
      </c>
      <c r="AA547" t="s">
        <v>10753</v>
      </c>
      <c r="AB547" t="s">
        <v>10754</v>
      </c>
      <c r="AC547" t="s">
        <v>10755</v>
      </c>
      <c r="AD547" t="s">
        <v>10756</v>
      </c>
      <c r="AE547" t="s">
        <v>10757</v>
      </c>
      <c r="AF547" t="s">
        <v>74</v>
      </c>
      <c r="AG547">
        <v>19</v>
      </c>
      <c r="AH547">
        <v>8</v>
      </c>
      <c r="AI547">
        <v>8</v>
      </c>
      <c r="AJ547">
        <v>1</v>
      </c>
      <c r="AK547">
        <v>8</v>
      </c>
      <c r="AL547" t="s">
        <v>10048</v>
      </c>
      <c r="AM547" t="s">
        <v>10049</v>
      </c>
      <c r="AN547" t="s">
        <v>10050</v>
      </c>
      <c r="AO547" t="s">
        <v>10758</v>
      </c>
      <c r="AP547" t="s">
        <v>10759</v>
      </c>
      <c r="AQ547" t="s">
        <v>74</v>
      </c>
      <c r="AR547" t="s">
        <v>10760</v>
      </c>
      <c r="AS547" t="s">
        <v>10761</v>
      </c>
      <c r="AT547" t="s">
        <v>9643</v>
      </c>
      <c r="AU547">
        <v>2018</v>
      </c>
      <c r="AV547">
        <v>862</v>
      </c>
      <c r="AW547">
        <v>2</v>
      </c>
      <c r="AX547" t="s">
        <v>74</v>
      </c>
      <c r="AY547" t="s">
        <v>74</v>
      </c>
      <c r="AZ547" t="s">
        <v>74</v>
      </c>
      <c r="BA547" t="s">
        <v>74</v>
      </c>
      <c r="BB547" t="s">
        <v>74</v>
      </c>
      <c r="BC547" t="s">
        <v>74</v>
      </c>
      <c r="BD547">
        <v>170</v>
      </c>
      <c r="BE547" t="s">
        <v>10762</v>
      </c>
      <c r="BF547" t="str">
        <f>HYPERLINK("http://dx.doi.org/10.3847/1538-4357/aacdfe","http://dx.doi.org/10.3847/1538-4357/aacdfe")</f>
        <v>http://dx.doi.org/10.3847/1538-4357/aacdfe</v>
      </c>
      <c r="BG547" t="s">
        <v>74</v>
      </c>
      <c r="BH547" t="s">
        <v>74</v>
      </c>
      <c r="BI547">
        <v>9</v>
      </c>
      <c r="BJ547" t="s">
        <v>1301</v>
      </c>
      <c r="BK547" t="s">
        <v>101</v>
      </c>
      <c r="BL547" t="s">
        <v>1301</v>
      </c>
      <c r="BM547" t="s">
        <v>10763</v>
      </c>
      <c r="BN547" t="s">
        <v>74</v>
      </c>
      <c r="BO547" t="s">
        <v>10764</v>
      </c>
      <c r="BP547" t="s">
        <v>74</v>
      </c>
      <c r="BQ547" t="s">
        <v>74</v>
      </c>
      <c r="BR547" t="s">
        <v>104</v>
      </c>
      <c r="BS547" t="s">
        <v>10765</v>
      </c>
      <c r="BT547" t="str">
        <f>HYPERLINK("https%3A%2F%2Fwww.webofscience.com%2Fwos%2Fwoscc%2Ffull-record%2FWOS:000440726900008","View Full Record in Web of Science")</f>
        <v>View Full Record in Web of Science</v>
      </c>
    </row>
    <row r="548" spans="1:72" x14ac:dyDescent="0.15">
      <c r="A548" t="s">
        <v>72</v>
      </c>
      <c r="B548" t="s">
        <v>10766</v>
      </c>
      <c r="C548" t="s">
        <v>74</v>
      </c>
      <c r="D548" t="s">
        <v>74</v>
      </c>
      <c r="E548" t="s">
        <v>74</v>
      </c>
      <c r="F548" t="s">
        <v>10767</v>
      </c>
      <c r="G548" t="s">
        <v>74</v>
      </c>
      <c r="H548" t="s">
        <v>74</v>
      </c>
      <c r="I548" t="s">
        <v>10768</v>
      </c>
      <c r="J548" t="s">
        <v>2525</v>
      </c>
      <c r="K548" t="s">
        <v>74</v>
      </c>
      <c r="L548" t="s">
        <v>74</v>
      </c>
      <c r="M548" t="s">
        <v>78</v>
      </c>
      <c r="N548" t="s">
        <v>79</v>
      </c>
      <c r="O548" t="s">
        <v>74</v>
      </c>
      <c r="P548" t="s">
        <v>74</v>
      </c>
      <c r="Q548" t="s">
        <v>74</v>
      </c>
      <c r="R548" t="s">
        <v>74</v>
      </c>
      <c r="S548" t="s">
        <v>74</v>
      </c>
      <c r="T548" t="s">
        <v>74</v>
      </c>
      <c r="U548" t="s">
        <v>10769</v>
      </c>
      <c r="V548" t="s">
        <v>74</v>
      </c>
      <c r="W548" t="s">
        <v>10770</v>
      </c>
      <c r="X548" t="s">
        <v>10771</v>
      </c>
      <c r="Y548" t="s">
        <v>10772</v>
      </c>
      <c r="Z548" t="s">
        <v>74</v>
      </c>
      <c r="AA548" t="s">
        <v>10773</v>
      </c>
      <c r="AB548" t="s">
        <v>10774</v>
      </c>
      <c r="AC548" t="s">
        <v>10775</v>
      </c>
      <c r="AD548" t="s">
        <v>10776</v>
      </c>
      <c r="AE548" t="s">
        <v>10777</v>
      </c>
      <c r="AF548" t="s">
        <v>74</v>
      </c>
      <c r="AG548">
        <v>962</v>
      </c>
      <c r="AH548">
        <v>81</v>
      </c>
      <c r="AI548">
        <v>96</v>
      </c>
      <c r="AJ548">
        <v>4</v>
      </c>
      <c r="AK548">
        <v>94</v>
      </c>
      <c r="AL548" t="s">
        <v>785</v>
      </c>
      <c r="AM548" t="s">
        <v>786</v>
      </c>
      <c r="AN548" t="s">
        <v>2531</v>
      </c>
      <c r="AO548" t="s">
        <v>2532</v>
      </c>
      <c r="AP548" t="s">
        <v>2533</v>
      </c>
      <c r="AQ548" t="s">
        <v>74</v>
      </c>
      <c r="AR548" t="s">
        <v>2534</v>
      </c>
      <c r="AS548" t="s">
        <v>2535</v>
      </c>
      <c r="AT548" t="s">
        <v>9050</v>
      </c>
      <c r="AU548">
        <v>2018</v>
      </c>
      <c r="AV548">
        <v>99</v>
      </c>
      <c r="AW548">
        <v>8</v>
      </c>
      <c r="AX548" t="s">
        <v>74</v>
      </c>
      <c r="AY548" t="s">
        <v>74</v>
      </c>
      <c r="AZ548" t="s">
        <v>74</v>
      </c>
      <c r="BA548" t="s">
        <v>74</v>
      </c>
      <c r="BB548" t="s">
        <v>10778</v>
      </c>
      <c r="BC548" t="s">
        <v>10779</v>
      </c>
      <c r="BD548" t="s">
        <v>74</v>
      </c>
      <c r="BE548" t="s">
        <v>74</v>
      </c>
      <c r="BF548" t="s">
        <v>74</v>
      </c>
      <c r="BG548" t="s">
        <v>74</v>
      </c>
      <c r="BH548" t="s">
        <v>74</v>
      </c>
      <c r="BI548">
        <v>310</v>
      </c>
      <c r="BJ548" t="s">
        <v>369</v>
      </c>
      <c r="BK548" t="s">
        <v>101</v>
      </c>
      <c r="BL548" t="s">
        <v>369</v>
      </c>
      <c r="BM548" t="s">
        <v>10780</v>
      </c>
      <c r="BN548" t="s">
        <v>74</v>
      </c>
      <c r="BO548" t="s">
        <v>74</v>
      </c>
      <c r="BP548" t="s">
        <v>74</v>
      </c>
      <c r="BQ548" t="s">
        <v>74</v>
      </c>
      <c r="BR548" t="s">
        <v>104</v>
      </c>
      <c r="BS548" t="s">
        <v>10781</v>
      </c>
      <c r="BT548" t="str">
        <f>HYPERLINK("https%3A%2F%2Fwww.webofscience.com%2Fwos%2Fwoscc%2Ffull-record%2FWOS:000453721600001","View Full Record in Web of Science")</f>
        <v>View Full Record in Web of Science</v>
      </c>
    </row>
    <row r="549" spans="1:72" x14ac:dyDescent="0.15">
      <c r="A549" t="s">
        <v>72</v>
      </c>
      <c r="B549" t="s">
        <v>10782</v>
      </c>
      <c r="C549" t="s">
        <v>74</v>
      </c>
      <c r="D549" t="s">
        <v>74</v>
      </c>
      <c r="E549" t="s">
        <v>74</v>
      </c>
      <c r="F549" t="s">
        <v>10783</v>
      </c>
      <c r="G549" t="s">
        <v>74</v>
      </c>
      <c r="H549" t="s">
        <v>74</v>
      </c>
      <c r="I549" t="s">
        <v>10784</v>
      </c>
      <c r="J549" t="s">
        <v>10785</v>
      </c>
      <c r="K549" t="s">
        <v>74</v>
      </c>
      <c r="L549" t="s">
        <v>74</v>
      </c>
      <c r="M549" t="s">
        <v>78</v>
      </c>
      <c r="N549" t="s">
        <v>79</v>
      </c>
      <c r="O549" t="s">
        <v>74</v>
      </c>
      <c r="P549" t="s">
        <v>74</v>
      </c>
      <c r="Q549" t="s">
        <v>74</v>
      </c>
      <c r="R549" t="s">
        <v>74</v>
      </c>
      <c r="S549" t="s">
        <v>74</v>
      </c>
      <c r="T549" t="s">
        <v>10786</v>
      </c>
      <c r="U549" t="s">
        <v>10787</v>
      </c>
      <c r="V549" t="s">
        <v>10788</v>
      </c>
      <c r="W549" t="s">
        <v>10789</v>
      </c>
      <c r="X549" t="s">
        <v>10790</v>
      </c>
      <c r="Y549" t="s">
        <v>10791</v>
      </c>
      <c r="Z549" t="s">
        <v>10792</v>
      </c>
      <c r="AA549" t="s">
        <v>10793</v>
      </c>
      <c r="AB549" t="s">
        <v>10794</v>
      </c>
      <c r="AC549" t="s">
        <v>10795</v>
      </c>
      <c r="AD549" t="s">
        <v>10796</v>
      </c>
      <c r="AE549" t="s">
        <v>10797</v>
      </c>
      <c r="AF549" t="s">
        <v>74</v>
      </c>
      <c r="AG549">
        <v>58</v>
      </c>
      <c r="AH549">
        <v>52</v>
      </c>
      <c r="AI549">
        <v>57</v>
      </c>
      <c r="AJ549">
        <v>0</v>
      </c>
      <c r="AK549">
        <v>49</v>
      </c>
      <c r="AL549" t="s">
        <v>758</v>
      </c>
      <c r="AM549" t="s">
        <v>759</v>
      </c>
      <c r="AN549" t="s">
        <v>760</v>
      </c>
      <c r="AO549" t="s">
        <v>10798</v>
      </c>
      <c r="AP549" t="s">
        <v>10799</v>
      </c>
      <c r="AQ549" t="s">
        <v>74</v>
      </c>
      <c r="AR549" t="s">
        <v>10800</v>
      </c>
      <c r="AS549" t="s">
        <v>10801</v>
      </c>
      <c r="AT549" t="s">
        <v>9050</v>
      </c>
      <c r="AU549">
        <v>2018</v>
      </c>
      <c r="AV549">
        <v>24</v>
      </c>
      <c r="AW549">
        <v>8</v>
      </c>
      <c r="AX549" t="s">
        <v>74</v>
      </c>
      <c r="AY549" t="s">
        <v>74</v>
      </c>
      <c r="AZ549" t="s">
        <v>74</v>
      </c>
      <c r="BA549" t="s">
        <v>74</v>
      </c>
      <c r="BB549">
        <v>1036</v>
      </c>
      <c r="BC549">
        <v>1046</v>
      </c>
      <c r="BD549" t="s">
        <v>74</v>
      </c>
      <c r="BE549" t="s">
        <v>10802</v>
      </c>
      <c r="BF549" t="str">
        <f>HYPERLINK("http://dx.doi.org/10.1111/ddi.12753","http://dx.doi.org/10.1111/ddi.12753")</f>
        <v>http://dx.doi.org/10.1111/ddi.12753</v>
      </c>
      <c r="BG549" t="s">
        <v>74</v>
      </c>
      <c r="BH549" t="s">
        <v>74</v>
      </c>
      <c r="BI549">
        <v>11</v>
      </c>
      <c r="BJ549" t="s">
        <v>1209</v>
      </c>
      <c r="BK549" t="s">
        <v>101</v>
      </c>
      <c r="BL549" t="s">
        <v>1210</v>
      </c>
      <c r="BM549" t="s">
        <v>10803</v>
      </c>
      <c r="BN549" t="s">
        <v>74</v>
      </c>
      <c r="BO549" t="s">
        <v>712</v>
      </c>
      <c r="BP549" t="s">
        <v>74</v>
      </c>
      <c r="BQ549" t="s">
        <v>74</v>
      </c>
      <c r="BR549" t="s">
        <v>104</v>
      </c>
      <c r="BS549" t="s">
        <v>10804</v>
      </c>
      <c r="BT549" t="str">
        <f>HYPERLINK("https%3A%2F%2Fwww.webofscience.com%2Fwos%2Fwoscc%2Ffull-record%2FWOS:000438200700001","View Full Record in Web of Science")</f>
        <v>View Full Record in Web of Science</v>
      </c>
    </row>
    <row r="550" spans="1:72" x14ac:dyDescent="0.15">
      <c r="A550" t="s">
        <v>72</v>
      </c>
      <c r="B550" t="s">
        <v>10805</v>
      </c>
      <c r="C550" t="s">
        <v>74</v>
      </c>
      <c r="D550" t="s">
        <v>74</v>
      </c>
      <c r="E550" t="s">
        <v>74</v>
      </c>
      <c r="F550" t="s">
        <v>10806</v>
      </c>
      <c r="G550" t="s">
        <v>74</v>
      </c>
      <c r="H550" t="s">
        <v>74</v>
      </c>
      <c r="I550" t="s">
        <v>10807</v>
      </c>
      <c r="J550" t="s">
        <v>10808</v>
      </c>
      <c r="K550" t="s">
        <v>74</v>
      </c>
      <c r="L550" t="s">
        <v>74</v>
      </c>
      <c r="M550" t="s">
        <v>78</v>
      </c>
      <c r="N550" t="s">
        <v>79</v>
      </c>
      <c r="O550" t="s">
        <v>74</v>
      </c>
      <c r="P550" t="s">
        <v>74</v>
      </c>
      <c r="Q550" t="s">
        <v>74</v>
      </c>
      <c r="R550" t="s">
        <v>74</v>
      </c>
      <c r="S550" t="s">
        <v>74</v>
      </c>
      <c r="T550" t="s">
        <v>10809</v>
      </c>
      <c r="U550" t="s">
        <v>10810</v>
      </c>
      <c r="V550" t="s">
        <v>10811</v>
      </c>
      <c r="W550" t="s">
        <v>10812</v>
      </c>
      <c r="X550" t="s">
        <v>10813</v>
      </c>
      <c r="Y550" t="s">
        <v>10814</v>
      </c>
      <c r="Z550" t="s">
        <v>10815</v>
      </c>
      <c r="AA550" t="s">
        <v>10816</v>
      </c>
      <c r="AB550" t="s">
        <v>10817</v>
      </c>
      <c r="AC550" t="s">
        <v>10818</v>
      </c>
      <c r="AD550" t="s">
        <v>10819</v>
      </c>
      <c r="AE550" t="s">
        <v>10820</v>
      </c>
      <c r="AF550" t="s">
        <v>74</v>
      </c>
      <c r="AG550">
        <v>60</v>
      </c>
      <c r="AH550">
        <v>42</v>
      </c>
      <c r="AI550">
        <v>46</v>
      </c>
      <c r="AJ550">
        <v>3</v>
      </c>
      <c r="AK550">
        <v>19</v>
      </c>
      <c r="AL550" t="s">
        <v>758</v>
      </c>
      <c r="AM550" t="s">
        <v>759</v>
      </c>
      <c r="AN550" t="s">
        <v>760</v>
      </c>
      <c r="AO550" t="s">
        <v>10821</v>
      </c>
      <c r="AP550" t="s">
        <v>74</v>
      </c>
      <c r="AQ550" t="s">
        <v>74</v>
      </c>
      <c r="AR550" t="s">
        <v>10808</v>
      </c>
      <c r="AS550" t="s">
        <v>10822</v>
      </c>
      <c r="AT550" t="s">
        <v>9050</v>
      </c>
      <c r="AU550">
        <v>2018</v>
      </c>
      <c r="AV550">
        <v>9</v>
      </c>
      <c r="AW550">
        <v>8</v>
      </c>
      <c r="AX550" t="s">
        <v>74</v>
      </c>
      <c r="AY550" t="s">
        <v>74</v>
      </c>
      <c r="AZ550" t="s">
        <v>74</v>
      </c>
      <c r="BA550" t="s">
        <v>74</v>
      </c>
      <c r="BB550" t="s">
        <v>74</v>
      </c>
      <c r="BC550" t="s">
        <v>74</v>
      </c>
      <c r="BD550" t="s">
        <v>10823</v>
      </c>
      <c r="BE550" t="s">
        <v>10824</v>
      </c>
      <c r="BF550" t="str">
        <f>HYPERLINK("http://dx.doi.org/10.1002/ecs2.2392","http://dx.doi.org/10.1002/ecs2.2392")</f>
        <v>http://dx.doi.org/10.1002/ecs2.2392</v>
      </c>
      <c r="BG550" t="s">
        <v>74</v>
      </c>
      <c r="BH550" t="s">
        <v>74</v>
      </c>
      <c r="BI550">
        <v>18</v>
      </c>
      <c r="BJ550" t="s">
        <v>2087</v>
      </c>
      <c r="BK550" t="s">
        <v>101</v>
      </c>
      <c r="BL550" t="s">
        <v>559</v>
      </c>
      <c r="BM550" t="s">
        <v>10825</v>
      </c>
      <c r="BN550" t="s">
        <v>74</v>
      </c>
      <c r="BO550" t="s">
        <v>9552</v>
      </c>
      <c r="BP550" t="s">
        <v>74</v>
      </c>
      <c r="BQ550" t="s">
        <v>74</v>
      </c>
      <c r="BR550" t="s">
        <v>104</v>
      </c>
      <c r="BS550" t="s">
        <v>10826</v>
      </c>
      <c r="BT550" t="str">
        <f>HYPERLINK("https%3A%2F%2Fwww.webofscience.com%2Fwos%2Fwoscc%2Ffull-record%2FWOS:000448271400030","View Full Record in Web of Science")</f>
        <v>View Full Record in Web of Science</v>
      </c>
    </row>
    <row r="551" spans="1:72" x14ac:dyDescent="0.15">
      <c r="A551" t="s">
        <v>72</v>
      </c>
      <c r="B551" t="s">
        <v>10827</v>
      </c>
      <c r="C551" t="s">
        <v>74</v>
      </c>
      <c r="D551" t="s">
        <v>74</v>
      </c>
      <c r="E551" t="s">
        <v>74</v>
      </c>
      <c r="F551" t="s">
        <v>10828</v>
      </c>
      <c r="G551" t="s">
        <v>74</v>
      </c>
      <c r="H551" t="s">
        <v>74</v>
      </c>
      <c r="I551" t="s">
        <v>10829</v>
      </c>
      <c r="J551" t="s">
        <v>9303</v>
      </c>
      <c r="K551" t="s">
        <v>74</v>
      </c>
      <c r="L551" t="s">
        <v>74</v>
      </c>
      <c r="M551" t="s">
        <v>78</v>
      </c>
      <c r="N551" t="s">
        <v>79</v>
      </c>
      <c r="O551" t="s">
        <v>74</v>
      </c>
      <c r="P551" t="s">
        <v>74</v>
      </c>
      <c r="Q551" t="s">
        <v>74</v>
      </c>
      <c r="R551" t="s">
        <v>74</v>
      </c>
      <c r="S551" t="s">
        <v>74</v>
      </c>
      <c r="T551" t="s">
        <v>74</v>
      </c>
      <c r="U551" t="s">
        <v>10830</v>
      </c>
      <c r="V551" t="s">
        <v>10831</v>
      </c>
      <c r="W551" t="s">
        <v>10832</v>
      </c>
      <c r="X551" t="s">
        <v>10833</v>
      </c>
      <c r="Y551" t="s">
        <v>10834</v>
      </c>
      <c r="Z551" t="s">
        <v>10835</v>
      </c>
      <c r="AA551" t="s">
        <v>10836</v>
      </c>
      <c r="AB551" t="s">
        <v>10837</v>
      </c>
      <c r="AC551" t="s">
        <v>10838</v>
      </c>
      <c r="AD551" t="s">
        <v>10839</v>
      </c>
      <c r="AE551" t="s">
        <v>10840</v>
      </c>
      <c r="AF551" t="s">
        <v>74</v>
      </c>
      <c r="AG551">
        <v>58</v>
      </c>
      <c r="AH551">
        <v>5</v>
      </c>
      <c r="AI551">
        <v>5</v>
      </c>
      <c r="AJ551">
        <v>1</v>
      </c>
      <c r="AK551">
        <v>26</v>
      </c>
      <c r="AL551" t="s">
        <v>758</v>
      </c>
      <c r="AM551" t="s">
        <v>759</v>
      </c>
      <c r="AN551" t="s">
        <v>760</v>
      </c>
      <c r="AO551" t="s">
        <v>9315</v>
      </c>
      <c r="AP551" t="s">
        <v>9316</v>
      </c>
      <c r="AQ551" t="s">
        <v>74</v>
      </c>
      <c r="AR551" t="s">
        <v>9317</v>
      </c>
      <c r="AS551" t="s">
        <v>9318</v>
      </c>
      <c r="AT551" t="s">
        <v>9050</v>
      </c>
      <c r="AU551">
        <v>2018</v>
      </c>
      <c r="AV551">
        <v>20</v>
      </c>
      <c r="AW551">
        <v>8</v>
      </c>
      <c r="AX551" t="s">
        <v>74</v>
      </c>
      <c r="AY551" t="s">
        <v>74</v>
      </c>
      <c r="AZ551" t="s">
        <v>155</v>
      </c>
      <c r="BA551" t="s">
        <v>74</v>
      </c>
      <c r="BB551">
        <v>3100</v>
      </c>
      <c r="BC551">
        <v>3108</v>
      </c>
      <c r="BD551" t="s">
        <v>74</v>
      </c>
      <c r="BE551" t="s">
        <v>10841</v>
      </c>
      <c r="BF551" t="str">
        <f>HYPERLINK("http://dx.doi.org/10.1111/1462-2920.14383","http://dx.doi.org/10.1111/1462-2920.14383")</f>
        <v>http://dx.doi.org/10.1111/1462-2920.14383</v>
      </c>
      <c r="BG551" t="s">
        <v>74</v>
      </c>
      <c r="BH551" t="s">
        <v>74</v>
      </c>
      <c r="BI551">
        <v>9</v>
      </c>
      <c r="BJ551" t="s">
        <v>344</v>
      </c>
      <c r="BK551" t="s">
        <v>101</v>
      </c>
      <c r="BL551" t="s">
        <v>344</v>
      </c>
      <c r="BM551" t="s">
        <v>9320</v>
      </c>
      <c r="BN551">
        <v>30109757</v>
      </c>
      <c r="BO551" t="s">
        <v>74</v>
      </c>
      <c r="BP551" t="s">
        <v>74</v>
      </c>
      <c r="BQ551" t="s">
        <v>74</v>
      </c>
      <c r="BR551" t="s">
        <v>104</v>
      </c>
      <c r="BS551" t="s">
        <v>10842</v>
      </c>
      <c r="BT551" t="str">
        <f>HYPERLINK("https%3A%2F%2Fwww.webofscience.com%2Fwos%2Fwoscc%2Ffull-record%2FWOS:000445184600030","View Full Record in Web of Science")</f>
        <v>View Full Record in Web of Science</v>
      </c>
    </row>
    <row r="552" spans="1:72" x14ac:dyDescent="0.15">
      <c r="A552" t="s">
        <v>72</v>
      </c>
      <c r="B552" t="s">
        <v>10843</v>
      </c>
      <c r="C552" t="s">
        <v>74</v>
      </c>
      <c r="D552" t="s">
        <v>74</v>
      </c>
      <c r="E552" t="s">
        <v>74</v>
      </c>
      <c r="F552" t="s">
        <v>10844</v>
      </c>
      <c r="G552" t="s">
        <v>74</v>
      </c>
      <c r="H552" t="s">
        <v>74</v>
      </c>
      <c r="I552" t="s">
        <v>10845</v>
      </c>
      <c r="J552" t="s">
        <v>10846</v>
      </c>
      <c r="K552" t="s">
        <v>74</v>
      </c>
      <c r="L552" t="s">
        <v>74</v>
      </c>
      <c r="M552" t="s">
        <v>78</v>
      </c>
      <c r="N552" t="s">
        <v>79</v>
      </c>
      <c r="O552" t="s">
        <v>74</v>
      </c>
      <c r="P552" t="s">
        <v>74</v>
      </c>
      <c r="Q552" t="s">
        <v>74</v>
      </c>
      <c r="R552" t="s">
        <v>74</v>
      </c>
      <c r="S552" t="s">
        <v>74</v>
      </c>
      <c r="T552" t="s">
        <v>10847</v>
      </c>
      <c r="U552" t="s">
        <v>10848</v>
      </c>
      <c r="V552" t="s">
        <v>10849</v>
      </c>
      <c r="W552" t="s">
        <v>10850</v>
      </c>
      <c r="X552" t="s">
        <v>10851</v>
      </c>
      <c r="Y552" t="s">
        <v>10852</v>
      </c>
      <c r="Z552" t="s">
        <v>10853</v>
      </c>
      <c r="AA552" t="s">
        <v>10854</v>
      </c>
      <c r="AB552" t="s">
        <v>10855</v>
      </c>
      <c r="AC552" t="s">
        <v>10856</v>
      </c>
      <c r="AD552" t="s">
        <v>5889</v>
      </c>
      <c r="AE552" t="s">
        <v>10857</v>
      </c>
      <c r="AF552" t="s">
        <v>74</v>
      </c>
      <c r="AG552">
        <v>52</v>
      </c>
      <c r="AH552">
        <v>45</v>
      </c>
      <c r="AI552">
        <v>48</v>
      </c>
      <c r="AJ552">
        <v>6</v>
      </c>
      <c r="AK552">
        <v>68</v>
      </c>
      <c r="AL552" t="s">
        <v>758</v>
      </c>
      <c r="AM552" t="s">
        <v>759</v>
      </c>
      <c r="AN552" t="s">
        <v>760</v>
      </c>
      <c r="AO552" t="s">
        <v>10858</v>
      </c>
      <c r="AP552" t="s">
        <v>10859</v>
      </c>
      <c r="AQ552" t="s">
        <v>74</v>
      </c>
      <c r="AR552" t="s">
        <v>10860</v>
      </c>
      <c r="AS552" t="s">
        <v>10861</v>
      </c>
      <c r="AT552" t="s">
        <v>9050</v>
      </c>
      <c r="AU552">
        <v>2018</v>
      </c>
      <c r="AV552">
        <v>32</v>
      </c>
      <c r="AW552">
        <v>8</v>
      </c>
      <c r="AX552" t="s">
        <v>74</v>
      </c>
      <c r="AY552" t="s">
        <v>74</v>
      </c>
      <c r="AZ552" t="s">
        <v>74</v>
      </c>
      <c r="BA552" t="s">
        <v>74</v>
      </c>
      <c r="BB552">
        <v>1982</v>
      </c>
      <c r="BC552">
        <v>1994</v>
      </c>
      <c r="BD552" t="s">
        <v>74</v>
      </c>
      <c r="BE552" t="s">
        <v>10862</v>
      </c>
      <c r="BF552" t="str">
        <f>HYPERLINK("http://dx.doi.org/10.1111/1365-2435.13077","http://dx.doi.org/10.1111/1365-2435.13077")</f>
        <v>http://dx.doi.org/10.1111/1365-2435.13077</v>
      </c>
      <c r="BG552" t="s">
        <v>74</v>
      </c>
      <c r="BH552" t="s">
        <v>74</v>
      </c>
      <c r="BI552">
        <v>13</v>
      </c>
      <c r="BJ552" t="s">
        <v>2087</v>
      </c>
      <c r="BK552" t="s">
        <v>101</v>
      </c>
      <c r="BL552" t="s">
        <v>559</v>
      </c>
      <c r="BM552" t="s">
        <v>10863</v>
      </c>
      <c r="BN552" t="s">
        <v>74</v>
      </c>
      <c r="BO552" t="s">
        <v>6905</v>
      </c>
      <c r="BP552" t="s">
        <v>74</v>
      </c>
      <c r="BQ552" t="s">
        <v>74</v>
      </c>
      <c r="BR552" t="s">
        <v>104</v>
      </c>
      <c r="BS552" t="s">
        <v>10864</v>
      </c>
      <c r="BT552" t="str">
        <f>HYPERLINK("https%3A%2F%2Fwww.webofscience.com%2Fwos%2Fwoscc%2Ffull-record%2FWOS:000440651400008","View Full Record in Web of Science")</f>
        <v>View Full Record in Web of Science</v>
      </c>
    </row>
    <row r="553" spans="1:72" x14ac:dyDescent="0.15">
      <c r="A553" t="s">
        <v>72</v>
      </c>
      <c r="B553" t="s">
        <v>10865</v>
      </c>
      <c r="C553" t="s">
        <v>74</v>
      </c>
      <c r="D553" t="s">
        <v>74</v>
      </c>
      <c r="E553" t="s">
        <v>74</v>
      </c>
      <c r="F553" t="s">
        <v>10866</v>
      </c>
      <c r="G553" t="s">
        <v>74</v>
      </c>
      <c r="H553" t="s">
        <v>74</v>
      </c>
      <c r="I553" t="s">
        <v>10867</v>
      </c>
      <c r="J553" t="s">
        <v>10868</v>
      </c>
      <c r="K553" t="s">
        <v>74</v>
      </c>
      <c r="L553" t="s">
        <v>74</v>
      </c>
      <c r="M553" t="s">
        <v>78</v>
      </c>
      <c r="N553" t="s">
        <v>79</v>
      </c>
      <c r="O553" t="s">
        <v>74</v>
      </c>
      <c r="P553" t="s">
        <v>74</v>
      </c>
      <c r="Q553" t="s">
        <v>74</v>
      </c>
      <c r="R553" t="s">
        <v>74</v>
      </c>
      <c r="S553" t="s">
        <v>74</v>
      </c>
      <c r="T553" t="s">
        <v>10869</v>
      </c>
      <c r="U553" t="s">
        <v>10870</v>
      </c>
      <c r="V553" t="s">
        <v>10871</v>
      </c>
      <c r="W553" t="s">
        <v>10872</v>
      </c>
      <c r="X553" t="s">
        <v>10873</v>
      </c>
      <c r="Y553" t="s">
        <v>10874</v>
      </c>
      <c r="Z553" t="s">
        <v>10875</v>
      </c>
      <c r="AA553" t="s">
        <v>10876</v>
      </c>
      <c r="AB553" t="s">
        <v>10877</v>
      </c>
      <c r="AC553" t="s">
        <v>10878</v>
      </c>
      <c r="AD553" t="s">
        <v>10879</v>
      </c>
      <c r="AE553" t="s">
        <v>10880</v>
      </c>
      <c r="AF553" t="s">
        <v>74</v>
      </c>
      <c r="AG553">
        <v>122</v>
      </c>
      <c r="AH553">
        <v>25</v>
      </c>
      <c r="AI553">
        <v>27</v>
      </c>
      <c r="AJ553">
        <v>3</v>
      </c>
      <c r="AK553">
        <v>18</v>
      </c>
      <c r="AL553" t="s">
        <v>10881</v>
      </c>
      <c r="AM553" t="s">
        <v>10882</v>
      </c>
      <c r="AN553" t="s">
        <v>10883</v>
      </c>
      <c r="AO553" t="s">
        <v>10884</v>
      </c>
      <c r="AP553" t="s">
        <v>74</v>
      </c>
      <c r="AQ553" t="s">
        <v>74</v>
      </c>
      <c r="AR553" t="s">
        <v>10885</v>
      </c>
      <c r="AS553" t="s">
        <v>10886</v>
      </c>
      <c r="AT553" t="s">
        <v>9050</v>
      </c>
      <c r="AU553">
        <v>2018</v>
      </c>
      <c r="AV553">
        <v>8</v>
      </c>
      <c r="AW553">
        <v>8</v>
      </c>
      <c r="AX553" t="s">
        <v>74</v>
      </c>
      <c r="AY553" t="s">
        <v>74</v>
      </c>
      <c r="AZ553" t="s">
        <v>74</v>
      </c>
      <c r="BA553" t="s">
        <v>74</v>
      </c>
      <c r="BB553">
        <v>2709</v>
      </c>
      <c r="BC553">
        <v>2722</v>
      </c>
      <c r="BD553" t="s">
        <v>74</v>
      </c>
      <c r="BE553" t="s">
        <v>10887</v>
      </c>
      <c r="BF553" t="str">
        <f>HYPERLINK("http://dx.doi.org/10.1534/g3.118.200171","http://dx.doi.org/10.1534/g3.118.200171")</f>
        <v>http://dx.doi.org/10.1534/g3.118.200171</v>
      </c>
      <c r="BG553" t="s">
        <v>74</v>
      </c>
      <c r="BH553" t="s">
        <v>74</v>
      </c>
      <c r="BI553">
        <v>14</v>
      </c>
      <c r="BJ553" t="s">
        <v>6331</v>
      </c>
      <c r="BK553" t="s">
        <v>101</v>
      </c>
      <c r="BL553" t="s">
        <v>6331</v>
      </c>
      <c r="BM553" t="s">
        <v>10888</v>
      </c>
      <c r="BN553">
        <v>29954843</v>
      </c>
      <c r="BO553" t="s">
        <v>10889</v>
      </c>
      <c r="BP553" t="s">
        <v>74</v>
      </c>
      <c r="BQ553" t="s">
        <v>74</v>
      </c>
      <c r="BR553" t="s">
        <v>104</v>
      </c>
      <c r="BS553" t="s">
        <v>10890</v>
      </c>
      <c r="BT553" t="str">
        <f>HYPERLINK("https%3A%2F%2Fwww.webofscience.com%2Fwos%2Fwoscc%2Ffull-record%2FWOS:000440327400017","View Full Record in Web of Science")</f>
        <v>View Full Record in Web of Science</v>
      </c>
    </row>
    <row r="554" spans="1:72" x14ac:dyDescent="0.15">
      <c r="A554" t="s">
        <v>72</v>
      </c>
      <c r="B554" t="s">
        <v>10891</v>
      </c>
      <c r="C554" t="s">
        <v>74</v>
      </c>
      <c r="D554" t="s">
        <v>74</v>
      </c>
      <c r="E554" t="s">
        <v>74</v>
      </c>
      <c r="F554" t="s">
        <v>10892</v>
      </c>
      <c r="G554" t="s">
        <v>74</v>
      </c>
      <c r="H554" t="s">
        <v>74</v>
      </c>
      <c r="I554" t="s">
        <v>10893</v>
      </c>
      <c r="J554" t="s">
        <v>10894</v>
      </c>
      <c r="K554" t="s">
        <v>74</v>
      </c>
      <c r="L554" t="s">
        <v>74</v>
      </c>
      <c r="M554" t="s">
        <v>78</v>
      </c>
      <c r="N554" t="s">
        <v>79</v>
      </c>
      <c r="O554" t="s">
        <v>74</v>
      </c>
      <c r="P554" t="s">
        <v>74</v>
      </c>
      <c r="Q554" t="s">
        <v>74</v>
      </c>
      <c r="R554" t="s">
        <v>74</v>
      </c>
      <c r="S554" t="s">
        <v>74</v>
      </c>
      <c r="T554" t="s">
        <v>10895</v>
      </c>
      <c r="U554" t="s">
        <v>10896</v>
      </c>
      <c r="V554" t="s">
        <v>10897</v>
      </c>
      <c r="W554" t="s">
        <v>10898</v>
      </c>
      <c r="X554" t="s">
        <v>10899</v>
      </c>
      <c r="Y554" t="s">
        <v>10900</v>
      </c>
      <c r="Z554" t="s">
        <v>10901</v>
      </c>
      <c r="AA554" t="s">
        <v>10902</v>
      </c>
      <c r="AB554" t="s">
        <v>10903</v>
      </c>
      <c r="AC554" t="s">
        <v>10904</v>
      </c>
      <c r="AD554" t="s">
        <v>10905</v>
      </c>
      <c r="AE554" t="s">
        <v>10906</v>
      </c>
      <c r="AF554" t="s">
        <v>74</v>
      </c>
      <c r="AG554">
        <v>175</v>
      </c>
      <c r="AH554">
        <v>171</v>
      </c>
      <c r="AI554">
        <v>189</v>
      </c>
      <c r="AJ554">
        <v>24</v>
      </c>
      <c r="AK554">
        <v>135</v>
      </c>
      <c r="AL554" t="s">
        <v>285</v>
      </c>
      <c r="AM554" t="s">
        <v>286</v>
      </c>
      <c r="AN554" t="s">
        <v>287</v>
      </c>
      <c r="AO554" t="s">
        <v>10907</v>
      </c>
      <c r="AP554" t="s">
        <v>10908</v>
      </c>
      <c r="AQ554" t="s">
        <v>74</v>
      </c>
      <c r="AR554" t="s">
        <v>10909</v>
      </c>
      <c r="AS554" t="s">
        <v>10910</v>
      </c>
      <c r="AT554" t="s">
        <v>9050</v>
      </c>
      <c r="AU554">
        <v>2018</v>
      </c>
      <c r="AV554">
        <v>167</v>
      </c>
      <c r="AW554" t="s">
        <v>74</v>
      </c>
      <c r="AX554" t="s">
        <v>74</v>
      </c>
      <c r="AY554" t="s">
        <v>74</v>
      </c>
      <c r="AZ554" t="s">
        <v>74</v>
      </c>
      <c r="BA554" t="s">
        <v>74</v>
      </c>
      <c r="BB554">
        <v>1</v>
      </c>
      <c r="BC554">
        <v>23</v>
      </c>
      <c r="BD554" t="s">
        <v>74</v>
      </c>
      <c r="BE554" t="s">
        <v>10911</v>
      </c>
      <c r="BF554" t="str">
        <f>HYPERLINK("http://dx.doi.org/10.1016/j.gloplacha.2018.04.004","http://dx.doi.org/10.1016/j.gloplacha.2018.04.004")</f>
        <v>http://dx.doi.org/10.1016/j.gloplacha.2018.04.004</v>
      </c>
      <c r="BG554" t="s">
        <v>74</v>
      </c>
      <c r="BH554" t="s">
        <v>74</v>
      </c>
      <c r="BI554">
        <v>23</v>
      </c>
      <c r="BJ554" t="s">
        <v>208</v>
      </c>
      <c r="BK554" t="s">
        <v>101</v>
      </c>
      <c r="BL554" t="s">
        <v>209</v>
      </c>
      <c r="BM554" t="s">
        <v>10912</v>
      </c>
      <c r="BN554" t="s">
        <v>74</v>
      </c>
      <c r="BO554" t="s">
        <v>346</v>
      </c>
      <c r="BP554" t="s">
        <v>1167</v>
      </c>
      <c r="BQ554" t="s">
        <v>1168</v>
      </c>
      <c r="BR554" t="s">
        <v>104</v>
      </c>
      <c r="BS554" t="s">
        <v>10913</v>
      </c>
      <c r="BT554" t="str">
        <f>HYPERLINK("https%3A%2F%2Fwww.webofscience.com%2Fwos%2Fwoscc%2Ffull-record%2FWOS:000438322900001","View Full Record in Web of Science")</f>
        <v>View Full Record in Web of Science</v>
      </c>
    </row>
    <row r="555" spans="1:72" x14ac:dyDescent="0.15">
      <c r="A555" t="s">
        <v>72</v>
      </c>
      <c r="B555" t="s">
        <v>10914</v>
      </c>
      <c r="C555" t="s">
        <v>74</v>
      </c>
      <c r="D555" t="s">
        <v>74</v>
      </c>
      <c r="E555" t="s">
        <v>74</v>
      </c>
      <c r="F555" t="s">
        <v>10915</v>
      </c>
      <c r="G555" t="s">
        <v>74</v>
      </c>
      <c r="H555" t="s">
        <v>74</v>
      </c>
      <c r="I555" t="s">
        <v>10916</v>
      </c>
      <c r="J555" t="s">
        <v>2652</v>
      </c>
      <c r="K555" t="s">
        <v>74</v>
      </c>
      <c r="L555" t="s">
        <v>74</v>
      </c>
      <c r="M555" t="s">
        <v>78</v>
      </c>
      <c r="N555" t="s">
        <v>79</v>
      </c>
      <c r="O555" t="s">
        <v>74</v>
      </c>
      <c r="P555" t="s">
        <v>74</v>
      </c>
      <c r="Q555" t="s">
        <v>74</v>
      </c>
      <c r="R555" t="s">
        <v>74</v>
      </c>
      <c r="S555" t="s">
        <v>74</v>
      </c>
      <c r="T555" t="s">
        <v>10917</v>
      </c>
      <c r="U555" t="s">
        <v>10918</v>
      </c>
      <c r="V555" t="s">
        <v>10919</v>
      </c>
      <c r="W555" t="s">
        <v>10920</v>
      </c>
      <c r="X555" t="s">
        <v>10921</v>
      </c>
      <c r="Y555" t="s">
        <v>10922</v>
      </c>
      <c r="Z555" t="s">
        <v>10923</v>
      </c>
      <c r="AA555" t="s">
        <v>10924</v>
      </c>
      <c r="AB555" t="s">
        <v>10925</v>
      </c>
      <c r="AC555" t="s">
        <v>10926</v>
      </c>
      <c r="AD555" t="s">
        <v>10927</v>
      </c>
      <c r="AE555" t="s">
        <v>10926</v>
      </c>
      <c r="AF555" t="s">
        <v>74</v>
      </c>
      <c r="AG555">
        <v>53</v>
      </c>
      <c r="AH555">
        <v>25</v>
      </c>
      <c r="AI555">
        <v>26</v>
      </c>
      <c r="AJ555">
        <v>0</v>
      </c>
      <c r="AK555">
        <v>32</v>
      </c>
      <c r="AL555" t="s">
        <v>758</v>
      </c>
      <c r="AM555" t="s">
        <v>759</v>
      </c>
      <c r="AN555" t="s">
        <v>760</v>
      </c>
      <c r="AO555" t="s">
        <v>2665</v>
      </c>
      <c r="AP555" t="s">
        <v>2666</v>
      </c>
      <c r="AQ555" t="s">
        <v>74</v>
      </c>
      <c r="AR555" t="s">
        <v>2667</v>
      </c>
      <c r="AS555" t="s">
        <v>2668</v>
      </c>
      <c r="AT555" t="s">
        <v>9050</v>
      </c>
      <c r="AU555">
        <v>2018</v>
      </c>
      <c r="AV555">
        <v>24</v>
      </c>
      <c r="AW555">
        <v>8</v>
      </c>
      <c r="AX555" t="s">
        <v>74</v>
      </c>
      <c r="AY555" t="s">
        <v>74</v>
      </c>
      <c r="AZ555" t="s">
        <v>74</v>
      </c>
      <c r="BA555" t="s">
        <v>74</v>
      </c>
      <c r="BB555">
        <v>3642</v>
      </c>
      <c r="BC555">
        <v>3653</v>
      </c>
      <c r="BD555" t="s">
        <v>74</v>
      </c>
      <c r="BE555" t="s">
        <v>10928</v>
      </c>
      <c r="BF555" t="str">
        <f>HYPERLINK("http://dx.doi.org/10.1111/gcb.14291","http://dx.doi.org/10.1111/gcb.14291")</f>
        <v>http://dx.doi.org/10.1111/gcb.14291</v>
      </c>
      <c r="BG555" t="s">
        <v>74</v>
      </c>
      <c r="BH555" t="s">
        <v>74</v>
      </c>
      <c r="BI555">
        <v>12</v>
      </c>
      <c r="BJ555" t="s">
        <v>2560</v>
      </c>
      <c r="BK555" t="s">
        <v>101</v>
      </c>
      <c r="BL555" t="s">
        <v>1210</v>
      </c>
      <c r="BM555" t="s">
        <v>10929</v>
      </c>
      <c r="BN555">
        <v>29704449</v>
      </c>
      <c r="BO555" t="s">
        <v>74</v>
      </c>
      <c r="BP555" t="s">
        <v>74</v>
      </c>
      <c r="BQ555" t="s">
        <v>74</v>
      </c>
      <c r="BR555" t="s">
        <v>104</v>
      </c>
      <c r="BS555" t="s">
        <v>10930</v>
      </c>
      <c r="BT555" t="str">
        <f>HYPERLINK("https%3A%2F%2Fwww.webofscience.com%2Fwos%2Fwoscc%2Ffull-record%2FWOS:000437284700031","View Full Record in Web of Science")</f>
        <v>View Full Record in Web of Science</v>
      </c>
    </row>
    <row r="556" spans="1:72" x14ac:dyDescent="0.15">
      <c r="A556" t="s">
        <v>72</v>
      </c>
      <c r="B556" t="s">
        <v>10931</v>
      </c>
      <c r="C556" t="s">
        <v>74</v>
      </c>
      <c r="D556" t="s">
        <v>74</v>
      </c>
      <c r="E556" t="s">
        <v>74</v>
      </c>
      <c r="F556" t="s">
        <v>10932</v>
      </c>
      <c r="G556" t="s">
        <v>74</v>
      </c>
      <c r="H556" t="s">
        <v>74</v>
      </c>
      <c r="I556" t="s">
        <v>10933</v>
      </c>
      <c r="J556" t="s">
        <v>10934</v>
      </c>
      <c r="K556" t="s">
        <v>74</v>
      </c>
      <c r="L556" t="s">
        <v>74</v>
      </c>
      <c r="M556" t="s">
        <v>78</v>
      </c>
      <c r="N556" t="s">
        <v>79</v>
      </c>
      <c r="O556" t="s">
        <v>74</v>
      </c>
      <c r="P556" t="s">
        <v>74</v>
      </c>
      <c r="Q556" t="s">
        <v>74</v>
      </c>
      <c r="R556" t="s">
        <v>74</v>
      </c>
      <c r="S556" t="s">
        <v>74</v>
      </c>
      <c r="T556" t="s">
        <v>10935</v>
      </c>
      <c r="U556" t="s">
        <v>10936</v>
      </c>
      <c r="V556" t="s">
        <v>10937</v>
      </c>
      <c r="W556" t="s">
        <v>10938</v>
      </c>
      <c r="X556" t="s">
        <v>10939</v>
      </c>
      <c r="Y556" t="s">
        <v>10940</v>
      </c>
      <c r="Z556" t="s">
        <v>3320</v>
      </c>
      <c r="AA556" t="s">
        <v>10941</v>
      </c>
      <c r="AB556" t="s">
        <v>10942</v>
      </c>
      <c r="AC556" t="s">
        <v>10943</v>
      </c>
      <c r="AD556" t="s">
        <v>10943</v>
      </c>
      <c r="AE556" t="s">
        <v>10944</v>
      </c>
      <c r="AF556" t="s">
        <v>74</v>
      </c>
      <c r="AG556">
        <v>28</v>
      </c>
      <c r="AH556">
        <v>5</v>
      </c>
      <c r="AI556">
        <v>5</v>
      </c>
      <c r="AJ556">
        <v>0</v>
      </c>
      <c r="AK556">
        <v>3</v>
      </c>
      <c r="AL556" t="s">
        <v>285</v>
      </c>
      <c r="AM556" t="s">
        <v>286</v>
      </c>
      <c r="AN556" t="s">
        <v>287</v>
      </c>
      <c r="AO556" t="s">
        <v>10945</v>
      </c>
      <c r="AP556" t="s">
        <v>74</v>
      </c>
      <c r="AQ556" t="s">
        <v>74</v>
      </c>
      <c r="AR556" t="s">
        <v>10946</v>
      </c>
      <c r="AS556" t="s">
        <v>10947</v>
      </c>
      <c r="AT556" t="s">
        <v>9050</v>
      </c>
      <c r="AU556">
        <v>2018</v>
      </c>
      <c r="AV556">
        <v>7</v>
      </c>
      <c r="AW556">
        <v>2</v>
      </c>
      <c r="AX556" t="s">
        <v>74</v>
      </c>
      <c r="AY556" t="s">
        <v>74</v>
      </c>
      <c r="AZ556" t="s">
        <v>74</v>
      </c>
      <c r="BA556" t="s">
        <v>74</v>
      </c>
      <c r="BB556">
        <v>155</v>
      </c>
      <c r="BC556">
        <v>160</v>
      </c>
      <c r="BD556" t="s">
        <v>74</v>
      </c>
      <c r="BE556" t="s">
        <v>10948</v>
      </c>
      <c r="BF556" t="str">
        <f>HYPERLINK("http://dx.doi.org/10.1016/j.ijppaw.2018.04.002","http://dx.doi.org/10.1016/j.ijppaw.2018.04.002")</f>
        <v>http://dx.doi.org/10.1016/j.ijppaw.2018.04.002</v>
      </c>
      <c r="BG556" t="s">
        <v>74</v>
      </c>
      <c r="BH556" t="s">
        <v>74</v>
      </c>
      <c r="BI556">
        <v>6</v>
      </c>
      <c r="BJ556" t="s">
        <v>10949</v>
      </c>
      <c r="BK556" t="s">
        <v>101</v>
      </c>
      <c r="BL556" t="s">
        <v>10950</v>
      </c>
      <c r="BM556" t="s">
        <v>10951</v>
      </c>
      <c r="BN556">
        <v>29988875</v>
      </c>
      <c r="BO556" t="s">
        <v>439</v>
      </c>
      <c r="BP556" t="s">
        <v>74</v>
      </c>
      <c r="BQ556" t="s">
        <v>74</v>
      </c>
      <c r="BR556" t="s">
        <v>104</v>
      </c>
      <c r="BS556" t="s">
        <v>10952</v>
      </c>
      <c r="BT556" t="str">
        <f>HYPERLINK("https%3A%2F%2Fwww.webofscience.com%2Fwos%2Fwoscc%2Ffull-record%2FWOS:000438781400006","View Full Record in Web of Science")</f>
        <v>View Full Record in Web of Science</v>
      </c>
    </row>
    <row r="557" spans="1:72" x14ac:dyDescent="0.15">
      <c r="A557" t="s">
        <v>72</v>
      </c>
      <c r="B557" t="s">
        <v>10953</v>
      </c>
      <c r="C557" t="s">
        <v>74</v>
      </c>
      <c r="D557" t="s">
        <v>74</v>
      </c>
      <c r="E557" t="s">
        <v>74</v>
      </c>
      <c r="F557" t="s">
        <v>10954</v>
      </c>
      <c r="G557" t="s">
        <v>74</v>
      </c>
      <c r="H557" t="s">
        <v>74</v>
      </c>
      <c r="I557" t="s">
        <v>10955</v>
      </c>
      <c r="J557" t="s">
        <v>773</v>
      </c>
      <c r="K557" t="s">
        <v>74</v>
      </c>
      <c r="L557" t="s">
        <v>74</v>
      </c>
      <c r="M557" t="s">
        <v>78</v>
      </c>
      <c r="N557" t="s">
        <v>273</v>
      </c>
      <c r="O557" t="s">
        <v>74</v>
      </c>
      <c r="P557" t="s">
        <v>74</v>
      </c>
      <c r="Q557" t="s">
        <v>74</v>
      </c>
      <c r="R557" t="s">
        <v>74</v>
      </c>
      <c r="S557" t="s">
        <v>74</v>
      </c>
      <c r="T557" t="s">
        <v>74</v>
      </c>
      <c r="U557" t="s">
        <v>10956</v>
      </c>
      <c r="V557" t="s">
        <v>10957</v>
      </c>
      <c r="W557" t="s">
        <v>10958</v>
      </c>
      <c r="X557" t="s">
        <v>10959</v>
      </c>
      <c r="Y557" t="s">
        <v>10960</v>
      </c>
      <c r="Z557" t="s">
        <v>10961</v>
      </c>
      <c r="AA557" t="s">
        <v>10962</v>
      </c>
      <c r="AB557" t="s">
        <v>10963</v>
      </c>
      <c r="AC557" t="s">
        <v>10964</v>
      </c>
      <c r="AD557" t="s">
        <v>10965</v>
      </c>
      <c r="AE557" t="s">
        <v>10966</v>
      </c>
      <c r="AF557" t="s">
        <v>74</v>
      </c>
      <c r="AG557">
        <v>193</v>
      </c>
      <c r="AH557">
        <v>87</v>
      </c>
      <c r="AI557">
        <v>97</v>
      </c>
      <c r="AJ557">
        <v>9</v>
      </c>
      <c r="AK557">
        <v>95</v>
      </c>
      <c r="AL557" t="s">
        <v>785</v>
      </c>
      <c r="AM557" t="s">
        <v>786</v>
      </c>
      <c r="AN557" t="s">
        <v>787</v>
      </c>
      <c r="AO557" t="s">
        <v>788</v>
      </c>
      <c r="AP557" t="s">
        <v>789</v>
      </c>
      <c r="AQ557" t="s">
        <v>74</v>
      </c>
      <c r="AR557" t="s">
        <v>790</v>
      </c>
      <c r="AS557" t="s">
        <v>791</v>
      </c>
      <c r="AT557" t="s">
        <v>9050</v>
      </c>
      <c r="AU557">
        <v>2018</v>
      </c>
      <c r="AV557">
        <v>31</v>
      </c>
      <c r="AW557">
        <v>15</v>
      </c>
      <c r="AX557" t="s">
        <v>74</v>
      </c>
      <c r="AY557" t="s">
        <v>74</v>
      </c>
      <c r="AZ557" t="s">
        <v>74</v>
      </c>
      <c r="BA557" t="s">
        <v>74</v>
      </c>
      <c r="BB557">
        <v>5765</v>
      </c>
      <c r="BC557">
        <v>5792</v>
      </c>
      <c r="BD557" t="s">
        <v>74</v>
      </c>
      <c r="BE557" t="s">
        <v>10967</v>
      </c>
      <c r="BF557" t="str">
        <f>HYPERLINK("http://dx.doi.org/10.1175/JCLI-D-16-0637.1","http://dx.doi.org/10.1175/JCLI-D-16-0637.1")</f>
        <v>http://dx.doi.org/10.1175/JCLI-D-16-0637.1</v>
      </c>
      <c r="BG557" t="s">
        <v>74</v>
      </c>
      <c r="BH557" t="s">
        <v>74</v>
      </c>
      <c r="BI557">
        <v>28</v>
      </c>
      <c r="BJ557" t="s">
        <v>369</v>
      </c>
      <c r="BK557" t="s">
        <v>101</v>
      </c>
      <c r="BL557" t="s">
        <v>369</v>
      </c>
      <c r="BM557" t="s">
        <v>10968</v>
      </c>
      <c r="BN557" t="s">
        <v>74</v>
      </c>
      <c r="BO557" t="s">
        <v>712</v>
      </c>
      <c r="BP557" t="s">
        <v>74</v>
      </c>
      <c r="BQ557" t="s">
        <v>74</v>
      </c>
      <c r="BR557" t="s">
        <v>104</v>
      </c>
      <c r="BS557" t="s">
        <v>10969</v>
      </c>
      <c r="BT557" t="str">
        <f>HYPERLINK("https%3A%2F%2Fwww.webofscience.com%2Fwos%2Fwoscc%2Ffull-record%2FWOS:000438848800001","View Full Record in Web of Science")</f>
        <v>View Full Record in Web of Science</v>
      </c>
    </row>
    <row r="558" spans="1:72" x14ac:dyDescent="0.15">
      <c r="A558" t="s">
        <v>72</v>
      </c>
      <c r="B558" t="s">
        <v>10970</v>
      </c>
      <c r="C558" t="s">
        <v>74</v>
      </c>
      <c r="D558" t="s">
        <v>74</v>
      </c>
      <c r="E558" t="s">
        <v>74</v>
      </c>
      <c r="F558" t="s">
        <v>10971</v>
      </c>
      <c r="G558" t="s">
        <v>74</v>
      </c>
      <c r="H558" t="s">
        <v>74</v>
      </c>
      <c r="I558" t="s">
        <v>10972</v>
      </c>
      <c r="J558" t="s">
        <v>9413</v>
      </c>
      <c r="K558" t="s">
        <v>74</v>
      </c>
      <c r="L558" t="s">
        <v>74</v>
      </c>
      <c r="M558" t="s">
        <v>78</v>
      </c>
      <c r="N558" t="s">
        <v>79</v>
      </c>
      <c r="O558" t="s">
        <v>74</v>
      </c>
      <c r="P558" t="s">
        <v>74</v>
      </c>
      <c r="Q558" t="s">
        <v>74</v>
      </c>
      <c r="R558" t="s">
        <v>74</v>
      </c>
      <c r="S558" t="s">
        <v>74</v>
      </c>
      <c r="T558" t="s">
        <v>10973</v>
      </c>
      <c r="U558" t="s">
        <v>10974</v>
      </c>
      <c r="V558" t="s">
        <v>10975</v>
      </c>
      <c r="W558" t="s">
        <v>10976</v>
      </c>
      <c r="X558" t="s">
        <v>10977</v>
      </c>
      <c r="Y558" t="s">
        <v>10978</v>
      </c>
      <c r="Z558" t="s">
        <v>10979</v>
      </c>
      <c r="AA558" t="s">
        <v>10980</v>
      </c>
      <c r="AB558" t="s">
        <v>10981</v>
      </c>
      <c r="AC558" t="s">
        <v>10982</v>
      </c>
      <c r="AD558" t="s">
        <v>10983</v>
      </c>
      <c r="AE558" t="s">
        <v>10984</v>
      </c>
      <c r="AF558" t="s">
        <v>74</v>
      </c>
      <c r="AG558">
        <v>64</v>
      </c>
      <c r="AH558">
        <v>18</v>
      </c>
      <c r="AI558">
        <v>19</v>
      </c>
      <c r="AJ558">
        <v>1</v>
      </c>
      <c r="AK558">
        <v>22</v>
      </c>
      <c r="AL558" t="s">
        <v>9426</v>
      </c>
      <c r="AM558" t="s">
        <v>730</v>
      </c>
      <c r="AN558" t="s">
        <v>9427</v>
      </c>
      <c r="AO558" t="s">
        <v>9428</v>
      </c>
      <c r="AP558" t="s">
        <v>9429</v>
      </c>
      <c r="AQ558" t="s">
        <v>74</v>
      </c>
      <c r="AR558" t="s">
        <v>9430</v>
      </c>
      <c r="AS558" t="s">
        <v>9431</v>
      </c>
      <c r="AT558" t="s">
        <v>9050</v>
      </c>
      <c r="AU558">
        <v>2018</v>
      </c>
      <c r="AV558">
        <v>221</v>
      </c>
      <c r="AW558">
        <v>15</v>
      </c>
      <c r="AX558" t="s">
        <v>74</v>
      </c>
      <c r="AY558" t="s">
        <v>74</v>
      </c>
      <c r="AZ558" t="s">
        <v>74</v>
      </c>
      <c r="BA558" t="s">
        <v>74</v>
      </c>
      <c r="BB558" t="s">
        <v>74</v>
      </c>
      <c r="BC558" t="s">
        <v>74</v>
      </c>
      <c r="BD558" t="s">
        <v>10985</v>
      </c>
      <c r="BE558" t="s">
        <v>10986</v>
      </c>
      <c r="BF558" t="str">
        <f>HYPERLINK("http://dx.doi.org/10.1242/jeb.183160","http://dx.doi.org/10.1242/jeb.183160")</f>
        <v>http://dx.doi.org/10.1242/jeb.183160</v>
      </c>
      <c r="BG558" t="s">
        <v>74</v>
      </c>
      <c r="BH558" t="s">
        <v>74</v>
      </c>
      <c r="BI558">
        <v>12</v>
      </c>
      <c r="BJ558" t="s">
        <v>7485</v>
      </c>
      <c r="BK558" t="s">
        <v>101</v>
      </c>
      <c r="BL558" t="s">
        <v>7486</v>
      </c>
      <c r="BM558" t="s">
        <v>9434</v>
      </c>
      <c r="BN558">
        <v>29967219</v>
      </c>
      <c r="BO558" t="s">
        <v>346</v>
      </c>
      <c r="BP558" t="s">
        <v>74</v>
      </c>
      <c r="BQ558" t="s">
        <v>74</v>
      </c>
      <c r="BR558" t="s">
        <v>104</v>
      </c>
      <c r="BS558" t="s">
        <v>10987</v>
      </c>
      <c r="BT558" t="str">
        <f>HYPERLINK("https%3A%2F%2Fwww.webofscience.com%2Fwos%2Fwoscc%2Ffull-record%2FWOS:000441894200018","View Full Record in Web of Science")</f>
        <v>View Full Record in Web of Science</v>
      </c>
    </row>
    <row r="559" spans="1:72" x14ac:dyDescent="0.15">
      <c r="A559" t="s">
        <v>72</v>
      </c>
      <c r="B559" t="s">
        <v>10988</v>
      </c>
      <c r="C559" t="s">
        <v>74</v>
      </c>
      <c r="D559" t="s">
        <v>74</v>
      </c>
      <c r="E559" t="s">
        <v>74</v>
      </c>
      <c r="F559" t="s">
        <v>10989</v>
      </c>
      <c r="G559" t="s">
        <v>74</v>
      </c>
      <c r="H559" t="s">
        <v>74</v>
      </c>
      <c r="I559" t="s">
        <v>10990</v>
      </c>
      <c r="J559" t="s">
        <v>10991</v>
      </c>
      <c r="K559" t="s">
        <v>74</v>
      </c>
      <c r="L559" t="s">
        <v>74</v>
      </c>
      <c r="M559" t="s">
        <v>78</v>
      </c>
      <c r="N559" t="s">
        <v>79</v>
      </c>
      <c r="O559" t="s">
        <v>74</v>
      </c>
      <c r="P559" t="s">
        <v>74</v>
      </c>
      <c r="Q559" t="s">
        <v>74</v>
      </c>
      <c r="R559" t="s">
        <v>74</v>
      </c>
      <c r="S559" t="s">
        <v>74</v>
      </c>
      <c r="T559" t="s">
        <v>10992</v>
      </c>
      <c r="U559" t="s">
        <v>10993</v>
      </c>
      <c r="V559" t="s">
        <v>10994</v>
      </c>
      <c r="W559" t="s">
        <v>10995</v>
      </c>
      <c r="X559" t="s">
        <v>10996</v>
      </c>
      <c r="Y559" t="s">
        <v>10997</v>
      </c>
      <c r="Z559" t="s">
        <v>10998</v>
      </c>
      <c r="AA559" t="s">
        <v>10999</v>
      </c>
      <c r="AB559" t="s">
        <v>11000</v>
      </c>
      <c r="AC559" t="s">
        <v>11001</v>
      </c>
      <c r="AD559" t="s">
        <v>11002</v>
      </c>
      <c r="AE559" t="s">
        <v>11003</v>
      </c>
      <c r="AF559" t="s">
        <v>74</v>
      </c>
      <c r="AG559">
        <v>40</v>
      </c>
      <c r="AH559">
        <v>9</v>
      </c>
      <c r="AI559">
        <v>9</v>
      </c>
      <c r="AJ559">
        <v>3</v>
      </c>
      <c r="AK559">
        <v>28</v>
      </c>
      <c r="AL559" t="s">
        <v>285</v>
      </c>
      <c r="AM559" t="s">
        <v>286</v>
      </c>
      <c r="AN559" t="s">
        <v>287</v>
      </c>
      <c r="AO559" t="s">
        <v>11004</v>
      </c>
      <c r="AP559" t="s">
        <v>11005</v>
      </c>
      <c r="AQ559" t="s">
        <v>74</v>
      </c>
      <c r="AR559" t="s">
        <v>11006</v>
      </c>
      <c r="AS559" t="s">
        <v>11007</v>
      </c>
      <c r="AT559" t="s">
        <v>9050</v>
      </c>
      <c r="AU559">
        <v>2018</v>
      </c>
      <c r="AV559">
        <v>505</v>
      </c>
      <c r="AW559" t="s">
        <v>74</v>
      </c>
      <c r="AX559" t="s">
        <v>74</v>
      </c>
      <c r="AY559" t="s">
        <v>74</v>
      </c>
      <c r="AZ559" t="s">
        <v>74</v>
      </c>
      <c r="BA559" t="s">
        <v>74</v>
      </c>
      <c r="BB559">
        <v>45</v>
      </c>
      <c r="BC559">
        <v>51</v>
      </c>
      <c r="BD559" t="s">
        <v>74</v>
      </c>
      <c r="BE559" t="s">
        <v>11008</v>
      </c>
      <c r="BF559" t="str">
        <f>HYPERLINK("http://dx.doi.org/10.1016/j.jembe.2018.05.001","http://dx.doi.org/10.1016/j.jembe.2018.05.001")</f>
        <v>http://dx.doi.org/10.1016/j.jembe.2018.05.001</v>
      </c>
      <c r="BG559" t="s">
        <v>74</v>
      </c>
      <c r="BH559" t="s">
        <v>74</v>
      </c>
      <c r="BI559">
        <v>7</v>
      </c>
      <c r="BJ559" t="s">
        <v>11009</v>
      </c>
      <c r="BK559" t="s">
        <v>101</v>
      </c>
      <c r="BL559" t="s">
        <v>3451</v>
      </c>
      <c r="BM559" t="s">
        <v>11010</v>
      </c>
      <c r="BN559" t="s">
        <v>74</v>
      </c>
      <c r="BO559" t="s">
        <v>74</v>
      </c>
      <c r="BP559" t="s">
        <v>74</v>
      </c>
      <c r="BQ559" t="s">
        <v>74</v>
      </c>
      <c r="BR559" t="s">
        <v>104</v>
      </c>
      <c r="BS559" t="s">
        <v>11011</v>
      </c>
      <c r="BT559" t="str">
        <f>HYPERLINK("https%3A%2F%2Fwww.webofscience.com%2Fwos%2Fwoscc%2Ffull-record%2FWOS:000436917600006","View Full Record in Web of Science")</f>
        <v>View Full Record in Web of Science</v>
      </c>
    </row>
    <row r="560" spans="1:72" x14ac:dyDescent="0.15">
      <c r="A560" t="s">
        <v>72</v>
      </c>
      <c r="B560" t="s">
        <v>11012</v>
      </c>
      <c r="C560" t="s">
        <v>74</v>
      </c>
      <c r="D560" t="s">
        <v>74</v>
      </c>
      <c r="E560" t="s">
        <v>74</v>
      </c>
      <c r="F560" t="s">
        <v>11013</v>
      </c>
      <c r="G560" t="s">
        <v>74</v>
      </c>
      <c r="H560" t="s">
        <v>74</v>
      </c>
      <c r="I560" t="s">
        <v>11014</v>
      </c>
      <c r="J560" t="s">
        <v>798</v>
      </c>
      <c r="K560" t="s">
        <v>74</v>
      </c>
      <c r="L560" t="s">
        <v>74</v>
      </c>
      <c r="M560" t="s">
        <v>78</v>
      </c>
      <c r="N560" t="s">
        <v>79</v>
      </c>
      <c r="O560" t="s">
        <v>74</v>
      </c>
      <c r="P560" t="s">
        <v>74</v>
      </c>
      <c r="Q560" t="s">
        <v>74</v>
      </c>
      <c r="R560" t="s">
        <v>74</v>
      </c>
      <c r="S560" t="s">
        <v>74</v>
      </c>
      <c r="T560" t="s">
        <v>11015</v>
      </c>
      <c r="U560" t="s">
        <v>11016</v>
      </c>
      <c r="V560" t="s">
        <v>11017</v>
      </c>
      <c r="W560" t="s">
        <v>11018</v>
      </c>
      <c r="X560" t="s">
        <v>11019</v>
      </c>
      <c r="Y560" t="s">
        <v>11020</v>
      </c>
      <c r="Z560" t="s">
        <v>11021</v>
      </c>
      <c r="AA560" t="s">
        <v>11022</v>
      </c>
      <c r="AB560" t="s">
        <v>11023</v>
      </c>
      <c r="AC560" t="s">
        <v>11024</v>
      </c>
      <c r="AD560" t="s">
        <v>11025</v>
      </c>
      <c r="AE560" t="s">
        <v>11026</v>
      </c>
      <c r="AF560" t="s">
        <v>74</v>
      </c>
      <c r="AG560">
        <v>30</v>
      </c>
      <c r="AH560">
        <v>35</v>
      </c>
      <c r="AI560">
        <v>37</v>
      </c>
      <c r="AJ560">
        <v>1</v>
      </c>
      <c r="AK560">
        <v>11</v>
      </c>
      <c r="AL560" t="s">
        <v>503</v>
      </c>
      <c r="AM560" t="s">
        <v>504</v>
      </c>
      <c r="AN560" t="s">
        <v>505</v>
      </c>
      <c r="AO560" t="s">
        <v>811</v>
      </c>
      <c r="AP560" t="s">
        <v>812</v>
      </c>
      <c r="AQ560" t="s">
        <v>74</v>
      </c>
      <c r="AR560" t="s">
        <v>813</v>
      </c>
      <c r="AS560" t="s">
        <v>814</v>
      </c>
      <c r="AT560" t="s">
        <v>9050</v>
      </c>
      <c r="AU560">
        <v>2018</v>
      </c>
      <c r="AV560">
        <v>123</v>
      </c>
      <c r="AW560">
        <v>8</v>
      </c>
      <c r="AX560" t="s">
        <v>74</v>
      </c>
      <c r="AY560" t="s">
        <v>74</v>
      </c>
      <c r="AZ560" t="s">
        <v>74</v>
      </c>
      <c r="BA560" t="s">
        <v>74</v>
      </c>
      <c r="BB560">
        <v>5912</v>
      </c>
      <c r="BC560">
        <v>5932</v>
      </c>
      <c r="BD560" t="s">
        <v>74</v>
      </c>
      <c r="BE560" t="s">
        <v>11027</v>
      </c>
      <c r="BF560" t="str">
        <f>HYPERLINK("http://dx.doi.org/10.1029/2018JC013763","http://dx.doi.org/10.1029/2018JC013763")</f>
        <v>http://dx.doi.org/10.1029/2018JC013763</v>
      </c>
      <c r="BG560" t="s">
        <v>74</v>
      </c>
      <c r="BH560" t="s">
        <v>74</v>
      </c>
      <c r="BI560">
        <v>21</v>
      </c>
      <c r="BJ560" t="s">
        <v>157</v>
      </c>
      <c r="BK560" t="s">
        <v>101</v>
      </c>
      <c r="BL560" t="s">
        <v>157</v>
      </c>
      <c r="BM560" t="s">
        <v>9532</v>
      </c>
      <c r="BN560" t="s">
        <v>74</v>
      </c>
      <c r="BO560" t="s">
        <v>486</v>
      </c>
      <c r="BP560" t="s">
        <v>74</v>
      </c>
      <c r="BQ560" t="s">
        <v>74</v>
      </c>
      <c r="BR560" t="s">
        <v>104</v>
      </c>
      <c r="BS560" t="s">
        <v>11028</v>
      </c>
      <c r="BT560" t="str">
        <f>HYPERLINK("https%3A%2F%2Fwww.webofscience.com%2Fwos%2Fwoscc%2Ffull-record%2FWOS:000445188900052","View Full Record in Web of Science")</f>
        <v>View Full Record in Web of Science</v>
      </c>
    </row>
    <row r="561" spans="1:72" x14ac:dyDescent="0.15">
      <c r="A561" t="s">
        <v>72</v>
      </c>
      <c r="B561" t="s">
        <v>11029</v>
      </c>
      <c r="C561" t="s">
        <v>74</v>
      </c>
      <c r="D561" t="s">
        <v>74</v>
      </c>
      <c r="E561" t="s">
        <v>74</v>
      </c>
      <c r="F561" t="s">
        <v>11030</v>
      </c>
      <c r="G561" t="s">
        <v>74</v>
      </c>
      <c r="H561" t="s">
        <v>74</v>
      </c>
      <c r="I561" t="s">
        <v>11031</v>
      </c>
      <c r="J561" t="s">
        <v>2027</v>
      </c>
      <c r="K561" t="s">
        <v>74</v>
      </c>
      <c r="L561" t="s">
        <v>74</v>
      </c>
      <c r="M561" t="s">
        <v>78</v>
      </c>
      <c r="N561" t="s">
        <v>2499</v>
      </c>
      <c r="O561" t="s">
        <v>74</v>
      </c>
      <c r="P561" t="s">
        <v>74</v>
      </c>
      <c r="Q561" t="s">
        <v>74</v>
      </c>
      <c r="R561" t="s">
        <v>74</v>
      </c>
      <c r="S561" t="s">
        <v>74</v>
      </c>
      <c r="T561" t="s">
        <v>74</v>
      </c>
      <c r="U561" t="s">
        <v>74</v>
      </c>
      <c r="V561" t="s">
        <v>74</v>
      </c>
      <c r="W561" t="s">
        <v>11032</v>
      </c>
      <c r="X561" t="s">
        <v>11033</v>
      </c>
      <c r="Y561" t="s">
        <v>11034</v>
      </c>
      <c r="Z561" t="s">
        <v>11035</v>
      </c>
      <c r="AA561" t="s">
        <v>11036</v>
      </c>
      <c r="AB561" t="s">
        <v>11037</v>
      </c>
      <c r="AC561" t="s">
        <v>74</v>
      </c>
      <c r="AD561" t="s">
        <v>74</v>
      </c>
      <c r="AE561" t="s">
        <v>74</v>
      </c>
      <c r="AF561" t="s">
        <v>74</v>
      </c>
      <c r="AG561">
        <v>0</v>
      </c>
      <c r="AH561">
        <v>0</v>
      </c>
      <c r="AI561">
        <v>0</v>
      </c>
      <c r="AJ561">
        <v>1</v>
      </c>
      <c r="AK561">
        <v>5</v>
      </c>
      <c r="AL561" t="s">
        <v>2036</v>
      </c>
      <c r="AM561" t="s">
        <v>2037</v>
      </c>
      <c r="AN561" t="s">
        <v>2038</v>
      </c>
      <c r="AO561" t="s">
        <v>2039</v>
      </c>
      <c r="AP561" t="s">
        <v>2040</v>
      </c>
      <c r="AQ561" t="s">
        <v>74</v>
      </c>
      <c r="AR561" t="s">
        <v>2041</v>
      </c>
      <c r="AS561" t="s">
        <v>2042</v>
      </c>
      <c r="AT561" t="s">
        <v>9050</v>
      </c>
      <c r="AU561">
        <v>2018</v>
      </c>
      <c r="AV561">
        <v>92</v>
      </c>
      <c r="AW561">
        <v>2</v>
      </c>
      <c r="AX561" t="s">
        <v>74</v>
      </c>
      <c r="AY561" t="s">
        <v>74</v>
      </c>
      <c r="AZ561" t="s">
        <v>74</v>
      </c>
      <c r="BA561" t="s">
        <v>74</v>
      </c>
      <c r="BB561">
        <v>251</v>
      </c>
      <c r="BC561">
        <v>252</v>
      </c>
      <c r="BD561" t="s">
        <v>74</v>
      </c>
      <c r="BE561" t="s">
        <v>11038</v>
      </c>
      <c r="BF561" t="str">
        <f>HYPERLINK("http://dx.doi.org/10.1007/s12594-018-0966-y","http://dx.doi.org/10.1007/s12594-018-0966-y")</f>
        <v>http://dx.doi.org/10.1007/s12594-018-0966-y</v>
      </c>
      <c r="BG561" t="s">
        <v>74</v>
      </c>
      <c r="BH561" t="s">
        <v>74</v>
      </c>
      <c r="BI561">
        <v>2</v>
      </c>
      <c r="BJ561" t="s">
        <v>182</v>
      </c>
      <c r="BK561" t="s">
        <v>101</v>
      </c>
      <c r="BL561" t="s">
        <v>183</v>
      </c>
      <c r="BM561" t="s">
        <v>11039</v>
      </c>
      <c r="BN561" t="s">
        <v>74</v>
      </c>
      <c r="BO561" t="s">
        <v>74</v>
      </c>
      <c r="BP561" t="s">
        <v>74</v>
      </c>
      <c r="BQ561" t="s">
        <v>74</v>
      </c>
      <c r="BR561" t="s">
        <v>104</v>
      </c>
      <c r="BS561" t="s">
        <v>11040</v>
      </c>
      <c r="BT561" t="str">
        <f>HYPERLINK("https%3A%2F%2Fwww.webofscience.com%2Fwos%2Fwoscc%2Ffull-record%2FWOS:000441596000017","View Full Record in Web of Science")</f>
        <v>View Full Record in Web of Science</v>
      </c>
    </row>
    <row r="562" spans="1:72" x14ac:dyDescent="0.15">
      <c r="A562" t="s">
        <v>72</v>
      </c>
      <c r="B562" t="s">
        <v>11041</v>
      </c>
      <c r="C562" t="s">
        <v>74</v>
      </c>
      <c r="D562" t="s">
        <v>74</v>
      </c>
      <c r="E562" t="s">
        <v>74</v>
      </c>
      <c r="F562" t="s">
        <v>11042</v>
      </c>
      <c r="G562" t="s">
        <v>74</v>
      </c>
      <c r="H562" t="s">
        <v>74</v>
      </c>
      <c r="I562" t="s">
        <v>11043</v>
      </c>
      <c r="J562" t="s">
        <v>11044</v>
      </c>
      <c r="K562" t="s">
        <v>74</v>
      </c>
      <c r="L562" t="s">
        <v>74</v>
      </c>
      <c r="M562" t="s">
        <v>78</v>
      </c>
      <c r="N562" t="s">
        <v>2499</v>
      </c>
      <c r="O562" t="s">
        <v>74</v>
      </c>
      <c r="P562" t="s">
        <v>74</v>
      </c>
      <c r="Q562" t="s">
        <v>74</v>
      </c>
      <c r="R562" t="s">
        <v>74</v>
      </c>
      <c r="S562" t="s">
        <v>74</v>
      </c>
      <c r="T562" t="s">
        <v>74</v>
      </c>
      <c r="U562" t="s">
        <v>74</v>
      </c>
      <c r="V562" t="s">
        <v>74</v>
      </c>
      <c r="W562" t="s">
        <v>11045</v>
      </c>
      <c r="X562" t="s">
        <v>11046</v>
      </c>
      <c r="Y562" t="s">
        <v>11047</v>
      </c>
      <c r="Z562" t="s">
        <v>11048</v>
      </c>
      <c r="AA562" t="s">
        <v>74</v>
      </c>
      <c r="AB562" t="s">
        <v>74</v>
      </c>
      <c r="AC562" t="s">
        <v>11049</v>
      </c>
      <c r="AD562" t="s">
        <v>11050</v>
      </c>
      <c r="AE562" t="s">
        <v>11051</v>
      </c>
      <c r="AF562" t="s">
        <v>74</v>
      </c>
      <c r="AG562">
        <v>0</v>
      </c>
      <c r="AH562">
        <v>0</v>
      </c>
      <c r="AI562">
        <v>0</v>
      </c>
      <c r="AJ562">
        <v>0</v>
      </c>
      <c r="AK562">
        <v>1</v>
      </c>
      <c r="AL562" t="s">
        <v>11052</v>
      </c>
      <c r="AM562" t="s">
        <v>730</v>
      </c>
      <c r="AN562" t="s">
        <v>11053</v>
      </c>
      <c r="AO562" t="s">
        <v>11054</v>
      </c>
      <c r="AP562" t="s">
        <v>11055</v>
      </c>
      <c r="AQ562" t="s">
        <v>74</v>
      </c>
      <c r="AR562" t="s">
        <v>11044</v>
      </c>
      <c r="AS562" t="s">
        <v>11056</v>
      </c>
      <c r="AT562" t="s">
        <v>9050</v>
      </c>
      <c r="AU562">
        <v>2018</v>
      </c>
      <c r="AV562">
        <v>51</v>
      </c>
      <c r="AW562">
        <v>4</v>
      </c>
      <c r="AX562" t="s">
        <v>74</v>
      </c>
      <c r="AY562" t="s">
        <v>74</v>
      </c>
      <c r="AZ562" t="s">
        <v>74</v>
      </c>
      <c r="BA562" t="s">
        <v>74</v>
      </c>
      <c r="BB562">
        <v>439</v>
      </c>
      <c r="BC562">
        <v>440</v>
      </c>
      <c r="BD562" t="s">
        <v>74</v>
      </c>
      <c r="BE562" t="s">
        <v>74</v>
      </c>
      <c r="BF562" t="s">
        <v>74</v>
      </c>
      <c r="BG562" t="s">
        <v>74</v>
      </c>
      <c r="BH562" t="s">
        <v>74</v>
      </c>
      <c r="BI562">
        <v>2</v>
      </c>
      <c r="BJ562" t="s">
        <v>11057</v>
      </c>
      <c r="BK562" t="s">
        <v>10455</v>
      </c>
      <c r="BL562" t="s">
        <v>11057</v>
      </c>
      <c r="BM562" t="s">
        <v>11058</v>
      </c>
      <c r="BN562" t="s">
        <v>74</v>
      </c>
      <c r="BO562" t="s">
        <v>74</v>
      </c>
      <c r="BP562" t="s">
        <v>74</v>
      </c>
      <c r="BQ562" t="s">
        <v>74</v>
      </c>
      <c r="BR562" t="s">
        <v>104</v>
      </c>
      <c r="BS562" t="s">
        <v>11059</v>
      </c>
      <c r="BT562" t="str">
        <f>HYPERLINK("https%3A%2F%2Fwww.webofscience.com%2Fwos%2Fwoscc%2Ffull-record%2FWOS:000441258700026","View Full Record in Web of Science")</f>
        <v>View Full Record in Web of Science</v>
      </c>
    </row>
    <row r="563" spans="1:72" x14ac:dyDescent="0.15">
      <c r="A563" t="s">
        <v>72</v>
      </c>
      <c r="B563" t="s">
        <v>11060</v>
      </c>
      <c r="C563" t="s">
        <v>74</v>
      </c>
      <c r="D563" t="s">
        <v>74</v>
      </c>
      <c r="E563" t="s">
        <v>74</v>
      </c>
      <c r="F563" t="s">
        <v>11061</v>
      </c>
      <c r="G563" t="s">
        <v>74</v>
      </c>
      <c r="H563" t="s">
        <v>74</v>
      </c>
      <c r="I563" t="s">
        <v>11062</v>
      </c>
      <c r="J563" t="s">
        <v>5782</v>
      </c>
      <c r="K563" t="s">
        <v>74</v>
      </c>
      <c r="L563" t="s">
        <v>74</v>
      </c>
      <c r="M563" t="s">
        <v>78</v>
      </c>
      <c r="N563" t="s">
        <v>79</v>
      </c>
      <c r="O563" t="s">
        <v>74</v>
      </c>
      <c r="P563" t="s">
        <v>74</v>
      </c>
      <c r="Q563" t="s">
        <v>74</v>
      </c>
      <c r="R563" t="s">
        <v>74</v>
      </c>
      <c r="S563" t="s">
        <v>74</v>
      </c>
      <c r="T563" t="s">
        <v>11063</v>
      </c>
      <c r="U563" t="s">
        <v>11064</v>
      </c>
      <c r="V563" t="s">
        <v>11065</v>
      </c>
      <c r="W563" t="s">
        <v>11066</v>
      </c>
      <c r="X563" t="s">
        <v>11067</v>
      </c>
      <c r="Y563" t="s">
        <v>11068</v>
      </c>
      <c r="Z563" t="s">
        <v>11069</v>
      </c>
      <c r="AA563" t="s">
        <v>74</v>
      </c>
      <c r="AB563" t="s">
        <v>11070</v>
      </c>
      <c r="AC563" t="s">
        <v>11071</v>
      </c>
      <c r="AD563" t="s">
        <v>11072</v>
      </c>
      <c r="AE563" t="s">
        <v>11073</v>
      </c>
      <c r="AF563" t="s">
        <v>74</v>
      </c>
      <c r="AG563">
        <v>94</v>
      </c>
      <c r="AH563">
        <v>9</v>
      </c>
      <c r="AI563">
        <v>9</v>
      </c>
      <c r="AJ563">
        <v>0</v>
      </c>
      <c r="AK563">
        <v>19</v>
      </c>
      <c r="AL563" t="s">
        <v>201</v>
      </c>
      <c r="AM563" t="s">
        <v>93</v>
      </c>
      <c r="AN563" t="s">
        <v>202</v>
      </c>
      <c r="AO563" t="s">
        <v>5795</v>
      </c>
      <c r="AP563" t="s">
        <v>5796</v>
      </c>
      <c r="AQ563" t="s">
        <v>74</v>
      </c>
      <c r="AR563" t="s">
        <v>5797</v>
      </c>
      <c r="AS563" t="s">
        <v>5798</v>
      </c>
      <c r="AT563" t="s">
        <v>9050</v>
      </c>
      <c r="AU563">
        <v>2018</v>
      </c>
      <c r="AV563">
        <v>139</v>
      </c>
      <c r="AW563" t="s">
        <v>74</v>
      </c>
      <c r="AX563" t="s">
        <v>74</v>
      </c>
      <c r="AY563" t="s">
        <v>74</v>
      </c>
      <c r="AZ563" t="s">
        <v>74</v>
      </c>
      <c r="BA563" t="s">
        <v>74</v>
      </c>
      <c r="BB563">
        <v>169</v>
      </c>
      <c r="BC563">
        <v>181</v>
      </c>
      <c r="BD563" t="s">
        <v>74</v>
      </c>
      <c r="BE563" t="s">
        <v>11074</v>
      </c>
      <c r="BF563" t="str">
        <f>HYPERLINK("http://dx.doi.org/10.1016/j.marenvres.2018.03.016","http://dx.doi.org/10.1016/j.marenvres.2018.03.016")</f>
        <v>http://dx.doi.org/10.1016/j.marenvres.2018.03.016</v>
      </c>
      <c r="BG563" t="s">
        <v>74</v>
      </c>
      <c r="BH563" t="s">
        <v>74</v>
      </c>
      <c r="BI563">
        <v>13</v>
      </c>
      <c r="BJ563" t="s">
        <v>5800</v>
      </c>
      <c r="BK563" t="s">
        <v>101</v>
      </c>
      <c r="BL563" t="s">
        <v>5801</v>
      </c>
      <c r="BM563" t="s">
        <v>9621</v>
      </c>
      <c r="BN563">
        <v>29803321</v>
      </c>
      <c r="BO563" t="s">
        <v>74</v>
      </c>
      <c r="BP563" t="s">
        <v>74</v>
      </c>
      <c r="BQ563" t="s">
        <v>74</v>
      </c>
      <c r="BR563" t="s">
        <v>104</v>
      </c>
      <c r="BS563" t="s">
        <v>11075</v>
      </c>
      <c r="BT563" t="str">
        <f>HYPERLINK("https%3A%2F%2Fwww.webofscience.com%2Fwos%2Fwoscc%2Ffull-record%2FWOS:000436911600019","View Full Record in Web of Science")</f>
        <v>View Full Record in Web of Science</v>
      </c>
    </row>
    <row r="564" spans="1:72" x14ac:dyDescent="0.15">
      <c r="A564" t="s">
        <v>72</v>
      </c>
      <c r="B564" t="s">
        <v>11076</v>
      </c>
      <c r="C564" t="s">
        <v>74</v>
      </c>
      <c r="D564" t="s">
        <v>74</v>
      </c>
      <c r="E564" t="s">
        <v>74</v>
      </c>
      <c r="F564" t="s">
        <v>11077</v>
      </c>
      <c r="G564" t="s">
        <v>74</v>
      </c>
      <c r="H564" t="s">
        <v>74</v>
      </c>
      <c r="I564" t="s">
        <v>11078</v>
      </c>
      <c r="J564" t="s">
        <v>9692</v>
      </c>
      <c r="K564" t="s">
        <v>74</v>
      </c>
      <c r="L564" t="s">
        <v>74</v>
      </c>
      <c r="M564" t="s">
        <v>78</v>
      </c>
      <c r="N564" t="s">
        <v>79</v>
      </c>
      <c r="O564" t="s">
        <v>74</v>
      </c>
      <c r="P564" t="s">
        <v>74</v>
      </c>
      <c r="Q564" t="s">
        <v>74</v>
      </c>
      <c r="R564" t="s">
        <v>74</v>
      </c>
      <c r="S564" t="s">
        <v>74</v>
      </c>
      <c r="T564" t="s">
        <v>11079</v>
      </c>
      <c r="U564" t="s">
        <v>11080</v>
      </c>
      <c r="V564" t="s">
        <v>11081</v>
      </c>
      <c r="W564" t="s">
        <v>11082</v>
      </c>
      <c r="X564" t="s">
        <v>11083</v>
      </c>
      <c r="Y564" t="s">
        <v>11084</v>
      </c>
      <c r="Z564" t="s">
        <v>1955</v>
      </c>
      <c r="AA564" t="s">
        <v>11085</v>
      </c>
      <c r="AB564" t="s">
        <v>11086</v>
      </c>
      <c r="AC564" t="s">
        <v>11087</v>
      </c>
      <c r="AD564" t="s">
        <v>11088</v>
      </c>
      <c r="AE564" t="s">
        <v>11089</v>
      </c>
      <c r="AF564" t="s">
        <v>74</v>
      </c>
      <c r="AG564">
        <v>27</v>
      </c>
      <c r="AH564">
        <v>146</v>
      </c>
      <c r="AI564">
        <v>161</v>
      </c>
      <c r="AJ564">
        <v>8</v>
      </c>
      <c r="AK564">
        <v>176</v>
      </c>
      <c r="AL564" t="s">
        <v>149</v>
      </c>
      <c r="AM564" t="s">
        <v>93</v>
      </c>
      <c r="AN564" t="s">
        <v>150</v>
      </c>
      <c r="AO564" t="s">
        <v>9693</v>
      </c>
      <c r="AP564" t="s">
        <v>9694</v>
      </c>
      <c r="AQ564" t="s">
        <v>74</v>
      </c>
      <c r="AR564" t="s">
        <v>9695</v>
      </c>
      <c r="AS564" t="s">
        <v>9696</v>
      </c>
      <c r="AT564" t="s">
        <v>9050</v>
      </c>
      <c r="AU564">
        <v>2018</v>
      </c>
      <c r="AV564">
        <v>133</v>
      </c>
      <c r="AW564" t="s">
        <v>74</v>
      </c>
      <c r="AX564" t="s">
        <v>74</v>
      </c>
      <c r="AY564" t="s">
        <v>74</v>
      </c>
      <c r="AZ564" t="s">
        <v>74</v>
      </c>
      <c r="BA564" t="s">
        <v>74</v>
      </c>
      <c r="BB564">
        <v>460</v>
      </c>
      <c r="BC564">
        <v>463</v>
      </c>
      <c r="BD564" t="s">
        <v>74</v>
      </c>
      <c r="BE564" t="s">
        <v>11090</v>
      </c>
      <c r="BF564" t="str">
        <f>HYPERLINK("http://dx.doi.org/10.1016/j.marpolbul.2018.05.068","http://dx.doi.org/10.1016/j.marpolbul.2018.05.068")</f>
        <v>http://dx.doi.org/10.1016/j.marpolbul.2018.05.068</v>
      </c>
      <c r="BG564" t="s">
        <v>74</v>
      </c>
      <c r="BH564" t="s">
        <v>74</v>
      </c>
      <c r="BI564">
        <v>4</v>
      </c>
      <c r="BJ564" t="s">
        <v>3450</v>
      </c>
      <c r="BK564" t="s">
        <v>101</v>
      </c>
      <c r="BL564" t="s">
        <v>3451</v>
      </c>
      <c r="BM564" t="s">
        <v>9697</v>
      </c>
      <c r="BN564">
        <v>30041337</v>
      </c>
      <c r="BO564" t="s">
        <v>1142</v>
      </c>
      <c r="BP564" t="s">
        <v>74</v>
      </c>
      <c r="BQ564" t="s">
        <v>74</v>
      </c>
      <c r="BR564" t="s">
        <v>104</v>
      </c>
      <c r="BS564" t="s">
        <v>11091</v>
      </c>
      <c r="BT564" t="str">
        <f>HYPERLINK("https%3A%2F%2Fwww.webofscience.com%2Fwos%2Fwoscc%2Ffull-record%2FWOS:000441853600048","View Full Record in Web of Science")</f>
        <v>View Full Record in Web of Science</v>
      </c>
    </row>
    <row r="565" spans="1:72" x14ac:dyDescent="0.15">
      <c r="A565" t="s">
        <v>72</v>
      </c>
      <c r="B565" t="s">
        <v>11092</v>
      </c>
      <c r="C565" t="s">
        <v>74</v>
      </c>
      <c r="D565" t="s">
        <v>74</v>
      </c>
      <c r="E565" t="s">
        <v>74</v>
      </c>
      <c r="F565" t="s">
        <v>11093</v>
      </c>
      <c r="G565" t="s">
        <v>74</v>
      </c>
      <c r="H565" t="s">
        <v>74</v>
      </c>
      <c r="I565" t="s">
        <v>11094</v>
      </c>
      <c r="J565" t="s">
        <v>11095</v>
      </c>
      <c r="K565" t="s">
        <v>74</v>
      </c>
      <c r="L565" t="s">
        <v>74</v>
      </c>
      <c r="M565" t="s">
        <v>78</v>
      </c>
      <c r="N565" t="s">
        <v>79</v>
      </c>
      <c r="O565" t="s">
        <v>74</v>
      </c>
      <c r="P565" t="s">
        <v>74</v>
      </c>
      <c r="Q565" t="s">
        <v>74</v>
      </c>
      <c r="R565" t="s">
        <v>74</v>
      </c>
      <c r="S565" t="s">
        <v>74</v>
      </c>
      <c r="T565" t="s">
        <v>11096</v>
      </c>
      <c r="U565" t="s">
        <v>11097</v>
      </c>
      <c r="V565" t="s">
        <v>11098</v>
      </c>
      <c r="W565" t="s">
        <v>11099</v>
      </c>
      <c r="X565" t="s">
        <v>11100</v>
      </c>
      <c r="Y565" t="s">
        <v>11101</v>
      </c>
      <c r="Z565" t="s">
        <v>11102</v>
      </c>
      <c r="AA565" t="s">
        <v>11103</v>
      </c>
      <c r="AB565" t="s">
        <v>11104</v>
      </c>
      <c r="AC565" t="s">
        <v>11105</v>
      </c>
      <c r="AD565" t="s">
        <v>11106</v>
      </c>
      <c r="AE565" t="s">
        <v>11107</v>
      </c>
      <c r="AF565" t="s">
        <v>74</v>
      </c>
      <c r="AG565">
        <v>81</v>
      </c>
      <c r="AH565">
        <v>27</v>
      </c>
      <c r="AI565">
        <v>28</v>
      </c>
      <c r="AJ565">
        <v>1</v>
      </c>
      <c r="AK565">
        <v>42</v>
      </c>
      <c r="AL565" t="s">
        <v>337</v>
      </c>
      <c r="AM565" t="s">
        <v>258</v>
      </c>
      <c r="AN565" t="s">
        <v>338</v>
      </c>
      <c r="AO565" t="s">
        <v>11108</v>
      </c>
      <c r="AP565" t="s">
        <v>11109</v>
      </c>
      <c r="AQ565" t="s">
        <v>74</v>
      </c>
      <c r="AR565" t="s">
        <v>11110</v>
      </c>
      <c r="AS565" t="s">
        <v>11111</v>
      </c>
      <c r="AT565" t="s">
        <v>9050</v>
      </c>
      <c r="AU565">
        <v>2018</v>
      </c>
      <c r="AV565">
        <v>76</v>
      </c>
      <c r="AW565">
        <v>2</v>
      </c>
      <c r="AX565" t="s">
        <v>74</v>
      </c>
      <c r="AY565" t="s">
        <v>74</v>
      </c>
      <c r="AZ565" t="s">
        <v>74</v>
      </c>
      <c r="BA565" t="s">
        <v>74</v>
      </c>
      <c r="BB565">
        <v>467</v>
      </c>
      <c r="BC565">
        <v>481</v>
      </c>
      <c r="BD565" t="s">
        <v>74</v>
      </c>
      <c r="BE565" t="s">
        <v>11112</v>
      </c>
      <c r="BF565" t="str">
        <f>HYPERLINK("http://dx.doi.org/10.1007/s00248-017-1134-4","http://dx.doi.org/10.1007/s00248-017-1134-4")</f>
        <v>http://dx.doi.org/10.1007/s00248-017-1134-4</v>
      </c>
      <c r="BG565" t="s">
        <v>74</v>
      </c>
      <c r="BH565" t="s">
        <v>74</v>
      </c>
      <c r="BI565">
        <v>15</v>
      </c>
      <c r="BJ565" t="s">
        <v>11113</v>
      </c>
      <c r="BK565" t="s">
        <v>101</v>
      </c>
      <c r="BL565" t="s">
        <v>11114</v>
      </c>
      <c r="BM565" t="s">
        <v>11115</v>
      </c>
      <c r="BN565">
        <v>29333583</v>
      </c>
      <c r="BO565" t="s">
        <v>74</v>
      </c>
      <c r="BP565" t="s">
        <v>74</v>
      </c>
      <c r="BQ565" t="s">
        <v>74</v>
      </c>
      <c r="BR565" t="s">
        <v>104</v>
      </c>
      <c r="BS565" t="s">
        <v>11116</v>
      </c>
      <c r="BT565" t="str">
        <f>HYPERLINK("https%3A%2F%2Fwww.webofscience.com%2Fwos%2Fwoscc%2Ffull-record%2FWOS:000439727300016","View Full Record in Web of Science")</f>
        <v>View Full Record in Web of Science</v>
      </c>
    </row>
    <row r="566" spans="1:72" x14ac:dyDescent="0.15">
      <c r="A566" t="s">
        <v>72</v>
      </c>
      <c r="B566" t="s">
        <v>11117</v>
      </c>
      <c r="C566" t="s">
        <v>74</v>
      </c>
      <c r="D566" t="s">
        <v>74</v>
      </c>
      <c r="E566" t="s">
        <v>74</v>
      </c>
      <c r="F566" t="s">
        <v>11118</v>
      </c>
      <c r="G566" t="s">
        <v>74</v>
      </c>
      <c r="H566" t="s">
        <v>74</v>
      </c>
      <c r="I566" t="s">
        <v>11119</v>
      </c>
      <c r="J566" t="s">
        <v>1118</v>
      </c>
      <c r="K566" t="s">
        <v>74</v>
      </c>
      <c r="L566" t="s">
        <v>74</v>
      </c>
      <c r="M566" t="s">
        <v>78</v>
      </c>
      <c r="N566" t="s">
        <v>2499</v>
      </c>
      <c r="O566" t="s">
        <v>74</v>
      </c>
      <c r="P566" t="s">
        <v>74</v>
      </c>
      <c r="Q566" t="s">
        <v>74</v>
      </c>
      <c r="R566" t="s">
        <v>74</v>
      </c>
      <c r="S566" t="s">
        <v>74</v>
      </c>
      <c r="T566" t="s">
        <v>74</v>
      </c>
      <c r="U566" t="s">
        <v>11120</v>
      </c>
      <c r="V566" t="s">
        <v>11121</v>
      </c>
      <c r="W566" t="s">
        <v>11122</v>
      </c>
      <c r="X566" t="s">
        <v>4905</v>
      </c>
      <c r="Y566" t="s">
        <v>11123</v>
      </c>
      <c r="Z566" t="s">
        <v>11124</v>
      </c>
      <c r="AA566" t="s">
        <v>74</v>
      </c>
      <c r="AB566" t="s">
        <v>74</v>
      </c>
      <c r="AC566" t="s">
        <v>74</v>
      </c>
      <c r="AD566" t="s">
        <v>74</v>
      </c>
      <c r="AE566" t="s">
        <v>74</v>
      </c>
      <c r="AF566" t="s">
        <v>74</v>
      </c>
      <c r="AG566">
        <v>11</v>
      </c>
      <c r="AH566">
        <v>5</v>
      </c>
      <c r="AI566">
        <v>6</v>
      </c>
      <c r="AJ566">
        <v>0</v>
      </c>
      <c r="AK566">
        <v>15</v>
      </c>
      <c r="AL566" t="s">
        <v>1159</v>
      </c>
      <c r="AM566" t="s">
        <v>704</v>
      </c>
      <c r="AN566" t="s">
        <v>2728</v>
      </c>
      <c r="AO566" t="s">
        <v>1133</v>
      </c>
      <c r="AP566" t="s">
        <v>1134</v>
      </c>
      <c r="AQ566" t="s">
        <v>74</v>
      </c>
      <c r="AR566" t="s">
        <v>1135</v>
      </c>
      <c r="AS566" t="s">
        <v>1136</v>
      </c>
      <c r="AT566" t="s">
        <v>9050</v>
      </c>
      <c r="AU566">
        <v>2018</v>
      </c>
      <c r="AV566">
        <v>8</v>
      </c>
      <c r="AW566">
        <v>8</v>
      </c>
      <c r="AX566" t="s">
        <v>74</v>
      </c>
      <c r="AY566" t="s">
        <v>74</v>
      </c>
      <c r="AZ566" t="s">
        <v>74</v>
      </c>
      <c r="BA566" t="s">
        <v>74</v>
      </c>
      <c r="BB566">
        <v>664</v>
      </c>
      <c r="BC566">
        <v>665</v>
      </c>
      <c r="BD566" t="s">
        <v>74</v>
      </c>
      <c r="BE566" t="s">
        <v>11125</v>
      </c>
      <c r="BF566" t="str">
        <f>HYPERLINK("http://dx.doi.org/10.1038/s41558-018-0243-5","http://dx.doi.org/10.1038/s41558-018-0243-5")</f>
        <v>http://dx.doi.org/10.1038/s41558-018-0243-5</v>
      </c>
      <c r="BG566" t="s">
        <v>74</v>
      </c>
      <c r="BH566" t="s">
        <v>74</v>
      </c>
      <c r="BI566">
        <v>3</v>
      </c>
      <c r="BJ566" t="s">
        <v>1139</v>
      </c>
      <c r="BK566" t="s">
        <v>1140</v>
      </c>
      <c r="BL566" t="s">
        <v>318</v>
      </c>
      <c r="BM566" t="s">
        <v>11126</v>
      </c>
      <c r="BN566" t="s">
        <v>74</v>
      </c>
      <c r="BO566" t="s">
        <v>74</v>
      </c>
      <c r="BP566" t="s">
        <v>74</v>
      </c>
      <c r="BQ566" t="s">
        <v>74</v>
      </c>
      <c r="BR566" t="s">
        <v>104</v>
      </c>
      <c r="BS566" t="s">
        <v>11127</v>
      </c>
      <c r="BT566" t="str">
        <f>HYPERLINK("https%3A%2F%2Fwww.webofscience.com%2Fwos%2Fwoscc%2Ffull-record%2FWOS:000440299200012","View Full Record in Web of Science")</f>
        <v>View Full Record in Web of Science</v>
      </c>
    </row>
    <row r="567" spans="1:72" x14ac:dyDescent="0.15">
      <c r="A567" t="s">
        <v>72</v>
      </c>
      <c r="B567" t="s">
        <v>11128</v>
      </c>
      <c r="C567" t="s">
        <v>74</v>
      </c>
      <c r="D567" t="s">
        <v>74</v>
      </c>
      <c r="E567" t="s">
        <v>74</v>
      </c>
      <c r="F567" t="s">
        <v>11129</v>
      </c>
      <c r="G567" t="s">
        <v>74</v>
      </c>
      <c r="H567" t="s">
        <v>74</v>
      </c>
      <c r="I567" t="s">
        <v>11130</v>
      </c>
      <c r="J567" t="s">
        <v>1118</v>
      </c>
      <c r="K567" t="s">
        <v>74</v>
      </c>
      <c r="L567" t="s">
        <v>74</v>
      </c>
      <c r="M567" t="s">
        <v>78</v>
      </c>
      <c r="N567" t="s">
        <v>79</v>
      </c>
      <c r="O567" t="s">
        <v>74</v>
      </c>
      <c r="P567" t="s">
        <v>74</v>
      </c>
      <c r="Q567" t="s">
        <v>74</v>
      </c>
      <c r="R567" t="s">
        <v>74</v>
      </c>
      <c r="S567" t="s">
        <v>74</v>
      </c>
      <c r="T567" t="s">
        <v>74</v>
      </c>
      <c r="U567" t="s">
        <v>11131</v>
      </c>
      <c r="V567" t="s">
        <v>11132</v>
      </c>
      <c r="W567" t="s">
        <v>11133</v>
      </c>
      <c r="X567" t="s">
        <v>11134</v>
      </c>
      <c r="Y567" t="s">
        <v>11135</v>
      </c>
      <c r="Z567" t="s">
        <v>11136</v>
      </c>
      <c r="AA567" t="s">
        <v>11137</v>
      </c>
      <c r="AB567" t="s">
        <v>11138</v>
      </c>
      <c r="AC567" t="s">
        <v>11139</v>
      </c>
      <c r="AD567" t="s">
        <v>11140</v>
      </c>
      <c r="AE567" t="s">
        <v>11141</v>
      </c>
      <c r="AF567" t="s">
        <v>74</v>
      </c>
      <c r="AG567">
        <v>96</v>
      </c>
      <c r="AH567">
        <v>49</v>
      </c>
      <c r="AI567">
        <v>51</v>
      </c>
      <c r="AJ567">
        <v>12</v>
      </c>
      <c r="AK567">
        <v>88</v>
      </c>
      <c r="AL567" t="s">
        <v>1130</v>
      </c>
      <c r="AM567" t="s">
        <v>1131</v>
      </c>
      <c r="AN567" t="s">
        <v>1132</v>
      </c>
      <c r="AO567" t="s">
        <v>1133</v>
      </c>
      <c r="AP567" t="s">
        <v>1134</v>
      </c>
      <c r="AQ567" t="s">
        <v>74</v>
      </c>
      <c r="AR567" t="s">
        <v>1135</v>
      </c>
      <c r="AS567" t="s">
        <v>1136</v>
      </c>
      <c r="AT567" t="s">
        <v>9050</v>
      </c>
      <c r="AU567">
        <v>2018</v>
      </c>
      <c r="AV567">
        <v>8</v>
      </c>
      <c r="AW567">
        <v>8</v>
      </c>
      <c r="AX567" t="s">
        <v>74</v>
      </c>
      <c r="AY567" t="s">
        <v>74</v>
      </c>
      <c r="AZ567" t="s">
        <v>74</v>
      </c>
      <c r="BA567" t="s">
        <v>74</v>
      </c>
      <c r="BB567">
        <v>686</v>
      </c>
      <c r="BC567">
        <v>694</v>
      </c>
      <c r="BD567" t="s">
        <v>74</v>
      </c>
      <c r="BE567" t="s">
        <v>11142</v>
      </c>
      <c r="BF567" t="str">
        <f>HYPERLINK("http://dx.doi.org/10.1038/s41558-018-0211-0","http://dx.doi.org/10.1038/s41558-018-0211-0")</f>
        <v>http://dx.doi.org/10.1038/s41558-018-0211-0</v>
      </c>
      <c r="BG567" t="s">
        <v>74</v>
      </c>
      <c r="BH567" t="s">
        <v>74</v>
      </c>
      <c r="BI567">
        <v>9</v>
      </c>
      <c r="BJ567" t="s">
        <v>1139</v>
      </c>
      <c r="BK567" t="s">
        <v>1140</v>
      </c>
      <c r="BL567" t="s">
        <v>318</v>
      </c>
      <c r="BM567" t="s">
        <v>11126</v>
      </c>
      <c r="BN567" t="s">
        <v>74</v>
      </c>
      <c r="BO567" t="s">
        <v>74</v>
      </c>
      <c r="BP567" t="s">
        <v>74</v>
      </c>
      <c r="BQ567" t="s">
        <v>74</v>
      </c>
      <c r="BR567" t="s">
        <v>104</v>
      </c>
      <c r="BS567" t="s">
        <v>11143</v>
      </c>
      <c r="BT567" t="str">
        <f>HYPERLINK("https%3A%2F%2Fwww.webofscience.com%2Fwos%2Fwoscc%2Ffull-record%2FWOS:000440299200017","View Full Record in Web of Science")</f>
        <v>View Full Record in Web of Science</v>
      </c>
    </row>
    <row r="568" spans="1:72" x14ac:dyDescent="0.15">
      <c r="A568" t="s">
        <v>72</v>
      </c>
      <c r="B568" t="s">
        <v>11144</v>
      </c>
      <c r="C568" t="s">
        <v>74</v>
      </c>
      <c r="D568" t="s">
        <v>74</v>
      </c>
      <c r="E568" t="s">
        <v>74</v>
      </c>
      <c r="F568" t="s">
        <v>11145</v>
      </c>
      <c r="G568" t="s">
        <v>74</v>
      </c>
      <c r="H568" t="s">
        <v>74</v>
      </c>
      <c r="I568" t="s">
        <v>11146</v>
      </c>
      <c r="J568" t="s">
        <v>1118</v>
      </c>
      <c r="K568" t="s">
        <v>74</v>
      </c>
      <c r="L568" t="s">
        <v>74</v>
      </c>
      <c r="M568" t="s">
        <v>78</v>
      </c>
      <c r="N568" t="s">
        <v>79</v>
      </c>
      <c r="O568" t="s">
        <v>74</v>
      </c>
      <c r="P568" t="s">
        <v>74</v>
      </c>
      <c r="Q568" t="s">
        <v>74</v>
      </c>
      <c r="R568" t="s">
        <v>74</v>
      </c>
      <c r="S568" t="s">
        <v>74</v>
      </c>
      <c r="T568" t="s">
        <v>74</v>
      </c>
      <c r="U568" t="s">
        <v>11147</v>
      </c>
      <c r="V568" t="s">
        <v>11148</v>
      </c>
      <c r="W568" t="s">
        <v>11149</v>
      </c>
      <c r="X568" t="s">
        <v>11150</v>
      </c>
      <c r="Y568" t="s">
        <v>11151</v>
      </c>
      <c r="Z568" t="s">
        <v>11152</v>
      </c>
      <c r="AA568" t="s">
        <v>11153</v>
      </c>
      <c r="AB568" t="s">
        <v>11154</v>
      </c>
      <c r="AC568" t="s">
        <v>11155</v>
      </c>
      <c r="AD568" t="s">
        <v>11156</v>
      </c>
      <c r="AE568" t="s">
        <v>11157</v>
      </c>
      <c r="AF568" t="s">
        <v>74</v>
      </c>
      <c r="AG568">
        <v>43</v>
      </c>
      <c r="AH568">
        <v>195</v>
      </c>
      <c r="AI568">
        <v>201</v>
      </c>
      <c r="AJ568">
        <v>4</v>
      </c>
      <c r="AK568">
        <v>101</v>
      </c>
      <c r="AL568" t="s">
        <v>1130</v>
      </c>
      <c r="AM568" t="s">
        <v>1131</v>
      </c>
      <c r="AN568" t="s">
        <v>1132</v>
      </c>
      <c r="AO568" t="s">
        <v>1133</v>
      </c>
      <c r="AP568" t="s">
        <v>1134</v>
      </c>
      <c r="AQ568" t="s">
        <v>74</v>
      </c>
      <c r="AR568" t="s">
        <v>1135</v>
      </c>
      <c r="AS568" t="s">
        <v>1136</v>
      </c>
      <c r="AT568" t="s">
        <v>9050</v>
      </c>
      <c r="AU568">
        <v>2018</v>
      </c>
      <c r="AV568">
        <v>8</v>
      </c>
      <c r="AW568">
        <v>8</v>
      </c>
      <c r="AX568" t="s">
        <v>74</v>
      </c>
      <c r="AY568" t="s">
        <v>74</v>
      </c>
      <c r="AZ568" t="s">
        <v>74</v>
      </c>
      <c r="BA568" t="s">
        <v>74</v>
      </c>
      <c r="BB568">
        <v>704</v>
      </c>
      <c r="BC568" t="s">
        <v>1137</v>
      </c>
      <c r="BD568" t="s">
        <v>74</v>
      </c>
      <c r="BE568" t="s">
        <v>11158</v>
      </c>
      <c r="BF568" t="str">
        <f>HYPERLINK("http://dx.doi.org/10.1038/s41558-018-0209-7","http://dx.doi.org/10.1038/s41558-018-0209-7")</f>
        <v>http://dx.doi.org/10.1038/s41558-018-0209-7</v>
      </c>
      <c r="BG568" t="s">
        <v>74</v>
      </c>
      <c r="BH568" t="s">
        <v>74</v>
      </c>
      <c r="BI568">
        <v>7</v>
      </c>
      <c r="BJ568" t="s">
        <v>1139</v>
      </c>
      <c r="BK568" t="s">
        <v>1140</v>
      </c>
      <c r="BL568" t="s">
        <v>318</v>
      </c>
      <c r="BM568" t="s">
        <v>11126</v>
      </c>
      <c r="BN568" t="s">
        <v>74</v>
      </c>
      <c r="BO568" t="s">
        <v>1142</v>
      </c>
      <c r="BP568" t="s">
        <v>74</v>
      </c>
      <c r="BQ568" t="s">
        <v>74</v>
      </c>
      <c r="BR568" t="s">
        <v>104</v>
      </c>
      <c r="BS568" t="s">
        <v>11159</v>
      </c>
      <c r="BT568" t="str">
        <f>HYPERLINK("https%3A%2F%2Fwww.webofscience.com%2Fwos%2Fwoscc%2Ffull-record%2FWOS:000440299200020","View Full Record in Web of Science")</f>
        <v>View Full Record in Web of Science</v>
      </c>
    </row>
    <row r="569" spans="1:72" x14ac:dyDescent="0.15">
      <c r="A569" t="s">
        <v>72</v>
      </c>
      <c r="B569" t="s">
        <v>11160</v>
      </c>
      <c r="C569" t="s">
        <v>74</v>
      </c>
      <c r="D569" t="s">
        <v>74</v>
      </c>
      <c r="E569" t="s">
        <v>74</v>
      </c>
      <c r="F569" t="s">
        <v>11161</v>
      </c>
      <c r="G569" t="s">
        <v>74</v>
      </c>
      <c r="H569" t="s">
        <v>74</v>
      </c>
      <c r="I569" t="s">
        <v>11162</v>
      </c>
      <c r="J569" t="s">
        <v>11163</v>
      </c>
      <c r="K569" t="s">
        <v>74</v>
      </c>
      <c r="L569" t="s">
        <v>74</v>
      </c>
      <c r="M569" t="s">
        <v>78</v>
      </c>
      <c r="N569" t="s">
        <v>79</v>
      </c>
      <c r="O569" t="s">
        <v>74</v>
      </c>
      <c r="P569" t="s">
        <v>74</v>
      </c>
      <c r="Q569" t="s">
        <v>74</v>
      </c>
      <c r="R569" t="s">
        <v>74</v>
      </c>
      <c r="S569" t="s">
        <v>74</v>
      </c>
      <c r="T569" t="s">
        <v>11164</v>
      </c>
      <c r="U569" t="s">
        <v>11165</v>
      </c>
      <c r="V569" t="s">
        <v>11166</v>
      </c>
      <c r="W569" t="s">
        <v>11167</v>
      </c>
      <c r="X569" t="s">
        <v>11168</v>
      </c>
      <c r="Y569" t="s">
        <v>11169</v>
      </c>
      <c r="Z569" t="s">
        <v>11170</v>
      </c>
      <c r="AA569" t="s">
        <v>11171</v>
      </c>
      <c r="AB569" t="s">
        <v>11172</v>
      </c>
      <c r="AC569" t="s">
        <v>11173</v>
      </c>
      <c r="AD569" t="s">
        <v>11174</v>
      </c>
      <c r="AE569" t="s">
        <v>11175</v>
      </c>
      <c r="AF569" t="s">
        <v>74</v>
      </c>
      <c r="AG569">
        <v>109</v>
      </c>
      <c r="AH569">
        <v>25</v>
      </c>
      <c r="AI569">
        <v>30</v>
      </c>
      <c r="AJ569">
        <v>5</v>
      </c>
      <c r="AK569">
        <v>87</v>
      </c>
      <c r="AL569" t="s">
        <v>337</v>
      </c>
      <c r="AM569" t="s">
        <v>912</v>
      </c>
      <c r="AN569" t="s">
        <v>913</v>
      </c>
      <c r="AO569" t="s">
        <v>11176</v>
      </c>
      <c r="AP569" t="s">
        <v>11177</v>
      </c>
      <c r="AQ569" t="s">
        <v>74</v>
      </c>
      <c r="AR569" t="s">
        <v>11178</v>
      </c>
      <c r="AS569" t="s">
        <v>11179</v>
      </c>
      <c r="AT569" t="s">
        <v>9050</v>
      </c>
      <c r="AU569">
        <v>2018</v>
      </c>
      <c r="AV569">
        <v>429</v>
      </c>
      <c r="AW569" t="s">
        <v>1908</v>
      </c>
      <c r="AX569" t="s">
        <v>74</v>
      </c>
      <c r="AY569" t="s">
        <v>74</v>
      </c>
      <c r="AZ569" t="s">
        <v>155</v>
      </c>
      <c r="BA569" t="s">
        <v>74</v>
      </c>
      <c r="BB569">
        <v>35</v>
      </c>
      <c r="BC569">
        <v>52</v>
      </c>
      <c r="BD569" t="s">
        <v>74</v>
      </c>
      <c r="BE569" t="s">
        <v>11180</v>
      </c>
      <c r="BF569" t="str">
        <f>HYPERLINK("http://dx.doi.org/10.1007/s11104-018-3721-7","http://dx.doi.org/10.1007/s11104-018-3721-7")</f>
        <v>http://dx.doi.org/10.1007/s11104-018-3721-7</v>
      </c>
      <c r="BG569" t="s">
        <v>74</v>
      </c>
      <c r="BH569" t="s">
        <v>74</v>
      </c>
      <c r="BI569">
        <v>18</v>
      </c>
      <c r="BJ569" t="s">
        <v>11181</v>
      </c>
      <c r="BK569" t="s">
        <v>101</v>
      </c>
      <c r="BL569" t="s">
        <v>11182</v>
      </c>
      <c r="BM569" t="s">
        <v>11183</v>
      </c>
      <c r="BN569">
        <v>30078912</v>
      </c>
      <c r="BO569" t="s">
        <v>211</v>
      </c>
      <c r="BP569" t="s">
        <v>74</v>
      </c>
      <c r="BQ569" t="s">
        <v>74</v>
      </c>
      <c r="BR569" t="s">
        <v>104</v>
      </c>
      <c r="BS569" t="s">
        <v>11184</v>
      </c>
      <c r="BT569" t="str">
        <f>HYPERLINK("https%3A%2F%2Fwww.webofscience.com%2Fwos%2Fwoscc%2Ffull-record%2FWOS:000439759200004","View Full Record in Web of Science")</f>
        <v>View Full Record in Web of Science</v>
      </c>
    </row>
    <row r="570" spans="1:72" x14ac:dyDescent="0.15">
      <c r="A570" t="s">
        <v>72</v>
      </c>
      <c r="B570" t="s">
        <v>11185</v>
      </c>
      <c r="C570" t="s">
        <v>74</v>
      </c>
      <c r="D570" t="s">
        <v>74</v>
      </c>
      <c r="E570" t="s">
        <v>74</v>
      </c>
      <c r="F570" t="s">
        <v>11186</v>
      </c>
      <c r="G570" t="s">
        <v>74</v>
      </c>
      <c r="H570" t="s">
        <v>74</v>
      </c>
      <c r="I570" t="s">
        <v>11187</v>
      </c>
      <c r="J570" t="s">
        <v>1613</v>
      </c>
      <c r="K570" t="s">
        <v>74</v>
      </c>
      <c r="L570" t="s">
        <v>74</v>
      </c>
      <c r="M570" t="s">
        <v>78</v>
      </c>
      <c r="N570" t="s">
        <v>273</v>
      </c>
      <c r="O570" t="s">
        <v>74</v>
      </c>
      <c r="P570" t="s">
        <v>74</v>
      </c>
      <c r="Q570" t="s">
        <v>74</v>
      </c>
      <c r="R570" t="s">
        <v>74</v>
      </c>
      <c r="S570" t="s">
        <v>74</v>
      </c>
      <c r="T570" t="s">
        <v>74</v>
      </c>
      <c r="U570" t="s">
        <v>11188</v>
      </c>
      <c r="V570" t="s">
        <v>11189</v>
      </c>
      <c r="W570" t="s">
        <v>11190</v>
      </c>
      <c r="X570" t="s">
        <v>11191</v>
      </c>
      <c r="Y570" t="s">
        <v>11192</v>
      </c>
      <c r="Z570" t="s">
        <v>11193</v>
      </c>
      <c r="AA570" t="s">
        <v>11194</v>
      </c>
      <c r="AB570" t="s">
        <v>11195</v>
      </c>
      <c r="AC570" t="s">
        <v>11196</v>
      </c>
      <c r="AD570" t="s">
        <v>11197</v>
      </c>
      <c r="AE570" t="s">
        <v>11198</v>
      </c>
      <c r="AF570" t="s">
        <v>74</v>
      </c>
      <c r="AG570">
        <v>229</v>
      </c>
      <c r="AH570">
        <v>52</v>
      </c>
      <c r="AI570">
        <v>56</v>
      </c>
      <c r="AJ570">
        <v>7</v>
      </c>
      <c r="AK570">
        <v>52</v>
      </c>
      <c r="AL570" t="s">
        <v>676</v>
      </c>
      <c r="AM570" t="s">
        <v>677</v>
      </c>
      <c r="AN570" t="s">
        <v>678</v>
      </c>
      <c r="AO570" t="s">
        <v>1625</v>
      </c>
      <c r="AP570" t="s">
        <v>1626</v>
      </c>
      <c r="AQ570" t="s">
        <v>74</v>
      </c>
      <c r="AR570" t="s">
        <v>1627</v>
      </c>
      <c r="AS570" t="s">
        <v>1628</v>
      </c>
      <c r="AT570" t="s">
        <v>9050</v>
      </c>
      <c r="AU570">
        <v>2018</v>
      </c>
      <c r="AV570">
        <v>165</v>
      </c>
      <c r="AW570">
        <v>8</v>
      </c>
      <c r="AX570" t="s">
        <v>74</v>
      </c>
      <c r="AY570" t="s">
        <v>74</v>
      </c>
      <c r="AZ570" t="s">
        <v>74</v>
      </c>
      <c r="BA570" t="s">
        <v>74</v>
      </c>
      <c r="BB570" t="s">
        <v>74</v>
      </c>
      <c r="BC570" t="s">
        <v>74</v>
      </c>
      <c r="BD570">
        <v>129</v>
      </c>
      <c r="BE570" t="s">
        <v>11199</v>
      </c>
      <c r="BF570" t="str">
        <f>HYPERLINK("http://dx.doi.org/10.1007/s00227-018-3386-z","http://dx.doi.org/10.1007/s00227-018-3386-z")</f>
        <v>http://dx.doi.org/10.1007/s00227-018-3386-z</v>
      </c>
      <c r="BG570" t="s">
        <v>74</v>
      </c>
      <c r="BH570" t="s">
        <v>74</v>
      </c>
      <c r="BI570">
        <v>35</v>
      </c>
      <c r="BJ570" t="s">
        <v>1630</v>
      </c>
      <c r="BK570" t="s">
        <v>101</v>
      </c>
      <c r="BL570" t="s">
        <v>1630</v>
      </c>
      <c r="BM570" t="s">
        <v>11200</v>
      </c>
      <c r="BN570">
        <v>30100628</v>
      </c>
      <c r="BO570" t="s">
        <v>944</v>
      </c>
      <c r="BP570" t="s">
        <v>74</v>
      </c>
      <c r="BQ570" t="s">
        <v>74</v>
      </c>
      <c r="BR570" t="s">
        <v>104</v>
      </c>
      <c r="BS570" t="s">
        <v>11201</v>
      </c>
      <c r="BT570" t="str">
        <f>HYPERLINK("https%3A%2F%2Fwww.webofscience.com%2Fwos%2Fwoscc%2Ffull-record%2FWOS:000439208300002","View Full Record in Web of Science")</f>
        <v>View Full Record in Web of Science</v>
      </c>
    </row>
    <row r="571" spans="1:72" x14ac:dyDescent="0.15">
      <c r="A571" t="s">
        <v>72</v>
      </c>
      <c r="B571" t="s">
        <v>11202</v>
      </c>
      <c r="C571" t="s">
        <v>74</v>
      </c>
      <c r="D571" t="s">
        <v>74</v>
      </c>
      <c r="E571" t="s">
        <v>74</v>
      </c>
      <c r="F571" t="s">
        <v>11203</v>
      </c>
      <c r="G571" t="s">
        <v>74</v>
      </c>
      <c r="H571" t="s">
        <v>74</v>
      </c>
      <c r="I571" t="s">
        <v>11204</v>
      </c>
      <c r="J571" t="s">
        <v>9669</v>
      </c>
      <c r="K571" t="s">
        <v>74</v>
      </c>
      <c r="L571" t="s">
        <v>74</v>
      </c>
      <c r="M571" t="s">
        <v>78</v>
      </c>
      <c r="N571" t="s">
        <v>79</v>
      </c>
      <c r="O571" t="s">
        <v>74</v>
      </c>
      <c r="P571" t="s">
        <v>74</v>
      </c>
      <c r="Q571" t="s">
        <v>74</v>
      </c>
      <c r="R571" t="s">
        <v>74</v>
      </c>
      <c r="S571" t="s">
        <v>74</v>
      </c>
      <c r="T571" t="s">
        <v>11205</v>
      </c>
      <c r="U571" t="s">
        <v>11206</v>
      </c>
      <c r="V571" t="s">
        <v>11207</v>
      </c>
      <c r="W571" t="s">
        <v>11208</v>
      </c>
      <c r="X571" t="s">
        <v>11209</v>
      </c>
      <c r="Y571" t="s">
        <v>11210</v>
      </c>
      <c r="Z571" t="s">
        <v>11211</v>
      </c>
      <c r="AA571" t="s">
        <v>74</v>
      </c>
      <c r="AB571" t="s">
        <v>11212</v>
      </c>
      <c r="AC571" t="s">
        <v>74</v>
      </c>
      <c r="AD571" t="s">
        <v>74</v>
      </c>
      <c r="AE571" t="s">
        <v>74</v>
      </c>
      <c r="AF571" t="s">
        <v>74</v>
      </c>
      <c r="AG571">
        <v>64</v>
      </c>
      <c r="AH571">
        <v>31</v>
      </c>
      <c r="AI571">
        <v>35</v>
      </c>
      <c r="AJ571">
        <v>4</v>
      </c>
      <c r="AK571">
        <v>47</v>
      </c>
      <c r="AL571" t="s">
        <v>201</v>
      </c>
      <c r="AM571" t="s">
        <v>93</v>
      </c>
      <c r="AN571" t="s">
        <v>202</v>
      </c>
      <c r="AO571" t="s">
        <v>9681</v>
      </c>
      <c r="AP571" t="s">
        <v>9682</v>
      </c>
      <c r="AQ571" t="s">
        <v>74</v>
      </c>
      <c r="AR571" t="s">
        <v>9683</v>
      </c>
      <c r="AS571" t="s">
        <v>9684</v>
      </c>
      <c r="AT571" t="s">
        <v>9050</v>
      </c>
      <c r="AU571">
        <v>2018</v>
      </c>
      <c r="AV571">
        <v>94</v>
      </c>
      <c r="AW571" t="s">
        <v>74</v>
      </c>
      <c r="AX571" t="s">
        <v>74</v>
      </c>
      <c r="AY571" t="s">
        <v>74</v>
      </c>
      <c r="AZ571" t="s">
        <v>74</v>
      </c>
      <c r="BA571" t="s">
        <v>74</v>
      </c>
      <c r="BB571">
        <v>189</v>
      </c>
      <c r="BC571">
        <v>195</v>
      </c>
      <c r="BD571" t="s">
        <v>74</v>
      </c>
      <c r="BE571" t="s">
        <v>11213</v>
      </c>
      <c r="BF571" t="str">
        <f>HYPERLINK("http://dx.doi.org/10.1016/j.marpol.2018.05.011","http://dx.doi.org/10.1016/j.marpol.2018.05.011")</f>
        <v>http://dx.doi.org/10.1016/j.marpol.2018.05.011</v>
      </c>
      <c r="BG571" t="s">
        <v>74</v>
      </c>
      <c r="BH571" t="s">
        <v>74</v>
      </c>
      <c r="BI571">
        <v>7</v>
      </c>
      <c r="BJ571" t="s">
        <v>9686</v>
      </c>
      <c r="BK571" t="s">
        <v>2020</v>
      </c>
      <c r="BL571" t="s">
        <v>9687</v>
      </c>
      <c r="BM571" t="s">
        <v>9688</v>
      </c>
      <c r="BN571" t="s">
        <v>74</v>
      </c>
      <c r="BO571" t="s">
        <v>740</v>
      </c>
      <c r="BP571" t="s">
        <v>74</v>
      </c>
      <c r="BQ571" t="s">
        <v>74</v>
      </c>
      <c r="BR571" t="s">
        <v>104</v>
      </c>
      <c r="BS571" t="s">
        <v>11214</v>
      </c>
      <c r="BT571" t="str">
        <f>HYPERLINK("https%3A%2F%2Fwww.webofscience.com%2Fwos%2Fwoscc%2Ffull-record%2FWOS:000438659600021","View Full Record in Web of Science")</f>
        <v>View Full Record in Web of Science</v>
      </c>
    </row>
    <row r="572" spans="1:72" x14ac:dyDescent="0.15">
      <c r="A572" t="s">
        <v>72</v>
      </c>
      <c r="B572" t="s">
        <v>11215</v>
      </c>
      <c r="C572" t="s">
        <v>74</v>
      </c>
      <c r="D572" t="s">
        <v>74</v>
      </c>
      <c r="E572" t="s">
        <v>74</v>
      </c>
      <c r="F572" t="s">
        <v>11216</v>
      </c>
      <c r="G572" t="s">
        <v>74</v>
      </c>
      <c r="H572" t="s">
        <v>74</v>
      </c>
      <c r="I572" t="s">
        <v>11217</v>
      </c>
      <c r="J572" t="s">
        <v>2094</v>
      </c>
      <c r="K572" t="s">
        <v>74</v>
      </c>
      <c r="L572" t="s">
        <v>74</v>
      </c>
      <c r="M572" t="s">
        <v>78</v>
      </c>
      <c r="N572" t="s">
        <v>52</v>
      </c>
      <c r="O572" t="s">
        <v>11218</v>
      </c>
      <c r="P572" t="s">
        <v>11219</v>
      </c>
      <c r="Q572" t="s">
        <v>11220</v>
      </c>
      <c r="R572" t="s">
        <v>74</v>
      </c>
      <c r="S572" t="s">
        <v>74</v>
      </c>
      <c r="T572" t="s">
        <v>74</v>
      </c>
      <c r="U572" t="s">
        <v>74</v>
      </c>
      <c r="V572" t="s">
        <v>74</v>
      </c>
      <c r="W572" t="s">
        <v>11221</v>
      </c>
      <c r="X572" t="s">
        <v>11222</v>
      </c>
      <c r="Y572" t="s">
        <v>74</v>
      </c>
      <c r="Z572" t="s">
        <v>74</v>
      </c>
      <c r="AA572" t="s">
        <v>74</v>
      </c>
      <c r="AB572" t="s">
        <v>74</v>
      </c>
      <c r="AC572" t="s">
        <v>74</v>
      </c>
      <c r="AD572" t="s">
        <v>74</v>
      </c>
      <c r="AE572" t="s">
        <v>74</v>
      </c>
      <c r="AF572" t="s">
        <v>74</v>
      </c>
      <c r="AG572">
        <v>9</v>
      </c>
      <c r="AH572">
        <v>0</v>
      </c>
      <c r="AI572">
        <v>0</v>
      </c>
      <c r="AJ572">
        <v>0</v>
      </c>
      <c r="AK572">
        <v>0</v>
      </c>
      <c r="AL572" t="s">
        <v>758</v>
      </c>
      <c r="AM572" t="s">
        <v>759</v>
      </c>
      <c r="AN572" t="s">
        <v>760</v>
      </c>
      <c r="AO572" t="s">
        <v>2104</v>
      </c>
      <c r="AP572" t="s">
        <v>2105</v>
      </c>
      <c r="AQ572" t="s">
        <v>74</v>
      </c>
      <c r="AR572" t="s">
        <v>2106</v>
      </c>
      <c r="AS572" t="s">
        <v>2107</v>
      </c>
      <c r="AT572" t="s">
        <v>9050</v>
      </c>
      <c r="AU572">
        <v>2018</v>
      </c>
      <c r="AV572">
        <v>53</v>
      </c>
      <c r="AW572" t="s">
        <v>74</v>
      </c>
      <c r="AX572" t="s">
        <v>74</v>
      </c>
      <c r="AY572">
        <v>1</v>
      </c>
      <c r="AZ572" t="s">
        <v>155</v>
      </c>
      <c r="BA572" t="s">
        <v>74</v>
      </c>
      <c r="BB572">
        <v>6099</v>
      </c>
      <c r="BC572">
        <v>6099</v>
      </c>
      <c r="BD572" t="s">
        <v>74</v>
      </c>
      <c r="BE572" t="s">
        <v>74</v>
      </c>
      <c r="BF572" t="s">
        <v>74</v>
      </c>
      <c r="BG572" t="s">
        <v>74</v>
      </c>
      <c r="BH572" t="s">
        <v>74</v>
      </c>
      <c r="BI572">
        <v>1</v>
      </c>
      <c r="BJ572" t="s">
        <v>484</v>
      </c>
      <c r="BK572" t="s">
        <v>158</v>
      </c>
      <c r="BL572" t="s">
        <v>484</v>
      </c>
      <c r="BM572" t="s">
        <v>11223</v>
      </c>
      <c r="BN572" t="s">
        <v>74</v>
      </c>
      <c r="BO572" t="s">
        <v>74</v>
      </c>
      <c r="BP572" t="s">
        <v>74</v>
      </c>
      <c r="BQ572" t="s">
        <v>74</v>
      </c>
      <c r="BR572" t="s">
        <v>104</v>
      </c>
      <c r="BS572" t="s">
        <v>11224</v>
      </c>
      <c r="BT572" t="str">
        <f>HYPERLINK("https%3A%2F%2Fwww.webofscience.com%2Fwos%2Fwoscc%2Ffull-record%2FWOS:000438212400114","View Full Record in Web of Science")</f>
        <v>View Full Record in Web of Science</v>
      </c>
    </row>
    <row r="573" spans="1:72" x14ac:dyDescent="0.15">
      <c r="A573" t="s">
        <v>72</v>
      </c>
      <c r="B573" t="s">
        <v>11225</v>
      </c>
      <c r="C573" t="s">
        <v>74</v>
      </c>
      <c r="D573" t="s">
        <v>74</v>
      </c>
      <c r="E573" t="s">
        <v>74</v>
      </c>
      <c r="F573" t="s">
        <v>11226</v>
      </c>
      <c r="G573" t="s">
        <v>74</v>
      </c>
      <c r="H573" t="s">
        <v>74</v>
      </c>
      <c r="I573" t="s">
        <v>11227</v>
      </c>
      <c r="J573" t="s">
        <v>2094</v>
      </c>
      <c r="K573" t="s">
        <v>74</v>
      </c>
      <c r="L573" t="s">
        <v>74</v>
      </c>
      <c r="M573" t="s">
        <v>78</v>
      </c>
      <c r="N573" t="s">
        <v>52</v>
      </c>
      <c r="O573" t="s">
        <v>11218</v>
      </c>
      <c r="P573" t="s">
        <v>11219</v>
      </c>
      <c r="Q573" t="s">
        <v>11220</v>
      </c>
      <c r="R573" t="s">
        <v>74</v>
      </c>
      <c r="S573" t="s">
        <v>74</v>
      </c>
      <c r="T573" t="s">
        <v>74</v>
      </c>
      <c r="U573" t="s">
        <v>74</v>
      </c>
      <c r="V573" t="s">
        <v>74</v>
      </c>
      <c r="W573" t="s">
        <v>11228</v>
      </c>
      <c r="X573" t="s">
        <v>11229</v>
      </c>
      <c r="Y573" t="s">
        <v>74</v>
      </c>
      <c r="Z573" t="s">
        <v>11230</v>
      </c>
      <c r="AA573" t="s">
        <v>11231</v>
      </c>
      <c r="AB573" t="s">
        <v>11232</v>
      </c>
      <c r="AC573" t="s">
        <v>74</v>
      </c>
      <c r="AD573" t="s">
        <v>74</v>
      </c>
      <c r="AE573" t="s">
        <v>74</v>
      </c>
      <c r="AF573" t="s">
        <v>74</v>
      </c>
      <c r="AG573">
        <v>7</v>
      </c>
      <c r="AH573">
        <v>0</v>
      </c>
      <c r="AI573">
        <v>0</v>
      </c>
      <c r="AJ573">
        <v>0</v>
      </c>
      <c r="AK573">
        <v>0</v>
      </c>
      <c r="AL573" t="s">
        <v>758</v>
      </c>
      <c r="AM573" t="s">
        <v>759</v>
      </c>
      <c r="AN573" t="s">
        <v>760</v>
      </c>
      <c r="AO573" t="s">
        <v>2104</v>
      </c>
      <c r="AP573" t="s">
        <v>2105</v>
      </c>
      <c r="AQ573" t="s">
        <v>74</v>
      </c>
      <c r="AR573" t="s">
        <v>2106</v>
      </c>
      <c r="AS573" t="s">
        <v>2107</v>
      </c>
      <c r="AT573" t="s">
        <v>9050</v>
      </c>
      <c r="AU573">
        <v>2018</v>
      </c>
      <c r="AV573">
        <v>53</v>
      </c>
      <c r="AW573" t="s">
        <v>74</v>
      </c>
      <c r="AX573" t="s">
        <v>74</v>
      </c>
      <c r="AY573">
        <v>1</v>
      </c>
      <c r="AZ573" t="s">
        <v>155</v>
      </c>
      <c r="BA573" t="s">
        <v>74</v>
      </c>
      <c r="BB573">
        <v>6138</v>
      </c>
      <c r="BC573">
        <v>6138</v>
      </c>
      <c r="BD573" t="s">
        <v>74</v>
      </c>
      <c r="BE573" t="s">
        <v>74</v>
      </c>
      <c r="BF573" t="s">
        <v>74</v>
      </c>
      <c r="BG573" t="s">
        <v>74</v>
      </c>
      <c r="BH573" t="s">
        <v>74</v>
      </c>
      <c r="BI573">
        <v>1</v>
      </c>
      <c r="BJ573" t="s">
        <v>484</v>
      </c>
      <c r="BK573" t="s">
        <v>158</v>
      </c>
      <c r="BL573" t="s">
        <v>484</v>
      </c>
      <c r="BM573" t="s">
        <v>11223</v>
      </c>
      <c r="BN573" t="s">
        <v>74</v>
      </c>
      <c r="BO573" t="s">
        <v>74</v>
      </c>
      <c r="BP573" t="s">
        <v>74</v>
      </c>
      <c r="BQ573" t="s">
        <v>74</v>
      </c>
      <c r="BR573" t="s">
        <v>104</v>
      </c>
      <c r="BS573" t="s">
        <v>11233</v>
      </c>
      <c r="BT573" t="str">
        <f>HYPERLINK("https%3A%2F%2Fwww.webofscience.com%2Fwos%2Fwoscc%2Ffull-record%2FWOS:000438212400033","View Full Record in Web of Science")</f>
        <v>View Full Record in Web of Science</v>
      </c>
    </row>
    <row r="574" spans="1:72" x14ac:dyDescent="0.15">
      <c r="A574" t="s">
        <v>72</v>
      </c>
      <c r="B574" t="s">
        <v>11234</v>
      </c>
      <c r="C574" t="s">
        <v>74</v>
      </c>
      <c r="D574" t="s">
        <v>74</v>
      </c>
      <c r="E574" t="s">
        <v>74</v>
      </c>
      <c r="F574" t="s">
        <v>11235</v>
      </c>
      <c r="G574" t="s">
        <v>74</v>
      </c>
      <c r="H574" t="s">
        <v>74</v>
      </c>
      <c r="I574" t="s">
        <v>11236</v>
      </c>
      <c r="J574" t="s">
        <v>2094</v>
      </c>
      <c r="K574" t="s">
        <v>74</v>
      </c>
      <c r="L574" t="s">
        <v>74</v>
      </c>
      <c r="M574" t="s">
        <v>78</v>
      </c>
      <c r="N574" t="s">
        <v>52</v>
      </c>
      <c r="O574" t="s">
        <v>11218</v>
      </c>
      <c r="P574" t="s">
        <v>11219</v>
      </c>
      <c r="Q574" t="s">
        <v>11220</v>
      </c>
      <c r="R574" t="s">
        <v>74</v>
      </c>
      <c r="S574" t="s">
        <v>74</v>
      </c>
      <c r="T574" t="s">
        <v>74</v>
      </c>
      <c r="U574" t="s">
        <v>11237</v>
      </c>
      <c r="V574" t="s">
        <v>74</v>
      </c>
      <c r="W574" t="s">
        <v>11238</v>
      </c>
      <c r="X574" t="s">
        <v>11239</v>
      </c>
      <c r="Y574" t="s">
        <v>74</v>
      </c>
      <c r="Z574" t="s">
        <v>11240</v>
      </c>
      <c r="AA574" t="s">
        <v>11241</v>
      </c>
      <c r="AB574" t="s">
        <v>11242</v>
      </c>
      <c r="AC574" t="s">
        <v>74</v>
      </c>
      <c r="AD574" t="s">
        <v>74</v>
      </c>
      <c r="AE574" t="s">
        <v>74</v>
      </c>
      <c r="AF574" t="s">
        <v>74</v>
      </c>
      <c r="AG574">
        <v>15</v>
      </c>
      <c r="AH574">
        <v>0</v>
      </c>
      <c r="AI574">
        <v>0</v>
      </c>
      <c r="AJ574">
        <v>0</v>
      </c>
      <c r="AK574">
        <v>4</v>
      </c>
      <c r="AL574" t="s">
        <v>758</v>
      </c>
      <c r="AM574" t="s">
        <v>759</v>
      </c>
      <c r="AN574" t="s">
        <v>760</v>
      </c>
      <c r="AO574" t="s">
        <v>2104</v>
      </c>
      <c r="AP574" t="s">
        <v>2105</v>
      </c>
      <c r="AQ574" t="s">
        <v>74</v>
      </c>
      <c r="AR574" t="s">
        <v>2106</v>
      </c>
      <c r="AS574" t="s">
        <v>2107</v>
      </c>
      <c r="AT574" t="s">
        <v>9050</v>
      </c>
      <c r="AU574">
        <v>2018</v>
      </c>
      <c r="AV574">
        <v>53</v>
      </c>
      <c r="AW574" t="s">
        <v>74</v>
      </c>
      <c r="AX574" t="s">
        <v>74</v>
      </c>
      <c r="AY574">
        <v>1</v>
      </c>
      <c r="AZ574" t="s">
        <v>155</v>
      </c>
      <c r="BA574" t="s">
        <v>74</v>
      </c>
      <c r="BB574">
        <v>6223</v>
      </c>
      <c r="BC574">
        <v>6223</v>
      </c>
      <c r="BD574" t="s">
        <v>74</v>
      </c>
      <c r="BE574" t="s">
        <v>74</v>
      </c>
      <c r="BF574" t="s">
        <v>74</v>
      </c>
      <c r="BG574" t="s">
        <v>74</v>
      </c>
      <c r="BH574" t="s">
        <v>74</v>
      </c>
      <c r="BI574">
        <v>1</v>
      </c>
      <c r="BJ574" t="s">
        <v>484</v>
      </c>
      <c r="BK574" t="s">
        <v>158</v>
      </c>
      <c r="BL574" t="s">
        <v>484</v>
      </c>
      <c r="BM574" t="s">
        <v>11223</v>
      </c>
      <c r="BN574" t="s">
        <v>74</v>
      </c>
      <c r="BO574" t="s">
        <v>74</v>
      </c>
      <c r="BP574" t="s">
        <v>74</v>
      </c>
      <c r="BQ574" t="s">
        <v>74</v>
      </c>
      <c r="BR574" t="s">
        <v>104</v>
      </c>
      <c r="BS574" t="s">
        <v>11243</v>
      </c>
      <c r="BT574" t="str">
        <f>HYPERLINK("https%3A%2F%2Fwww.webofscience.com%2Fwos%2Fwoscc%2Ffull-record%2FWOS:000438212400072","View Full Record in Web of Science")</f>
        <v>View Full Record in Web of Science</v>
      </c>
    </row>
    <row r="575" spans="1:72" x14ac:dyDescent="0.15">
      <c r="A575" t="s">
        <v>72</v>
      </c>
      <c r="B575" t="s">
        <v>11244</v>
      </c>
      <c r="C575" t="s">
        <v>74</v>
      </c>
      <c r="D575" t="s">
        <v>74</v>
      </c>
      <c r="E575" t="s">
        <v>74</v>
      </c>
      <c r="F575" t="s">
        <v>11245</v>
      </c>
      <c r="G575" t="s">
        <v>74</v>
      </c>
      <c r="H575" t="s">
        <v>74</v>
      </c>
      <c r="I575" t="s">
        <v>11246</v>
      </c>
      <c r="J575" t="s">
        <v>2094</v>
      </c>
      <c r="K575" t="s">
        <v>74</v>
      </c>
      <c r="L575" t="s">
        <v>74</v>
      </c>
      <c r="M575" t="s">
        <v>78</v>
      </c>
      <c r="N575" t="s">
        <v>52</v>
      </c>
      <c r="O575" t="s">
        <v>11218</v>
      </c>
      <c r="P575" t="s">
        <v>11219</v>
      </c>
      <c r="Q575" t="s">
        <v>11220</v>
      </c>
      <c r="R575" t="s">
        <v>74</v>
      </c>
      <c r="S575" t="s">
        <v>74</v>
      </c>
      <c r="T575" t="s">
        <v>74</v>
      </c>
      <c r="U575" t="s">
        <v>11247</v>
      </c>
      <c r="V575" t="s">
        <v>74</v>
      </c>
      <c r="W575" t="s">
        <v>11248</v>
      </c>
      <c r="X575" t="s">
        <v>11249</v>
      </c>
      <c r="Y575" t="s">
        <v>74</v>
      </c>
      <c r="Z575" t="s">
        <v>11250</v>
      </c>
      <c r="AA575" t="s">
        <v>11251</v>
      </c>
      <c r="AB575" t="s">
        <v>11252</v>
      </c>
      <c r="AC575" t="s">
        <v>74</v>
      </c>
      <c r="AD575" t="s">
        <v>74</v>
      </c>
      <c r="AE575" t="s">
        <v>74</v>
      </c>
      <c r="AF575" t="s">
        <v>74</v>
      </c>
      <c r="AG575">
        <v>9</v>
      </c>
      <c r="AH575">
        <v>0</v>
      </c>
      <c r="AI575">
        <v>0</v>
      </c>
      <c r="AJ575">
        <v>0</v>
      </c>
      <c r="AK575">
        <v>3</v>
      </c>
      <c r="AL575" t="s">
        <v>758</v>
      </c>
      <c r="AM575" t="s">
        <v>759</v>
      </c>
      <c r="AN575" t="s">
        <v>760</v>
      </c>
      <c r="AO575" t="s">
        <v>2104</v>
      </c>
      <c r="AP575" t="s">
        <v>2105</v>
      </c>
      <c r="AQ575" t="s">
        <v>74</v>
      </c>
      <c r="AR575" t="s">
        <v>2106</v>
      </c>
      <c r="AS575" t="s">
        <v>2107</v>
      </c>
      <c r="AT575" t="s">
        <v>9050</v>
      </c>
      <c r="AU575">
        <v>2018</v>
      </c>
      <c r="AV575">
        <v>53</v>
      </c>
      <c r="AW575" t="s">
        <v>74</v>
      </c>
      <c r="AX575" t="s">
        <v>74</v>
      </c>
      <c r="AY575">
        <v>1</v>
      </c>
      <c r="AZ575" t="s">
        <v>155</v>
      </c>
      <c r="BA575" t="s">
        <v>74</v>
      </c>
      <c r="BB575">
        <v>6251</v>
      </c>
      <c r="BC575">
        <v>6251</v>
      </c>
      <c r="BD575" t="s">
        <v>74</v>
      </c>
      <c r="BE575" t="s">
        <v>74</v>
      </c>
      <c r="BF575" t="s">
        <v>74</v>
      </c>
      <c r="BG575" t="s">
        <v>74</v>
      </c>
      <c r="BH575" t="s">
        <v>74</v>
      </c>
      <c r="BI575">
        <v>1</v>
      </c>
      <c r="BJ575" t="s">
        <v>484</v>
      </c>
      <c r="BK575" t="s">
        <v>158</v>
      </c>
      <c r="BL575" t="s">
        <v>484</v>
      </c>
      <c r="BM575" t="s">
        <v>11223</v>
      </c>
      <c r="BN575" t="s">
        <v>74</v>
      </c>
      <c r="BO575" t="s">
        <v>74</v>
      </c>
      <c r="BP575" t="s">
        <v>74</v>
      </c>
      <c r="BQ575" t="s">
        <v>74</v>
      </c>
      <c r="BR575" t="s">
        <v>104</v>
      </c>
      <c r="BS575" t="s">
        <v>11253</v>
      </c>
      <c r="BT575" t="str">
        <f>HYPERLINK("https%3A%2F%2Fwww.webofscience.com%2Fwos%2Fwoscc%2Ffull-record%2FWOS:000438212400205","View Full Record in Web of Science")</f>
        <v>View Full Record in Web of Science</v>
      </c>
    </row>
    <row r="576" spans="1:72" x14ac:dyDescent="0.15">
      <c r="A576" t="s">
        <v>72</v>
      </c>
      <c r="B576" t="s">
        <v>11254</v>
      </c>
      <c r="C576" t="s">
        <v>74</v>
      </c>
      <c r="D576" t="s">
        <v>74</v>
      </c>
      <c r="E576" t="s">
        <v>74</v>
      </c>
      <c r="F576" t="s">
        <v>11255</v>
      </c>
      <c r="G576" t="s">
        <v>74</v>
      </c>
      <c r="H576" t="s">
        <v>74</v>
      </c>
      <c r="I576" t="s">
        <v>11256</v>
      </c>
      <c r="J576" t="s">
        <v>2094</v>
      </c>
      <c r="K576" t="s">
        <v>74</v>
      </c>
      <c r="L576" t="s">
        <v>74</v>
      </c>
      <c r="M576" t="s">
        <v>78</v>
      </c>
      <c r="N576" t="s">
        <v>52</v>
      </c>
      <c r="O576" t="s">
        <v>11218</v>
      </c>
      <c r="P576" t="s">
        <v>11219</v>
      </c>
      <c r="Q576" t="s">
        <v>11220</v>
      </c>
      <c r="R576" t="s">
        <v>74</v>
      </c>
      <c r="S576" t="s">
        <v>74</v>
      </c>
      <c r="T576" t="s">
        <v>74</v>
      </c>
      <c r="U576" t="s">
        <v>11257</v>
      </c>
      <c r="V576" t="s">
        <v>74</v>
      </c>
      <c r="W576" t="s">
        <v>11258</v>
      </c>
      <c r="X576" t="s">
        <v>11259</v>
      </c>
      <c r="Y576" t="s">
        <v>74</v>
      </c>
      <c r="Z576" t="s">
        <v>11260</v>
      </c>
      <c r="AA576" t="s">
        <v>11261</v>
      </c>
      <c r="AB576" t="s">
        <v>11262</v>
      </c>
      <c r="AC576" t="s">
        <v>74</v>
      </c>
      <c r="AD576" t="s">
        <v>74</v>
      </c>
      <c r="AE576" t="s">
        <v>74</v>
      </c>
      <c r="AF576" t="s">
        <v>74</v>
      </c>
      <c r="AG576">
        <v>13</v>
      </c>
      <c r="AH576">
        <v>0</v>
      </c>
      <c r="AI576">
        <v>0</v>
      </c>
      <c r="AJ576">
        <v>0</v>
      </c>
      <c r="AK576">
        <v>5</v>
      </c>
      <c r="AL576" t="s">
        <v>758</v>
      </c>
      <c r="AM576" t="s">
        <v>759</v>
      </c>
      <c r="AN576" t="s">
        <v>760</v>
      </c>
      <c r="AO576" t="s">
        <v>2104</v>
      </c>
      <c r="AP576" t="s">
        <v>2105</v>
      </c>
      <c r="AQ576" t="s">
        <v>74</v>
      </c>
      <c r="AR576" t="s">
        <v>2106</v>
      </c>
      <c r="AS576" t="s">
        <v>2107</v>
      </c>
      <c r="AT576" t="s">
        <v>9050</v>
      </c>
      <c r="AU576">
        <v>2018</v>
      </c>
      <c r="AV576">
        <v>53</v>
      </c>
      <c r="AW576" t="s">
        <v>74</v>
      </c>
      <c r="AX576" t="s">
        <v>74</v>
      </c>
      <c r="AY576">
        <v>1</v>
      </c>
      <c r="AZ576" t="s">
        <v>155</v>
      </c>
      <c r="BA576" t="s">
        <v>74</v>
      </c>
      <c r="BB576">
        <v>6345</v>
      </c>
      <c r="BC576">
        <v>6345</v>
      </c>
      <c r="BD576" t="s">
        <v>74</v>
      </c>
      <c r="BE576" t="s">
        <v>74</v>
      </c>
      <c r="BF576" t="s">
        <v>74</v>
      </c>
      <c r="BG576" t="s">
        <v>74</v>
      </c>
      <c r="BH576" t="s">
        <v>74</v>
      </c>
      <c r="BI576">
        <v>1</v>
      </c>
      <c r="BJ576" t="s">
        <v>484</v>
      </c>
      <c r="BK576" t="s">
        <v>158</v>
      </c>
      <c r="BL576" t="s">
        <v>484</v>
      </c>
      <c r="BM576" t="s">
        <v>11223</v>
      </c>
      <c r="BN576" t="s">
        <v>74</v>
      </c>
      <c r="BO576" t="s">
        <v>74</v>
      </c>
      <c r="BP576" t="s">
        <v>74</v>
      </c>
      <c r="BQ576" t="s">
        <v>74</v>
      </c>
      <c r="BR576" t="s">
        <v>104</v>
      </c>
      <c r="BS576" t="s">
        <v>11263</v>
      </c>
      <c r="BT576" t="str">
        <f>HYPERLINK("https%3A%2F%2Fwww.webofscience.com%2Fwos%2Fwoscc%2Ffull-record%2FWOS:000438212400089","View Full Record in Web of Science")</f>
        <v>View Full Record in Web of Science</v>
      </c>
    </row>
    <row r="577" spans="1:72" x14ac:dyDescent="0.15">
      <c r="A577" t="s">
        <v>72</v>
      </c>
      <c r="B577" t="s">
        <v>11264</v>
      </c>
      <c r="C577" t="s">
        <v>74</v>
      </c>
      <c r="D577" t="s">
        <v>74</v>
      </c>
      <c r="E577" t="s">
        <v>74</v>
      </c>
      <c r="F577" t="s">
        <v>11265</v>
      </c>
      <c r="G577" t="s">
        <v>74</v>
      </c>
      <c r="H577" t="s">
        <v>74</v>
      </c>
      <c r="I577" t="s">
        <v>11266</v>
      </c>
      <c r="J577" t="s">
        <v>11267</v>
      </c>
      <c r="K577" t="s">
        <v>74</v>
      </c>
      <c r="L577" t="s">
        <v>74</v>
      </c>
      <c r="M577" t="s">
        <v>78</v>
      </c>
      <c r="N577" t="s">
        <v>133</v>
      </c>
      <c r="O577" t="s">
        <v>11268</v>
      </c>
      <c r="P577" t="s">
        <v>11269</v>
      </c>
      <c r="Q577" t="s">
        <v>11270</v>
      </c>
      <c r="R577" t="s">
        <v>74</v>
      </c>
      <c r="S577" t="s">
        <v>11271</v>
      </c>
      <c r="T577" t="s">
        <v>11272</v>
      </c>
      <c r="U577" t="s">
        <v>11273</v>
      </c>
      <c r="V577" t="s">
        <v>11274</v>
      </c>
      <c r="W577" t="s">
        <v>11275</v>
      </c>
      <c r="X577" t="s">
        <v>11276</v>
      </c>
      <c r="Y577" t="s">
        <v>11277</v>
      </c>
      <c r="Z577" t="s">
        <v>11278</v>
      </c>
      <c r="AA577" t="s">
        <v>74</v>
      </c>
      <c r="AB577" t="s">
        <v>11279</v>
      </c>
      <c r="AC577" t="s">
        <v>11280</v>
      </c>
      <c r="AD577" t="s">
        <v>11281</v>
      </c>
      <c r="AE577" t="s">
        <v>11282</v>
      </c>
      <c r="AF577" t="s">
        <v>74</v>
      </c>
      <c r="AG577">
        <v>27</v>
      </c>
      <c r="AH577">
        <v>2</v>
      </c>
      <c r="AI577">
        <v>3</v>
      </c>
      <c r="AJ577">
        <v>0</v>
      </c>
      <c r="AK577">
        <v>12</v>
      </c>
      <c r="AL577" t="s">
        <v>758</v>
      </c>
      <c r="AM577" t="s">
        <v>759</v>
      </c>
      <c r="AN577" t="s">
        <v>760</v>
      </c>
      <c r="AO577" t="s">
        <v>11283</v>
      </c>
      <c r="AP577" t="s">
        <v>11284</v>
      </c>
      <c r="AQ577" t="s">
        <v>74</v>
      </c>
      <c r="AR577" t="s">
        <v>11267</v>
      </c>
      <c r="AS577" t="s">
        <v>11285</v>
      </c>
      <c r="AT577" t="s">
        <v>11286</v>
      </c>
      <c r="AU577">
        <v>2018</v>
      </c>
      <c r="AV577">
        <v>29</v>
      </c>
      <c r="AW577" t="s">
        <v>4617</v>
      </c>
      <c r="AX577" t="s">
        <v>74</v>
      </c>
      <c r="AY577" t="s">
        <v>74</v>
      </c>
      <c r="AZ577" t="s">
        <v>155</v>
      </c>
      <c r="BA577" t="s">
        <v>74</v>
      </c>
      <c r="BB577" t="s">
        <v>74</v>
      </c>
      <c r="BC577" t="s">
        <v>74</v>
      </c>
      <c r="BD577" t="s">
        <v>11287</v>
      </c>
      <c r="BE577" t="s">
        <v>11288</v>
      </c>
      <c r="BF577" t="str">
        <f>HYPERLINK("http://dx.doi.org/10.1002/env.2460","http://dx.doi.org/10.1002/env.2460")</f>
        <v>http://dx.doi.org/10.1002/env.2460</v>
      </c>
      <c r="BG577" t="s">
        <v>74</v>
      </c>
      <c r="BH577" t="s">
        <v>74</v>
      </c>
      <c r="BI577">
        <v>14</v>
      </c>
      <c r="BJ577" t="s">
        <v>11289</v>
      </c>
      <c r="BK577" t="s">
        <v>158</v>
      </c>
      <c r="BL577" t="s">
        <v>11290</v>
      </c>
      <c r="BM577" t="s">
        <v>11291</v>
      </c>
      <c r="BN577" t="s">
        <v>74</v>
      </c>
      <c r="BO577" t="s">
        <v>1142</v>
      </c>
      <c r="BP577" t="s">
        <v>74</v>
      </c>
      <c r="BQ577" t="s">
        <v>74</v>
      </c>
      <c r="BR577" t="s">
        <v>104</v>
      </c>
      <c r="BS577" t="s">
        <v>11292</v>
      </c>
      <c r="BT577" t="str">
        <f>HYPERLINK("https%3A%2F%2Fwww.webofscience.com%2Fwos%2Fwoscc%2Ffull-record%2FWOS:000438498000007","View Full Record in Web of Science")</f>
        <v>View Full Record in Web of Science</v>
      </c>
    </row>
    <row r="578" spans="1:72" x14ac:dyDescent="0.15">
      <c r="A578" t="s">
        <v>72</v>
      </c>
      <c r="B578" t="s">
        <v>11293</v>
      </c>
      <c r="C578" t="s">
        <v>74</v>
      </c>
      <c r="D578" t="s">
        <v>74</v>
      </c>
      <c r="E578" t="s">
        <v>74</v>
      </c>
      <c r="F578" t="s">
        <v>11294</v>
      </c>
      <c r="G578" t="s">
        <v>74</v>
      </c>
      <c r="H578" t="s">
        <v>74</v>
      </c>
      <c r="I578" t="s">
        <v>11295</v>
      </c>
      <c r="J578" t="s">
        <v>10894</v>
      </c>
      <c r="K578" t="s">
        <v>74</v>
      </c>
      <c r="L578" t="s">
        <v>74</v>
      </c>
      <c r="M578" t="s">
        <v>78</v>
      </c>
      <c r="N578" t="s">
        <v>79</v>
      </c>
      <c r="O578" t="s">
        <v>74</v>
      </c>
      <c r="P578" t="s">
        <v>74</v>
      </c>
      <c r="Q578" t="s">
        <v>74</v>
      </c>
      <c r="R578" t="s">
        <v>74</v>
      </c>
      <c r="S578" t="s">
        <v>74</v>
      </c>
      <c r="T578" t="s">
        <v>11296</v>
      </c>
      <c r="U578" t="s">
        <v>11297</v>
      </c>
      <c r="V578" t="s">
        <v>11298</v>
      </c>
      <c r="W578" t="s">
        <v>11299</v>
      </c>
      <c r="X578" t="s">
        <v>11300</v>
      </c>
      <c r="Y578" t="s">
        <v>11301</v>
      </c>
      <c r="Z578" t="s">
        <v>11302</v>
      </c>
      <c r="AA578" t="s">
        <v>11303</v>
      </c>
      <c r="AB578" t="s">
        <v>11304</v>
      </c>
      <c r="AC578" t="s">
        <v>11305</v>
      </c>
      <c r="AD578" t="s">
        <v>11305</v>
      </c>
      <c r="AE578" t="s">
        <v>11306</v>
      </c>
      <c r="AF578" t="s">
        <v>74</v>
      </c>
      <c r="AG578">
        <v>134</v>
      </c>
      <c r="AH578">
        <v>14</v>
      </c>
      <c r="AI578">
        <v>14</v>
      </c>
      <c r="AJ578">
        <v>0</v>
      </c>
      <c r="AK578">
        <v>15</v>
      </c>
      <c r="AL578" t="s">
        <v>430</v>
      </c>
      <c r="AM578" t="s">
        <v>286</v>
      </c>
      <c r="AN578" t="s">
        <v>431</v>
      </c>
      <c r="AO578" t="s">
        <v>10907</v>
      </c>
      <c r="AP578" t="s">
        <v>10908</v>
      </c>
      <c r="AQ578" t="s">
        <v>74</v>
      </c>
      <c r="AR578" t="s">
        <v>10909</v>
      </c>
      <c r="AS578" t="s">
        <v>10910</v>
      </c>
      <c r="AT578" t="s">
        <v>9050</v>
      </c>
      <c r="AU578">
        <v>2018</v>
      </c>
      <c r="AV578">
        <v>167</v>
      </c>
      <c r="AW578" t="s">
        <v>74</v>
      </c>
      <c r="AX578" t="s">
        <v>74</v>
      </c>
      <c r="AY578" t="s">
        <v>74</v>
      </c>
      <c r="AZ578" t="s">
        <v>74</v>
      </c>
      <c r="BA578" t="s">
        <v>74</v>
      </c>
      <c r="BB578">
        <v>110</v>
      </c>
      <c r="BC578">
        <v>122</v>
      </c>
      <c r="BD578" t="s">
        <v>74</v>
      </c>
      <c r="BE578" t="s">
        <v>11307</v>
      </c>
      <c r="BF578" t="str">
        <f>HYPERLINK("http://dx.doi.org/10.1016/j.gloplacha.2018.05.012","http://dx.doi.org/10.1016/j.gloplacha.2018.05.012")</f>
        <v>http://dx.doi.org/10.1016/j.gloplacha.2018.05.012</v>
      </c>
      <c r="BG578" t="s">
        <v>74</v>
      </c>
      <c r="BH578" t="s">
        <v>74</v>
      </c>
      <c r="BI578">
        <v>13</v>
      </c>
      <c r="BJ578" t="s">
        <v>208</v>
      </c>
      <c r="BK578" t="s">
        <v>101</v>
      </c>
      <c r="BL578" t="s">
        <v>209</v>
      </c>
      <c r="BM578" t="s">
        <v>10912</v>
      </c>
      <c r="BN578" t="s">
        <v>74</v>
      </c>
      <c r="BO578" t="s">
        <v>740</v>
      </c>
      <c r="BP578" t="s">
        <v>74</v>
      </c>
      <c r="BQ578" t="s">
        <v>74</v>
      </c>
      <c r="BR578" t="s">
        <v>104</v>
      </c>
      <c r="BS578" t="s">
        <v>11308</v>
      </c>
      <c r="BT578" t="str">
        <f>HYPERLINK("https%3A%2F%2Fwww.webofscience.com%2Fwos%2Fwoscc%2Ffull-record%2FWOS:000438322900009","View Full Record in Web of Science")</f>
        <v>View Full Record in Web of Science</v>
      </c>
    </row>
    <row r="579" spans="1:72" x14ac:dyDescent="0.15">
      <c r="A579" t="s">
        <v>72</v>
      </c>
      <c r="B579" t="s">
        <v>11309</v>
      </c>
      <c r="C579" t="s">
        <v>74</v>
      </c>
      <c r="D579" t="s">
        <v>74</v>
      </c>
      <c r="E579" t="s">
        <v>74</v>
      </c>
      <c r="F579" t="s">
        <v>11310</v>
      </c>
      <c r="G579" t="s">
        <v>74</v>
      </c>
      <c r="H579" t="s">
        <v>74</v>
      </c>
      <c r="I579" t="s">
        <v>11311</v>
      </c>
      <c r="J579" t="s">
        <v>11312</v>
      </c>
      <c r="K579" t="s">
        <v>74</v>
      </c>
      <c r="L579" t="s">
        <v>74</v>
      </c>
      <c r="M579" t="s">
        <v>78</v>
      </c>
      <c r="N579" t="s">
        <v>79</v>
      </c>
      <c r="O579" t="s">
        <v>74</v>
      </c>
      <c r="P579" t="s">
        <v>74</v>
      </c>
      <c r="Q579" t="s">
        <v>74</v>
      </c>
      <c r="R579" t="s">
        <v>74</v>
      </c>
      <c r="S579" t="s">
        <v>74</v>
      </c>
      <c r="T579" t="s">
        <v>11313</v>
      </c>
      <c r="U579" t="s">
        <v>11314</v>
      </c>
      <c r="V579" t="s">
        <v>11315</v>
      </c>
      <c r="W579" t="s">
        <v>11316</v>
      </c>
      <c r="X579" t="s">
        <v>11317</v>
      </c>
      <c r="Y579" t="s">
        <v>11318</v>
      </c>
      <c r="Z579" t="s">
        <v>11319</v>
      </c>
      <c r="AA579" t="s">
        <v>74</v>
      </c>
      <c r="AB579" t="s">
        <v>11320</v>
      </c>
      <c r="AC579" t="s">
        <v>11321</v>
      </c>
      <c r="AD579" t="s">
        <v>11322</v>
      </c>
      <c r="AE579" t="s">
        <v>11323</v>
      </c>
      <c r="AF579" t="s">
        <v>74</v>
      </c>
      <c r="AG579">
        <v>80</v>
      </c>
      <c r="AH579">
        <v>5</v>
      </c>
      <c r="AI579">
        <v>6</v>
      </c>
      <c r="AJ579">
        <v>3</v>
      </c>
      <c r="AK579">
        <v>96</v>
      </c>
      <c r="AL579" t="s">
        <v>758</v>
      </c>
      <c r="AM579" t="s">
        <v>759</v>
      </c>
      <c r="AN579" t="s">
        <v>760</v>
      </c>
      <c r="AO579" t="s">
        <v>11324</v>
      </c>
      <c r="AP579" t="s">
        <v>11325</v>
      </c>
      <c r="AQ579" t="s">
        <v>74</v>
      </c>
      <c r="AR579" t="s">
        <v>11326</v>
      </c>
      <c r="AS579" t="s">
        <v>11327</v>
      </c>
      <c r="AT579" t="s">
        <v>9050</v>
      </c>
      <c r="AU579">
        <v>2018</v>
      </c>
      <c r="AV579">
        <v>43</v>
      </c>
      <c r="AW579">
        <v>5</v>
      </c>
      <c r="AX579" t="s">
        <v>74</v>
      </c>
      <c r="AY579" t="s">
        <v>74</v>
      </c>
      <c r="AZ579" t="s">
        <v>74</v>
      </c>
      <c r="BA579" t="s">
        <v>74</v>
      </c>
      <c r="BB579">
        <v>490</v>
      </c>
      <c r="BC579">
        <v>501</v>
      </c>
      <c r="BD579" t="s">
        <v>74</v>
      </c>
      <c r="BE579" t="s">
        <v>11328</v>
      </c>
      <c r="BF579" t="str">
        <f>HYPERLINK("http://dx.doi.org/10.1111/aec.12586","http://dx.doi.org/10.1111/aec.12586")</f>
        <v>http://dx.doi.org/10.1111/aec.12586</v>
      </c>
      <c r="BG579" t="s">
        <v>74</v>
      </c>
      <c r="BH579" t="s">
        <v>74</v>
      </c>
      <c r="BI579">
        <v>12</v>
      </c>
      <c r="BJ579" t="s">
        <v>2087</v>
      </c>
      <c r="BK579" t="s">
        <v>101</v>
      </c>
      <c r="BL579" t="s">
        <v>559</v>
      </c>
      <c r="BM579" t="s">
        <v>11329</v>
      </c>
      <c r="BN579" t="s">
        <v>74</v>
      </c>
      <c r="BO579" t="s">
        <v>74</v>
      </c>
      <c r="BP579" t="s">
        <v>74</v>
      </c>
      <c r="BQ579" t="s">
        <v>74</v>
      </c>
      <c r="BR579" t="s">
        <v>104</v>
      </c>
      <c r="BS579" t="s">
        <v>11330</v>
      </c>
      <c r="BT579" t="str">
        <f>HYPERLINK("https%3A%2F%2Fwww.webofscience.com%2Fwos%2Fwoscc%2Ffull-record%2FWOS:000438195800002","View Full Record in Web of Science")</f>
        <v>View Full Record in Web of Science</v>
      </c>
    </row>
    <row r="580" spans="1:72" x14ac:dyDescent="0.15">
      <c r="A580" t="s">
        <v>72</v>
      </c>
      <c r="B580" t="s">
        <v>11331</v>
      </c>
      <c r="C580" t="s">
        <v>74</v>
      </c>
      <c r="D580" t="s">
        <v>74</v>
      </c>
      <c r="E580" t="s">
        <v>74</v>
      </c>
      <c r="F580" t="s">
        <v>11332</v>
      </c>
      <c r="G580" t="s">
        <v>74</v>
      </c>
      <c r="H580" t="s">
        <v>74</v>
      </c>
      <c r="I580" t="s">
        <v>11333</v>
      </c>
      <c r="J580" t="s">
        <v>11334</v>
      </c>
      <c r="K580" t="s">
        <v>74</v>
      </c>
      <c r="L580" t="s">
        <v>74</v>
      </c>
      <c r="M580" t="s">
        <v>78</v>
      </c>
      <c r="N580" t="s">
        <v>79</v>
      </c>
      <c r="O580" t="s">
        <v>74</v>
      </c>
      <c r="P580" t="s">
        <v>74</v>
      </c>
      <c r="Q580" t="s">
        <v>74</v>
      </c>
      <c r="R580" t="s">
        <v>74</v>
      </c>
      <c r="S580" t="s">
        <v>74</v>
      </c>
      <c r="T580" t="s">
        <v>74</v>
      </c>
      <c r="U580" t="s">
        <v>11335</v>
      </c>
      <c r="V580" t="s">
        <v>11336</v>
      </c>
      <c r="W580" t="s">
        <v>11337</v>
      </c>
      <c r="X580" t="s">
        <v>1468</v>
      </c>
      <c r="Y580" t="s">
        <v>11338</v>
      </c>
      <c r="Z580" t="s">
        <v>11339</v>
      </c>
      <c r="AA580" t="s">
        <v>11340</v>
      </c>
      <c r="AB580" t="s">
        <v>11341</v>
      </c>
      <c r="AC580" t="s">
        <v>11342</v>
      </c>
      <c r="AD580" t="s">
        <v>11343</v>
      </c>
      <c r="AE580" t="s">
        <v>11344</v>
      </c>
      <c r="AF580" t="s">
        <v>74</v>
      </c>
      <c r="AG580">
        <v>33</v>
      </c>
      <c r="AH580">
        <v>3</v>
      </c>
      <c r="AI580">
        <v>4</v>
      </c>
      <c r="AJ580">
        <v>1</v>
      </c>
      <c r="AK580">
        <v>16</v>
      </c>
      <c r="AL580" t="s">
        <v>11345</v>
      </c>
      <c r="AM580" t="s">
        <v>704</v>
      </c>
      <c r="AN580" t="s">
        <v>8038</v>
      </c>
      <c r="AO580" t="s">
        <v>11346</v>
      </c>
      <c r="AP580" t="s">
        <v>11347</v>
      </c>
      <c r="AQ580" t="s">
        <v>74</v>
      </c>
      <c r="AR580" t="s">
        <v>11334</v>
      </c>
      <c r="AS580" t="s">
        <v>11348</v>
      </c>
      <c r="AT580" t="s">
        <v>9050</v>
      </c>
      <c r="AU580">
        <v>2018</v>
      </c>
      <c r="AV580">
        <v>121</v>
      </c>
      <c r="AW580">
        <v>2</v>
      </c>
      <c r="AX580" t="s">
        <v>74</v>
      </c>
      <c r="AY580" t="s">
        <v>74</v>
      </c>
      <c r="AZ580" t="s">
        <v>74</v>
      </c>
      <c r="BA580" t="s">
        <v>74</v>
      </c>
      <c r="BB580">
        <v>105</v>
      </c>
      <c r="BC580">
        <v>111</v>
      </c>
      <c r="BD580" t="s">
        <v>74</v>
      </c>
      <c r="BE580" t="s">
        <v>11349</v>
      </c>
      <c r="BF580" t="str">
        <f>HYPERLINK("http://dx.doi.org/10.1038/s41437-018-0088-8","http://dx.doi.org/10.1038/s41437-018-0088-8")</f>
        <v>http://dx.doi.org/10.1038/s41437-018-0088-8</v>
      </c>
      <c r="BG580" t="s">
        <v>74</v>
      </c>
      <c r="BH580" t="s">
        <v>74</v>
      </c>
      <c r="BI580">
        <v>7</v>
      </c>
      <c r="BJ580" t="s">
        <v>11350</v>
      </c>
      <c r="BK580" t="s">
        <v>101</v>
      </c>
      <c r="BL580" t="s">
        <v>11351</v>
      </c>
      <c r="BM580" t="s">
        <v>11352</v>
      </c>
      <c r="BN580">
        <v>29752470</v>
      </c>
      <c r="BO580" t="s">
        <v>835</v>
      </c>
      <c r="BP580" t="s">
        <v>74</v>
      </c>
      <c r="BQ580" t="s">
        <v>74</v>
      </c>
      <c r="BR580" t="s">
        <v>104</v>
      </c>
      <c r="BS580" t="s">
        <v>11353</v>
      </c>
      <c r="BT580" t="str">
        <f>HYPERLINK("https%3A%2F%2Fwww.webofscience.com%2Fwos%2Fwoscc%2Ffull-record%2FWOS:000438314600001","View Full Record in Web of Science")</f>
        <v>View Full Record in Web of Science</v>
      </c>
    </row>
    <row r="581" spans="1:72" x14ac:dyDescent="0.15">
      <c r="A581" t="s">
        <v>72</v>
      </c>
      <c r="B581" t="s">
        <v>11354</v>
      </c>
      <c r="C581" t="s">
        <v>74</v>
      </c>
      <c r="D581" t="s">
        <v>74</v>
      </c>
      <c r="E581" t="s">
        <v>74</v>
      </c>
      <c r="F581" t="s">
        <v>11355</v>
      </c>
      <c r="G581" t="s">
        <v>74</v>
      </c>
      <c r="H581" t="s">
        <v>74</v>
      </c>
      <c r="I581" t="s">
        <v>11356</v>
      </c>
      <c r="J581" t="s">
        <v>773</v>
      </c>
      <c r="K581" t="s">
        <v>74</v>
      </c>
      <c r="L581" t="s">
        <v>74</v>
      </c>
      <c r="M581" t="s">
        <v>78</v>
      </c>
      <c r="N581" t="s">
        <v>79</v>
      </c>
      <c r="O581" t="s">
        <v>74</v>
      </c>
      <c r="P581" t="s">
        <v>74</v>
      </c>
      <c r="Q581" t="s">
        <v>74</v>
      </c>
      <c r="R581" t="s">
        <v>74</v>
      </c>
      <c r="S581" t="s">
        <v>74</v>
      </c>
      <c r="T581" t="s">
        <v>11357</v>
      </c>
      <c r="U581" t="s">
        <v>11358</v>
      </c>
      <c r="V581" t="s">
        <v>11359</v>
      </c>
      <c r="W581" t="s">
        <v>11360</v>
      </c>
      <c r="X581" t="s">
        <v>11361</v>
      </c>
      <c r="Y581" t="s">
        <v>11362</v>
      </c>
      <c r="Z581" t="s">
        <v>11363</v>
      </c>
      <c r="AA581" t="s">
        <v>11364</v>
      </c>
      <c r="AB581" t="s">
        <v>11365</v>
      </c>
      <c r="AC581" t="s">
        <v>11366</v>
      </c>
      <c r="AD581" t="s">
        <v>11367</v>
      </c>
      <c r="AE581" t="s">
        <v>11368</v>
      </c>
      <c r="AF581" t="s">
        <v>74</v>
      </c>
      <c r="AG581">
        <v>64</v>
      </c>
      <c r="AH581">
        <v>45</v>
      </c>
      <c r="AI581">
        <v>52</v>
      </c>
      <c r="AJ581">
        <v>1</v>
      </c>
      <c r="AK581">
        <v>38</v>
      </c>
      <c r="AL581" t="s">
        <v>785</v>
      </c>
      <c r="AM581" t="s">
        <v>786</v>
      </c>
      <c r="AN581" t="s">
        <v>2531</v>
      </c>
      <c r="AO581" t="s">
        <v>788</v>
      </c>
      <c r="AP581" t="s">
        <v>789</v>
      </c>
      <c r="AQ581" t="s">
        <v>74</v>
      </c>
      <c r="AR581" t="s">
        <v>790</v>
      </c>
      <c r="AS581" t="s">
        <v>791</v>
      </c>
      <c r="AT581" t="s">
        <v>9050</v>
      </c>
      <c r="AU581">
        <v>2018</v>
      </c>
      <c r="AV581">
        <v>31</v>
      </c>
      <c r="AW581">
        <v>16</v>
      </c>
      <c r="AX581" t="s">
        <v>74</v>
      </c>
      <c r="AY581" t="s">
        <v>74</v>
      </c>
      <c r="AZ581" t="s">
        <v>74</v>
      </c>
      <c r="BA581" t="s">
        <v>74</v>
      </c>
      <c r="BB581">
        <v>6353</v>
      </c>
      <c r="BC581">
        <v>6370</v>
      </c>
      <c r="BD581" t="s">
        <v>74</v>
      </c>
      <c r="BE581" t="s">
        <v>11369</v>
      </c>
      <c r="BF581" t="str">
        <f>HYPERLINK("http://dx.doi.org/10.1175/JCLI-D-17-0666.1","http://dx.doi.org/10.1175/JCLI-D-17-0666.1")</f>
        <v>http://dx.doi.org/10.1175/JCLI-D-17-0666.1</v>
      </c>
      <c r="BG581" t="s">
        <v>74</v>
      </c>
      <c r="BH581" t="s">
        <v>74</v>
      </c>
      <c r="BI581">
        <v>18</v>
      </c>
      <c r="BJ581" t="s">
        <v>369</v>
      </c>
      <c r="BK581" t="s">
        <v>101</v>
      </c>
      <c r="BL581" t="s">
        <v>369</v>
      </c>
      <c r="BM581" t="s">
        <v>11370</v>
      </c>
      <c r="BN581" t="s">
        <v>74</v>
      </c>
      <c r="BO581" t="s">
        <v>712</v>
      </c>
      <c r="BP581" t="s">
        <v>74</v>
      </c>
      <c r="BQ581" t="s">
        <v>74</v>
      </c>
      <c r="BR581" t="s">
        <v>104</v>
      </c>
      <c r="BS581" t="s">
        <v>11371</v>
      </c>
      <c r="BT581" t="str">
        <f>HYPERLINK("https%3A%2F%2Fwww.webofscience.com%2Fwos%2Fwoscc%2Ffull-record%2FWOS:000438189800008","View Full Record in Web of Science")</f>
        <v>View Full Record in Web of Science</v>
      </c>
    </row>
    <row r="582" spans="1:72" x14ac:dyDescent="0.15">
      <c r="A582" t="s">
        <v>72</v>
      </c>
      <c r="B582" t="s">
        <v>11372</v>
      </c>
      <c r="C582" t="s">
        <v>74</v>
      </c>
      <c r="D582" t="s">
        <v>74</v>
      </c>
      <c r="E582" t="s">
        <v>74</v>
      </c>
      <c r="F582" t="s">
        <v>11373</v>
      </c>
      <c r="G582" t="s">
        <v>74</v>
      </c>
      <c r="H582" t="s">
        <v>74</v>
      </c>
      <c r="I582" t="s">
        <v>11374</v>
      </c>
      <c r="J582" t="s">
        <v>11375</v>
      </c>
      <c r="K582" t="s">
        <v>74</v>
      </c>
      <c r="L582" t="s">
        <v>74</v>
      </c>
      <c r="M582" t="s">
        <v>78</v>
      </c>
      <c r="N582" t="s">
        <v>79</v>
      </c>
      <c r="O582" t="s">
        <v>74</v>
      </c>
      <c r="P582" t="s">
        <v>74</v>
      </c>
      <c r="Q582" t="s">
        <v>74</v>
      </c>
      <c r="R582" t="s">
        <v>74</v>
      </c>
      <c r="S582" t="s">
        <v>74</v>
      </c>
      <c r="T582" t="s">
        <v>11376</v>
      </c>
      <c r="U582" t="s">
        <v>11377</v>
      </c>
      <c r="V582" t="s">
        <v>11378</v>
      </c>
      <c r="W582" t="s">
        <v>11379</v>
      </c>
      <c r="X582" t="s">
        <v>11380</v>
      </c>
      <c r="Y582" t="s">
        <v>11381</v>
      </c>
      <c r="Z582" t="s">
        <v>11382</v>
      </c>
      <c r="AA582" t="s">
        <v>74</v>
      </c>
      <c r="AB582" t="s">
        <v>11383</v>
      </c>
      <c r="AC582" t="s">
        <v>74</v>
      </c>
      <c r="AD582" t="s">
        <v>74</v>
      </c>
      <c r="AE582" t="s">
        <v>74</v>
      </c>
      <c r="AF582" t="s">
        <v>74</v>
      </c>
      <c r="AG582">
        <v>41</v>
      </c>
      <c r="AH582">
        <v>7</v>
      </c>
      <c r="AI582">
        <v>9</v>
      </c>
      <c r="AJ582">
        <v>4</v>
      </c>
      <c r="AK582">
        <v>38</v>
      </c>
      <c r="AL582" t="s">
        <v>676</v>
      </c>
      <c r="AM582" t="s">
        <v>677</v>
      </c>
      <c r="AN582" t="s">
        <v>678</v>
      </c>
      <c r="AO582" t="s">
        <v>11384</v>
      </c>
      <c r="AP582" t="s">
        <v>11385</v>
      </c>
      <c r="AQ582" t="s">
        <v>74</v>
      </c>
      <c r="AR582" t="s">
        <v>11386</v>
      </c>
      <c r="AS582" t="s">
        <v>11387</v>
      </c>
      <c r="AT582" t="s">
        <v>9050</v>
      </c>
      <c r="AU582">
        <v>2018</v>
      </c>
      <c r="AV582">
        <v>18</v>
      </c>
      <c r="AW582">
        <v>8</v>
      </c>
      <c r="AX582" t="s">
        <v>74</v>
      </c>
      <c r="AY582" t="s">
        <v>74</v>
      </c>
      <c r="AZ582" t="s">
        <v>155</v>
      </c>
      <c r="BA582" t="s">
        <v>74</v>
      </c>
      <c r="BB582">
        <v>2715</v>
      </c>
      <c r="BC582">
        <v>2726</v>
      </c>
      <c r="BD582" t="s">
        <v>74</v>
      </c>
      <c r="BE582" t="s">
        <v>11388</v>
      </c>
      <c r="BF582" t="str">
        <f>HYPERLINK("http://dx.doi.org/10.1007/s11368-018-1913-7","http://dx.doi.org/10.1007/s11368-018-1913-7")</f>
        <v>http://dx.doi.org/10.1007/s11368-018-1913-7</v>
      </c>
      <c r="BG582" t="s">
        <v>74</v>
      </c>
      <c r="BH582" t="s">
        <v>74</v>
      </c>
      <c r="BI582">
        <v>12</v>
      </c>
      <c r="BJ582" t="s">
        <v>11389</v>
      </c>
      <c r="BK582" t="s">
        <v>101</v>
      </c>
      <c r="BL582" t="s">
        <v>11390</v>
      </c>
      <c r="BM582" t="s">
        <v>11391</v>
      </c>
      <c r="BN582" t="s">
        <v>74</v>
      </c>
      <c r="BO582" t="s">
        <v>74</v>
      </c>
      <c r="BP582" t="s">
        <v>74</v>
      </c>
      <c r="BQ582" t="s">
        <v>74</v>
      </c>
      <c r="BR582" t="s">
        <v>104</v>
      </c>
      <c r="BS582" t="s">
        <v>11392</v>
      </c>
      <c r="BT582" t="str">
        <f>HYPERLINK("https%3A%2F%2Fwww.webofscience.com%2Fwos%2Fwoscc%2Ffull-record%2FWOS:000438115100007","View Full Record in Web of Science")</f>
        <v>View Full Record in Web of Science</v>
      </c>
    </row>
    <row r="583" spans="1:72" x14ac:dyDescent="0.15">
      <c r="A583" t="s">
        <v>72</v>
      </c>
      <c r="B583" t="s">
        <v>11393</v>
      </c>
      <c r="C583" t="s">
        <v>74</v>
      </c>
      <c r="D583" t="s">
        <v>74</v>
      </c>
      <c r="E583" t="s">
        <v>74</v>
      </c>
      <c r="F583" t="s">
        <v>11394</v>
      </c>
      <c r="G583" t="s">
        <v>74</v>
      </c>
      <c r="H583" t="s">
        <v>74</v>
      </c>
      <c r="I583" t="s">
        <v>11395</v>
      </c>
      <c r="J583" t="s">
        <v>1613</v>
      </c>
      <c r="K583" t="s">
        <v>74</v>
      </c>
      <c r="L583" t="s">
        <v>74</v>
      </c>
      <c r="M583" t="s">
        <v>78</v>
      </c>
      <c r="N583" t="s">
        <v>79</v>
      </c>
      <c r="O583" t="s">
        <v>74</v>
      </c>
      <c r="P583" t="s">
        <v>74</v>
      </c>
      <c r="Q583" t="s">
        <v>74</v>
      </c>
      <c r="R583" t="s">
        <v>74</v>
      </c>
      <c r="S583" t="s">
        <v>74</v>
      </c>
      <c r="T583" t="s">
        <v>74</v>
      </c>
      <c r="U583" t="s">
        <v>11396</v>
      </c>
      <c r="V583" t="s">
        <v>11397</v>
      </c>
      <c r="W583" t="s">
        <v>11398</v>
      </c>
      <c r="X583" t="s">
        <v>11399</v>
      </c>
      <c r="Y583" t="s">
        <v>11400</v>
      </c>
      <c r="Z583" t="s">
        <v>11401</v>
      </c>
      <c r="AA583" t="s">
        <v>11402</v>
      </c>
      <c r="AB583" t="s">
        <v>11403</v>
      </c>
      <c r="AC583" t="s">
        <v>11404</v>
      </c>
      <c r="AD583" t="s">
        <v>11405</v>
      </c>
      <c r="AE583" t="s">
        <v>11406</v>
      </c>
      <c r="AF583" t="s">
        <v>74</v>
      </c>
      <c r="AG583">
        <v>116</v>
      </c>
      <c r="AH583">
        <v>10</v>
      </c>
      <c r="AI583">
        <v>12</v>
      </c>
      <c r="AJ583">
        <v>0</v>
      </c>
      <c r="AK583">
        <v>23</v>
      </c>
      <c r="AL583" t="s">
        <v>676</v>
      </c>
      <c r="AM583" t="s">
        <v>677</v>
      </c>
      <c r="AN583" t="s">
        <v>678</v>
      </c>
      <c r="AO583" t="s">
        <v>1625</v>
      </c>
      <c r="AP583" t="s">
        <v>1626</v>
      </c>
      <c r="AQ583" t="s">
        <v>74</v>
      </c>
      <c r="AR583" t="s">
        <v>1627</v>
      </c>
      <c r="AS583" t="s">
        <v>1628</v>
      </c>
      <c r="AT583" t="s">
        <v>9050</v>
      </c>
      <c r="AU583">
        <v>2018</v>
      </c>
      <c r="AV583">
        <v>165</v>
      </c>
      <c r="AW583">
        <v>8</v>
      </c>
      <c r="AX583" t="s">
        <v>74</v>
      </c>
      <c r="AY583" t="s">
        <v>74</v>
      </c>
      <c r="AZ583" t="s">
        <v>74</v>
      </c>
      <c r="BA583" t="s">
        <v>74</v>
      </c>
      <c r="BB583" t="s">
        <v>74</v>
      </c>
      <c r="BC583" t="s">
        <v>74</v>
      </c>
      <c r="BD583">
        <v>122</v>
      </c>
      <c r="BE583" t="s">
        <v>11407</v>
      </c>
      <c r="BF583" t="str">
        <f>HYPERLINK("http://dx.doi.org/10.1007/s00227-018-3382-3","http://dx.doi.org/10.1007/s00227-018-3382-3")</f>
        <v>http://dx.doi.org/10.1007/s00227-018-3382-3</v>
      </c>
      <c r="BG583" t="s">
        <v>74</v>
      </c>
      <c r="BH583" t="s">
        <v>74</v>
      </c>
      <c r="BI583">
        <v>13</v>
      </c>
      <c r="BJ583" t="s">
        <v>1630</v>
      </c>
      <c r="BK583" t="s">
        <v>101</v>
      </c>
      <c r="BL583" t="s">
        <v>1630</v>
      </c>
      <c r="BM583" t="s">
        <v>11408</v>
      </c>
      <c r="BN583" t="s">
        <v>74</v>
      </c>
      <c r="BO583" t="s">
        <v>74</v>
      </c>
      <c r="BP583" t="s">
        <v>74</v>
      </c>
      <c r="BQ583" t="s">
        <v>74</v>
      </c>
      <c r="BR583" t="s">
        <v>104</v>
      </c>
      <c r="BS583" t="s">
        <v>11409</v>
      </c>
      <c r="BT583" t="str">
        <f>HYPERLINK("https%3A%2F%2Fwww.webofscience.com%2Fwos%2Fwoscc%2Ffull-record%2FWOS:000438153500001","View Full Record in Web of Science")</f>
        <v>View Full Record in Web of Science</v>
      </c>
    </row>
    <row r="584" spans="1:72" x14ac:dyDescent="0.15">
      <c r="A584" t="s">
        <v>72</v>
      </c>
      <c r="B584" t="s">
        <v>11410</v>
      </c>
      <c r="C584" t="s">
        <v>74</v>
      </c>
      <c r="D584" t="s">
        <v>74</v>
      </c>
      <c r="E584" t="s">
        <v>74</v>
      </c>
      <c r="F584" t="s">
        <v>11411</v>
      </c>
      <c r="G584" t="s">
        <v>74</v>
      </c>
      <c r="H584" t="s">
        <v>74</v>
      </c>
      <c r="I584" t="s">
        <v>11412</v>
      </c>
      <c r="J584" t="s">
        <v>11413</v>
      </c>
      <c r="K584" t="s">
        <v>74</v>
      </c>
      <c r="L584" t="s">
        <v>74</v>
      </c>
      <c r="M584" t="s">
        <v>78</v>
      </c>
      <c r="N584" t="s">
        <v>79</v>
      </c>
      <c r="O584" t="s">
        <v>74</v>
      </c>
      <c r="P584" t="s">
        <v>74</v>
      </c>
      <c r="Q584" t="s">
        <v>74</v>
      </c>
      <c r="R584" t="s">
        <v>74</v>
      </c>
      <c r="S584" t="s">
        <v>74</v>
      </c>
      <c r="T584" t="s">
        <v>11414</v>
      </c>
      <c r="U584" t="s">
        <v>11415</v>
      </c>
      <c r="V584" t="s">
        <v>11416</v>
      </c>
      <c r="W584" t="s">
        <v>11417</v>
      </c>
      <c r="X584" t="s">
        <v>11418</v>
      </c>
      <c r="Y584" t="s">
        <v>11419</v>
      </c>
      <c r="Z584" t="s">
        <v>11420</v>
      </c>
      <c r="AA584" t="s">
        <v>74</v>
      </c>
      <c r="AB584" t="s">
        <v>74</v>
      </c>
      <c r="AC584" t="s">
        <v>11421</v>
      </c>
      <c r="AD584" t="s">
        <v>11422</v>
      </c>
      <c r="AE584" t="s">
        <v>11423</v>
      </c>
      <c r="AF584" t="s">
        <v>74</v>
      </c>
      <c r="AG584">
        <v>37</v>
      </c>
      <c r="AH584">
        <v>4</v>
      </c>
      <c r="AI584">
        <v>4</v>
      </c>
      <c r="AJ584">
        <v>0</v>
      </c>
      <c r="AK584">
        <v>5</v>
      </c>
      <c r="AL584" t="s">
        <v>11424</v>
      </c>
      <c r="AM584" t="s">
        <v>704</v>
      </c>
      <c r="AN584" t="s">
        <v>11425</v>
      </c>
      <c r="AO584" t="s">
        <v>11426</v>
      </c>
      <c r="AP584" t="s">
        <v>11427</v>
      </c>
      <c r="AQ584" t="s">
        <v>74</v>
      </c>
      <c r="AR584" t="s">
        <v>11428</v>
      </c>
      <c r="AS584" t="s">
        <v>11429</v>
      </c>
      <c r="AT584" t="s">
        <v>9050</v>
      </c>
      <c r="AU584">
        <v>2018</v>
      </c>
      <c r="AV584">
        <v>88</v>
      </c>
      <c r="AW584" t="s">
        <v>74</v>
      </c>
      <c r="AX584" t="s">
        <v>74</v>
      </c>
      <c r="AY584" t="s">
        <v>74</v>
      </c>
      <c r="AZ584" t="s">
        <v>155</v>
      </c>
      <c r="BA584" t="s">
        <v>74</v>
      </c>
      <c r="BB584">
        <v>79</v>
      </c>
      <c r="BC584">
        <v>89</v>
      </c>
      <c r="BD584" t="s">
        <v>74</v>
      </c>
      <c r="BE584" t="s">
        <v>11430</v>
      </c>
      <c r="BF584" t="str">
        <f>HYPERLINK("http://dx.doi.org/10.1016/j.cretres.2017.03.001","http://dx.doi.org/10.1016/j.cretres.2017.03.001")</f>
        <v>http://dx.doi.org/10.1016/j.cretres.2017.03.001</v>
      </c>
      <c r="BG584" t="s">
        <v>74</v>
      </c>
      <c r="BH584" t="s">
        <v>74</v>
      </c>
      <c r="BI584">
        <v>11</v>
      </c>
      <c r="BJ584" t="s">
        <v>6305</v>
      </c>
      <c r="BK584" t="s">
        <v>101</v>
      </c>
      <c r="BL584" t="s">
        <v>6305</v>
      </c>
      <c r="BM584" t="s">
        <v>11431</v>
      </c>
      <c r="BN584" t="s">
        <v>74</v>
      </c>
      <c r="BO584" t="s">
        <v>74</v>
      </c>
      <c r="BP584" t="s">
        <v>74</v>
      </c>
      <c r="BQ584" t="s">
        <v>74</v>
      </c>
      <c r="BR584" t="s">
        <v>104</v>
      </c>
      <c r="BS584" t="s">
        <v>11432</v>
      </c>
      <c r="BT584" t="str">
        <f>HYPERLINK("https%3A%2F%2Fwww.webofscience.com%2Fwos%2Fwoscc%2Ffull-record%2FWOS:000437816200007","View Full Record in Web of Science")</f>
        <v>View Full Record in Web of Science</v>
      </c>
    </row>
    <row r="585" spans="1:72" x14ac:dyDescent="0.15">
      <c r="A585" t="s">
        <v>72</v>
      </c>
      <c r="B585" t="s">
        <v>11433</v>
      </c>
      <c r="C585" t="s">
        <v>74</v>
      </c>
      <c r="D585" t="s">
        <v>74</v>
      </c>
      <c r="E585" t="s">
        <v>74</v>
      </c>
      <c r="F585" t="s">
        <v>11434</v>
      </c>
      <c r="G585" t="s">
        <v>74</v>
      </c>
      <c r="H585" t="s">
        <v>74</v>
      </c>
      <c r="I585" t="s">
        <v>11435</v>
      </c>
      <c r="J585" t="s">
        <v>11436</v>
      </c>
      <c r="K585" t="s">
        <v>74</v>
      </c>
      <c r="L585" t="s">
        <v>74</v>
      </c>
      <c r="M585" t="s">
        <v>78</v>
      </c>
      <c r="N585" t="s">
        <v>79</v>
      </c>
      <c r="O585" t="s">
        <v>74</v>
      </c>
      <c r="P585" t="s">
        <v>74</v>
      </c>
      <c r="Q585" t="s">
        <v>74</v>
      </c>
      <c r="R585" t="s">
        <v>74</v>
      </c>
      <c r="S585" t="s">
        <v>74</v>
      </c>
      <c r="T585" t="s">
        <v>11437</v>
      </c>
      <c r="U585" t="s">
        <v>11438</v>
      </c>
      <c r="V585" t="s">
        <v>11439</v>
      </c>
      <c r="W585" t="s">
        <v>11440</v>
      </c>
      <c r="X585" t="s">
        <v>11441</v>
      </c>
      <c r="Y585" t="s">
        <v>11442</v>
      </c>
      <c r="Z585" t="s">
        <v>11443</v>
      </c>
      <c r="AA585" t="s">
        <v>11444</v>
      </c>
      <c r="AB585" t="s">
        <v>11445</v>
      </c>
      <c r="AC585" t="s">
        <v>11446</v>
      </c>
      <c r="AD585" t="s">
        <v>11447</v>
      </c>
      <c r="AE585" t="s">
        <v>11448</v>
      </c>
      <c r="AF585" t="s">
        <v>74</v>
      </c>
      <c r="AG585">
        <v>46</v>
      </c>
      <c r="AH585">
        <v>30</v>
      </c>
      <c r="AI585">
        <v>31</v>
      </c>
      <c r="AJ585">
        <v>0</v>
      </c>
      <c r="AK585">
        <v>10</v>
      </c>
      <c r="AL585" t="s">
        <v>676</v>
      </c>
      <c r="AM585" t="s">
        <v>677</v>
      </c>
      <c r="AN585" t="s">
        <v>678</v>
      </c>
      <c r="AO585" t="s">
        <v>11449</v>
      </c>
      <c r="AP585" t="s">
        <v>11450</v>
      </c>
      <c r="AQ585" t="s">
        <v>74</v>
      </c>
      <c r="AR585" t="s">
        <v>11451</v>
      </c>
      <c r="AS585" t="s">
        <v>11452</v>
      </c>
      <c r="AT585" t="s">
        <v>9050</v>
      </c>
      <c r="AU585">
        <v>2018</v>
      </c>
      <c r="AV585">
        <v>68</v>
      </c>
      <c r="AW585">
        <v>8</v>
      </c>
      <c r="AX585" t="s">
        <v>74</v>
      </c>
      <c r="AY585" t="s">
        <v>74</v>
      </c>
      <c r="AZ585" t="s">
        <v>74</v>
      </c>
      <c r="BA585" t="s">
        <v>74</v>
      </c>
      <c r="BB585">
        <v>939</v>
      </c>
      <c r="BC585">
        <v>955</v>
      </c>
      <c r="BD585" t="s">
        <v>74</v>
      </c>
      <c r="BE585" t="s">
        <v>11453</v>
      </c>
      <c r="BF585" t="str">
        <f>HYPERLINK("http://dx.doi.org/10.1007/s10236-018-1171-7","http://dx.doi.org/10.1007/s10236-018-1171-7")</f>
        <v>http://dx.doi.org/10.1007/s10236-018-1171-7</v>
      </c>
      <c r="BG585" t="s">
        <v>74</v>
      </c>
      <c r="BH585" t="s">
        <v>74</v>
      </c>
      <c r="BI585">
        <v>17</v>
      </c>
      <c r="BJ585" t="s">
        <v>157</v>
      </c>
      <c r="BK585" t="s">
        <v>101</v>
      </c>
      <c r="BL585" t="s">
        <v>157</v>
      </c>
      <c r="BM585" t="s">
        <v>11454</v>
      </c>
      <c r="BN585" t="s">
        <v>74</v>
      </c>
      <c r="BO585" t="s">
        <v>74</v>
      </c>
      <c r="BP585" t="s">
        <v>74</v>
      </c>
      <c r="BQ585" t="s">
        <v>74</v>
      </c>
      <c r="BR585" t="s">
        <v>104</v>
      </c>
      <c r="BS585" t="s">
        <v>11455</v>
      </c>
      <c r="BT585" t="str">
        <f>HYPERLINK("https%3A%2F%2Fwww.webofscience.com%2Fwos%2Fwoscc%2Ffull-record%2FWOS:000437737200002","View Full Record in Web of Science")</f>
        <v>View Full Record in Web of Science</v>
      </c>
    </row>
    <row r="586" spans="1:72" x14ac:dyDescent="0.15">
      <c r="A586" t="s">
        <v>72</v>
      </c>
      <c r="B586" t="s">
        <v>11456</v>
      </c>
      <c r="C586" t="s">
        <v>74</v>
      </c>
      <c r="D586" t="s">
        <v>74</v>
      </c>
      <c r="E586" t="s">
        <v>74</v>
      </c>
      <c r="F586" t="s">
        <v>11457</v>
      </c>
      <c r="G586" t="s">
        <v>74</v>
      </c>
      <c r="H586" t="s">
        <v>74</v>
      </c>
      <c r="I586" t="s">
        <v>11458</v>
      </c>
      <c r="J586" t="s">
        <v>3860</v>
      </c>
      <c r="K586" t="s">
        <v>74</v>
      </c>
      <c r="L586" t="s">
        <v>74</v>
      </c>
      <c r="M586" t="s">
        <v>78</v>
      </c>
      <c r="N586" t="s">
        <v>79</v>
      </c>
      <c r="O586" t="s">
        <v>74</v>
      </c>
      <c r="P586" t="s">
        <v>74</v>
      </c>
      <c r="Q586" t="s">
        <v>74</v>
      </c>
      <c r="R586" t="s">
        <v>74</v>
      </c>
      <c r="S586" t="s">
        <v>74</v>
      </c>
      <c r="T586" t="s">
        <v>11459</v>
      </c>
      <c r="U586" t="s">
        <v>11460</v>
      </c>
      <c r="V586" t="s">
        <v>11461</v>
      </c>
      <c r="W586" t="s">
        <v>11462</v>
      </c>
      <c r="X586" t="s">
        <v>11463</v>
      </c>
      <c r="Y586" t="s">
        <v>11464</v>
      </c>
      <c r="Z586" t="s">
        <v>11465</v>
      </c>
      <c r="AA586" t="s">
        <v>11466</v>
      </c>
      <c r="AB586" t="s">
        <v>11467</v>
      </c>
      <c r="AC586" t="s">
        <v>11468</v>
      </c>
      <c r="AD586" t="s">
        <v>11469</v>
      </c>
      <c r="AE586" t="s">
        <v>11470</v>
      </c>
      <c r="AF586" t="s">
        <v>74</v>
      </c>
      <c r="AG586">
        <v>57</v>
      </c>
      <c r="AH586">
        <v>17</v>
      </c>
      <c r="AI586">
        <v>17</v>
      </c>
      <c r="AJ586">
        <v>0</v>
      </c>
      <c r="AK586">
        <v>13</v>
      </c>
      <c r="AL586" t="s">
        <v>201</v>
      </c>
      <c r="AM586" t="s">
        <v>93</v>
      </c>
      <c r="AN586" t="s">
        <v>202</v>
      </c>
      <c r="AO586" t="s">
        <v>3873</v>
      </c>
      <c r="AP586" t="s">
        <v>3874</v>
      </c>
      <c r="AQ586" t="s">
        <v>74</v>
      </c>
      <c r="AR586" t="s">
        <v>3875</v>
      </c>
      <c r="AS586" t="s">
        <v>3876</v>
      </c>
      <c r="AT586" t="s">
        <v>9643</v>
      </c>
      <c r="AU586">
        <v>2018</v>
      </c>
      <c r="AV586">
        <v>62</v>
      </c>
      <c r="AW586">
        <v>3</v>
      </c>
      <c r="AX586" t="s">
        <v>74</v>
      </c>
      <c r="AY586" t="s">
        <v>74</v>
      </c>
      <c r="AZ586" t="s">
        <v>74</v>
      </c>
      <c r="BA586" t="s">
        <v>74</v>
      </c>
      <c r="BB586">
        <v>638</v>
      </c>
      <c r="BC586">
        <v>650</v>
      </c>
      <c r="BD586" t="s">
        <v>74</v>
      </c>
      <c r="BE586" t="s">
        <v>11471</v>
      </c>
      <c r="BF586" t="str">
        <f>HYPERLINK("http://dx.doi.org/10.1016/j.asr.2018.05.005","http://dx.doi.org/10.1016/j.asr.2018.05.005")</f>
        <v>http://dx.doi.org/10.1016/j.asr.2018.05.005</v>
      </c>
      <c r="BG586" t="s">
        <v>74</v>
      </c>
      <c r="BH586" t="s">
        <v>74</v>
      </c>
      <c r="BI586">
        <v>13</v>
      </c>
      <c r="BJ586" t="s">
        <v>3879</v>
      </c>
      <c r="BK586" t="s">
        <v>101</v>
      </c>
      <c r="BL586" t="s">
        <v>3880</v>
      </c>
      <c r="BM586" t="s">
        <v>11472</v>
      </c>
      <c r="BN586" t="s">
        <v>74</v>
      </c>
      <c r="BO586" t="s">
        <v>6905</v>
      </c>
      <c r="BP586" t="s">
        <v>74</v>
      </c>
      <c r="BQ586" t="s">
        <v>74</v>
      </c>
      <c r="BR586" t="s">
        <v>104</v>
      </c>
      <c r="BS586" t="s">
        <v>11473</v>
      </c>
      <c r="BT586" t="str">
        <f>HYPERLINK("https%3A%2F%2Fwww.webofscience.com%2Fwos%2Fwoscc%2Ffull-record%2FWOS:000437076300010","View Full Record in Web of Science")</f>
        <v>View Full Record in Web of Science</v>
      </c>
    </row>
    <row r="587" spans="1:72" x14ac:dyDescent="0.15">
      <c r="A587" t="s">
        <v>72</v>
      </c>
      <c r="B587" t="s">
        <v>11474</v>
      </c>
      <c r="C587" t="s">
        <v>74</v>
      </c>
      <c r="D587" t="s">
        <v>74</v>
      </c>
      <c r="E587" t="s">
        <v>74</v>
      </c>
      <c r="F587" t="s">
        <v>11475</v>
      </c>
      <c r="G587" t="s">
        <v>74</v>
      </c>
      <c r="H587" t="s">
        <v>74</v>
      </c>
      <c r="I587" t="s">
        <v>11476</v>
      </c>
      <c r="J587" t="s">
        <v>11477</v>
      </c>
      <c r="K587" t="s">
        <v>74</v>
      </c>
      <c r="L587" t="s">
        <v>74</v>
      </c>
      <c r="M587" t="s">
        <v>78</v>
      </c>
      <c r="N587" t="s">
        <v>79</v>
      </c>
      <c r="O587" t="s">
        <v>74</v>
      </c>
      <c r="P587" t="s">
        <v>74</v>
      </c>
      <c r="Q587" t="s">
        <v>74</v>
      </c>
      <c r="R587" t="s">
        <v>74</v>
      </c>
      <c r="S587" t="s">
        <v>74</v>
      </c>
      <c r="T587" t="s">
        <v>11478</v>
      </c>
      <c r="U587" t="s">
        <v>11479</v>
      </c>
      <c r="V587" t="s">
        <v>11480</v>
      </c>
      <c r="W587" t="s">
        <v>11481</v>
      </c>
      <c r="X587" t="s">
        <v>11482</v>
      </c>
      <c r="Y587" t="s">
        <v>11483</v>
      </c>
      <c r="Z587" t="s">
        <v>11484</v>
      </c>
      <c r="AA587" t="s">
        <v>11485</v>
      </c>
      <c r="AB587" t="s">
        <v>11486</v>
      </c>
      <c r="AC587" t="s">
        <v>11487</v>
      </c>
      <c r="AD587" t="s">
        <v>11488</v>
      </c>
      <c r="AE587" t="s">
        <v>11489</v>
      </c>
      <c r="AF587" t="s">
        <v>74</v>
      </c>
      <c r="AG587">
        <v>107</v>
      </c>
      <c r="AH587">
        <v>17</v>
      </c>
      <c r="AI587">
        <v>17</v>
      </c>
      <c r="AJ587">
        <v>0</v>
      </c>
      <c r="AK587">
        <v>19</v>
      </c>
      <c r="AL587" t="s">
        <v>149</v>
      </c>
      <c r="AM587" t="s">
        <v>93</v>
      </c>
      <c r="AN587" t="s">
        <v>150</v>
      </c>
      <c r="AO587" t="s">
        <v>11490</v>
      </c>
      <c r="AP587" t="s">
        <v>74</v>
      </c>
      <c r="AQ587" t="s">
        <v>74</v>
      </c>
      <c r="AR587" t="s">
        <v>11491</v>
      </c>
      <c r="AS587" t="s">
        <v>11492</v>
      </c>
      <c r="AT587" t="s">
        <v>9050</v>
      </c>
      <c r="AU587">
        <v>2018</v>
      </c>
      <c r="AV587">
        <v>123</v>
      </c>
      <c r="AW587" t="s">
        <v>74</v>
      </c>
      <c r="AX587" t="s">
        <v>74</v>
      </c>
      <c r="AY587" t="s">
        <v>74</v>
      </c>
      <c r="AZ587" t="s">
        <v>74</v>
      </c>
      <c r="BA587" t="s">
        <v>74</v>
      </c>
      <c r="BB587">
        <v>165</v>
      </c>
      <c r="BC587">
        <v>179</v>
      </c>
      <c r="BD587" t="s">
        <v>74</v>
      </c>
      <c r="BE587" t="s">
        <v>11493</v>
      </c>
      <c r="BF587" t="str">
        <f>HYPERLINK("http://dx.doi.org/10.1016/j.soilbio.2018.05.004","http://dx.doi.org/10.1016/j.soilbio.2018.05.004")</f>
        <v>http://dx.doi.org/10.1016/j.soilbio.2018.05.004</v>
      </c>
      <c r="BG587" t="s">
        <v>74</v>
      </c>
      <c r="BH587" t="s">
        <v>74</v>
      </c>
      <c r="BI587">
        <v>15</v>
      </c>
      <c r="BJ587" t="s">
        <v>11494</v>
      </c>
      <c r="BK587" t="s">
        <v>101</v>
      </c>
      <c r="BL587" t="s">
        <v>11495</v>
      </c>
      <c r="BM587" t="s">
        <v>11496</v>
      </c>
      <c r="BN587" t="s">
        <v>74</v>
      </c>
      <c r="BO587" t="s">
        <v>74</v>
      </c>
      <c r="BP587" t="s">
        <v>74</v>
      </c>
      <c r="BQ587" t="s">
        <v>74</v>
      </c>
      <c r="BR587" t="s">
        <v>104</v>
      </c>
      <c r="BS587" t="s">
        <v>11497</v>
      </c>
      <c r="BT587" t="str">
        <f>HYPERLINK("https%3A%2F%2Fwww.webofscience.com%2Fwos%2Fwoscc%2Ffull-record%2FWOS:000437392000021","View Full Record in Web of Science")</f>
        <v>View Full Record in Web of Science</v>
      </c>
    </row>
    <row r="588" spans="1:72" x14ac:dyDescent="0.15">
      <c r="A588" t="s">
        <v>72</v>
      </c>
      <c r="B588" t="s">
        <v>11498</v>
      </c>
      <c r="C588" t="s">
        <v>74</v>
      </c>
      <c r="D588" t="s">
        <v>74</v>
      </c>
      <c r="E588" t="s">
        <v>74</v>
      </c>
      <c r="F588" t="s">
        <v>11499</v>
      </c>
      <c r="G588" t="s">
        <v>74</v>
      </c>
      <c r="H588" t="s">
        <v>74</v>
      </c>
      <c r="I588" t="s">
        <v>11500</v>
      </c>
      <c r="J588" t="s">
        <v>11501</v>
      </c>
      <c r="K588" t="s">
        <v>74</v>
      </c>
      <c r="L588" t="s">
        <v>74</v>
      </c>
      <c r="M588" t="s">
        <v>78</v>
      </c>
      <c r="N588" t="s">
        <v>79</v>
      </c>
      <c r="O588" t="s">
        <v>74</v>
      </c>
      <c r="P588" t="s">
        <v>74</v>
      </c>
      <c r="Q588" t="s">
        <v>74</v>
      </c>
      <c r="R588" t="s">
        <v>74</v>
      </c>
      <c r="S588" t="s">
        <v>74</v>
      </c>
      <c r="T588" t="s">
        <v>11502</v>
      </c>
      <c r="U588" t="s">
        <v>11503</v>
      </c>
      <c r="V588" t="s">
        <v>11504</v>
      </c>
      <c r="W588" t="s">
        <v>11505</v>
      </c>
      <c r="X588" t="s">
        <v>11506</v>
      </c>
      <c r="Y588" t="s">
        <v>11507</v>
      </c>
      <c r="Z588" t="s">
        <v>11508</v>
      </c>
      <c r="AA588" t="s">
        <v>11509</v>
      </c>
      <c r="AB588" t="s">
        <v>11510</v>
      </c>
      <c r="AC588" t="s">
        <v>11511</v>
      </c>
      <c r="AD588" t="s">
        <v>11512</v>
      </c>
      <c r="AE588" t="s">
        <v>11513</v>
      </c>
      <c r="AF588" t="s">
        <v>74</v>
      </c>
      <c r="AG588">
        <v>39</v>
      </c>
      <c r="AH588">
        <v>9</v>
      </c>
      <c r="AI588">
        <v>10</v>
      </c>
      <c r="AJ588">
        <v>0</v>
      </c>
      <c r="AK588">
        <v>26</v>
      </c>
      <c r="AL588" t="s">
        <v>337</v>
      </c>
      <c r="AM588" t="s">
        <v>912</v>
      </c>
      <c r="AN588" t="s">
        <v>913</v>
      </c>
      <c r="AO588" t="s">
        <v>11514</v>
      </c>
      <c r="AP588" t="s">
        <v>11515</v>
      </c>
      <c r="AQ588" t="s">
        <v>74</v>
      </c>
      <c r="AR588" t="s">
        <v>11516</v>
      </c>
      <c r="AS588" t="s">
        <v>11517</v>
      </c>
      <c r="AT588" t="s">
        <v>9050</v>
      </c>
      <c r="AU588">
        <v>2018</v>
      </c>
      <c r="AV588">
        <v>27</v>
      </c>
      <c r="AW588">
        <v>10</v>
      </c>
      <c r="AX588" t="s">
        <v>74</v>
      </c>
      <c r="AY588" t="s">
        <v>74</v>
      </c>
      <c r="AZ588" t="s">
        <v>74</v>
      </c>
      <c r="BA588" t="s">
        <v>74</v>
      </c>
      <c r="BB588">
        <v>2641</v>
      </c>
      <c r="BC588">
        <v>2660</v>
      </c>
      <c r="BD588" t="s">
        <v>74</v>
      </c>
      <c r="BE588" t="s">
        <v>11518</v>
      </c>
      <c r="BF588" t="str">
        <f>HYPERLINK("http://dx.doi.org/10.1007/s10531-018-1559-1","http://dx.doi.org/10.1007/s10531-018-1559-1")</f>
        <v>http://dx.doi.org/10.1007/s10531-018-1559-1</v>
      </c>
      <c r="BG588" t="s">
        <v>74</v>
      </c>
      <c r="BH588" t="s">
        <v>74</v>
      </c>
      <c r="BI588">
        <v>20</v>
      </c>
      <c r="BJ588" t="s">
        <v>2560</v>
      </c>
      <c r="BK588" t="s">
        <v>101</v>
      </c>
      <c r="BL588" t="s">
        <v>1210</v>
      </c>
      <c r="BM588" t="s">
        <v>11519</v>
      </c>
      <c r="BN588" t="s">
        <v>74</v>
      </c>
      <c r="BO588" t="s">
        <v>74</v>
      </c>
      <c r="BP588" t="s">
        <v>74</v>
      </c>
      <c r="BQ588" t="s">
        <v>74</v>
      </c>
      <c r="BR588" t="s">
        <v>104</v>
      </c>
      <c r="BS588" t="s">
        <v>11520</v>
      </c>
      <c r="BT588" t="str">
        <f>HYPERLINK("https%3A%2F%2Fwww.webofscience.com%2Fwos%2Fwoscc%2Ffull-record%2FWOS:000436794700011","View Full Record in Web of Science")</f>
        <v>View Full Record in Web of Science</v>
      </c>
    </row>
    <row r="589" spans="1:72" x14ac:dyDescent="0.15">
      <c r="A589" t="s">
        <v>72</v>
      </c>
      <c r="B589" t="s">
        <v>11521</v>
      </c>
      <c r="C589" t="s">
        <v>74</v>
      </c>
      <c r="D589" t="s">
        <v>74</v>
      </c>
      <c r="E589" t="s">
        <v>74</v>
      </c>
      <c r="F589" t="s">
        <v>11522</v>
      </c>
      <c r="G589" t="s">
        <v>74</v>
      </c>
      <c r="H589" t="s">
        <v>74</v>
      </c>
      <c r="I589" t="s">
        <v>11523</v>
      </c>
      <c r="J589" t="s">
        <v>466</v>
      </c>
      <c r="K589" t="s">
        <v>74</v>
      </c>
      <c r="L589" t="s">
        <v>74</v>
      </c>
      <c r="M589" t="s">
        <v>78</v>
      </c>
      <c r="N589" t="s">
        <v>79</v>
      </c>
      <c r="O589" t="s">
        <v>74</v>
      </c>
      <c r="P589" t="s">
        <v>74</v>
      </c>
      <c r="Q589" t="s">
        <v>74</v>
      </c>
      <c r="R589" t="s">
        <v>74</v>
      </c>
      <c r="S589" t="s">
        <v>74</v>
      </c>
      <c r="T589" t="s">
        <v>11524</v>
      </c>
      <c r="U589" t="s">
        <v>11525</v>
      </c>
      <c r="V589" t="s">
        <v>11526</v>
      </c>
      <c r="W589" t="s">
        <v>11527</v>
      </c>
      <c r="X589" t="s">
        <v>11528</v>
      </c>
      <c r="Y589" t="s">
        <v>11529</v>
      </c>
      <c r="Z589" t="s">
        <v>11530</v>
      </c>
      <c r="AA589" t="s">
        <v>11531</v>
      </c>
      <c r="AB589" t="s">
        <v>11532</v>
      </c>
      <c r="AC589" t="s">
        <v>11533</v>
      </c>
      <c r="AD589" t="s">
        <v>11534</v>
      </c>
      <c r="AE589" t="s">
        <v>11535</v>
      </c>
      <c r="AF589" t="s">
        <v>74</v>
      </c>
      <c r="AG589">
        <v>50</v>
      </c>
      <c r="AH589">
        <v>14</v>
      </c>
      <c r="AI589">
        <v>16</v>
      </c>
      <c r="AJ589">
        <v>1</v>
      </c>
      <c r="AK589">
        <v>15</v>
      </c>
      <c r="AL589" t="s">
        <v>430</v>
      </c>
      <c r="AM589" t="s">
        <v>286</v>
      </c>
      <c r="AN589" t="s">
        <v>431</v>
      </c>
      <c r="AO589" t="s">
        <v>479</v>
      </c>
      <c r="AP589" t="s">
        <v>480</v>
      </c>
      <c r="AQ589" t="s">
        <v>74</v>
      </c>
      <c r="AR589" t="s">
        <v>481</v>
      </c>
      <c r="AS589" t="s">
        <v>482</v>
      </c>
      <c r="AT589" t="s">
        <v>9643</v>
      </c>
      <c r="AU589">
        <v>2018</v>
      </c>
      <c r="AV589">
        <v>495</v>
      </c>
      <c r="AW589" t="s">
        <v>74</v>
      </c>
      <c r="AX589" t="s">
        <v>74</v>
      </c>
      <c r="AY589" t="s">
        <v>74</v>
      </c>
      <c r="AZ589" t="s">
        <v>74</v>
      </c>
      <c r="BA589" t="s">
        <v>74</v>
      </c>
      <c r="BB589">
        <v>69</v>
      </c>
      <c r="BC589">
        <v>78</v>
      </c>
      <c r="BD589" t="s">
        <v>74</v>
      </c>
      <c r="BE589" t="s">
        <v>11536</v>
      </c>
      <c r="BF589" t="str">
        <f>HYPERLINK("http://dx.doi.org/10.1016/j.epsl.2018.05.004","http://dx.doi.org/10.1016/j.epsl.2018.05.004")</f>
        <v>http://dx.doi.org/10.1016/j.epsl.2018.05.004</v>
      </c>
      <c r="BG589" t="s">
        <v>74</v>
      </c>
      <c r="BH589" t="s">
        <v>74</v>
      </c>
      <c r="BI589">
        <v>10</v>
      </c>
      <c r="BJ589" t="s">
        <v>484</v>
      </c>
      <c r="BK589" t="s">
        <v>101</v>
      </c>
      <c r="BL589" t="s">
        <v>484</v>
      </c>
      <c r="BM589" t="s">
        <v>11537</v>
      </c>
      <c r="BN589" t="s">
        <v>74</v>
      </c>
      <c r="BO589" t="s">
        <v>486</v>
      </c>
      <c r="BP589" t="s">
        <v>74</v>
      </c>
      <c r="BQ589" t="s">
        <v>74</v>
      </c>
      <c r="BR589" t="s">
        <v>104</v>
      </c>
      <c r="BS589" t="s">
        <v>11538</v>
      </c>
      <c r="BT589" t="str">
        <f>HYPERLINK("https%3A%2F%2Fwww.webofscience.com%2Fwos%2Fwoscc%2Ffull-record%2FWOS:000437041600007","View Full Record in Web of Science")</f>
        <v>View Full Record in Web of Science</v>
      </c>
    </row>
    <row r="590" spans="1:72" x14ac:dyDescent="0.15">
      <c r="A590" t="s">
        <v>72</v>
      </c>
      <c r="B590" t="s">
        <v>11539</v>
      </c>
      <c r="C590" t="s">
        <v>74</v>
      </c>
      <c r="D590" t="s">
        <v>74</v>
      </c>
      <c r="E590" t="s">
        <v>74</v>
      </c>
      <c r="F590" t="s">
        <v>11540</v>
      </c>
      <c r="G590" t="s">
        <v>74</v>
      </c>
      <c r="H590" t="s">
        <v>74</v>
      </c>
      <c r="I590" t="s">
        <v>11541</v>
      </c>
      <c r="J590" t="s">
        <v>10991</v>
      </c>
      <c r="K590" t="s">
        <v>74</v>
      </c>
      <c r="L590" t="s">
        <v>74</v>
      </c>
      <c r="M590" t="s">
        <v>78</v>
      </c>
      <c r="N590" t="s">
        <v>79</v>
      </c>
      <c r="O590" t="s">
        <v>74</v>
      </c>
      <c r="P590" t="s">
        <v>74</v>
      </c>
      <c r="Q590" t="s">
        <v>74</v>
      </c>
      <c r="R590" t="s">
        <v>74</v>
      </c>
      <c r="S590" t="s">
        <v>74</v>
      </c>
      <c r="T590" t="s">
        <v>11542</v>
      </c>
      <c r="U590" t="s">
        <v>11543</v>
      </c>
      <c r="V590" t="s">
        <v>11544</v>
      </c>
      <c r="W590" t="s">
        <v>11545</v>
      </c>
      <c r="X590" t="s">
        <v>8530</v>
      </c>
      <c r="Y590" t="s">
        <v>11546</v>
      </c>
      <c r="Z590" t="s">
        <v>11547</v>
      </c>
      <c r="AA590" t="s">
        <v>74</v>
      </c>
      <c r="AB590" t="s">
        <v>11548</v>
      </c>
      <c r="AC590" t="s">
        <v>11549</v>
      </c>
      <c r="AD590" t="s">
        <v>11550</v>
      </c>
      <c r="AE590" t="s">
        <v>11551</v>
      </c>
      <c r="AF590" t="s">
        <v>74</v>
      </c>
      <c r="AG590">
        <v>79</v>
      </c>
      <c r="AH590">
        <v>8</v>
      </c>
      <c r="AI590">
        <v>8</v>
      </c>
      <c r="AJ590">
        <v>3</v>
      </c>
      <c r="AK590">
        <v>16</v>
      </c>
      <c r="AL590" t="s">
        <v>285</v>
      </c>
      <c r="AM590" t="s">
        <v>286</v>
      </c>
      <c r="AN590" t="s">
        <v>287</v>
      </c>
      <c r="AO590" t="s">
        <v>11004</v>
      </c>
      <c r="AP590" t="s">
        <v>11005</v>
      </c>
      <c r="AQ590" t="s">
        <v>74</v>
      </c>
      <c r="AR590" t="s">
        <v>11006</v>
      </c>
      <c r="AS590" t="s">
        <v>11007</v>
      </c>
      <c r="AT590" t="s">
        <v>9050</v>
      </c>
      <c r="AU590">
        <v>2018</v>
      </c>
      <c r="AV590">
        <v>505</v>
      </c>
      <c r="AW590" t="s">
        <v>74</v>
      </c>
      <c r="AX590" t="s">
        <v>74</v>
      </c>
      <c r="AY590" t="s">
        <v>74</v>
      </c>
      <c r="AZ590" t="s">
        <v>74</v>
      </c>
      <c r="BA590" t="s">
        <v>74</v>
      </c>
      <c r="BB590">
        <v>24</v>
      </c>
      <c r="BC590">
        <v>34</v>
      </c>
      <c r="BD590" t="s">
        <v>74</v>
      </c>
      <c r="BE590" t="s">
        <v>11552</v>
      </c>
      <c r="BF590" t="str">
        <f>HYPERLINK("http://dx.doi.org/10.1016/j.jembe.2018.04.006","http://dx.doi.org/10.1016/j.jembe.2018.04.006")</f>
        <v>http://dx.doi.org/10.1016/j.jembe.2018.04.006</v>
      </c>
      <c r="BG590" t="s">
        <v>74</v>
      </c>
      <c r="BH590" t="s">
        <v>74</v>
      </c>
      <c r="BI590">
        <v>11</v>
      </c>
      <c r="BJ590" t="s">
        <v>11009</v>
      </c>
      <c r="BK590" t="s">
        <v>101</v>
      </c>
      <c r="BL590" t="s">
        <v>3451</v>
      </c>
      <c r="BM590" t="s">
        <v>11010</v>
      </c>
      <c r="BN590" t="s">
        <v>74</v>
      </c>
      <c r="BO590" t="s">
        <v>74</v>
      </c>
      <c r="BP590" t="s">
        <v>74</v>
      </c>
      <c r="BQ590" t="s">
        <v>74</v>
      </c>
      <c r="BR590" t="s">
        <v>104</v>
      </c>
      <c r="BS590" t="s">
        <v>11553</v>
      </c>
      <c r="BT590" t="str">
        <f>HYPERLINK("https%3A%2F%2Fwww.webofscience.com%2Fwos%2Fwoscc%2Ffull-record%2FWOS:000436917600004","View Full Record in Web of Science")</f>
        <v>View Full Record in Web of Science</v>
      </c>
    </row>
    <row r="591" spans="1:72" x14ac:dyDescent="0.15">
      <c r="A591" t="s">
        <v>72</v>
      </c>
      <c r="B591" t="s">
        <v>11554</v>
      </c>
      <c r="C591" t="s">
        <v>74</v>
      </c>
      <c r="D591" t="s">
        <v>74</v>
      </c>
      <c r="E591" t="s">
        <v>74</v>
      </c>
      <c r="F591" t="s">
        <v>11555</v>
      </c>
      <c r="G591" t="s">
        <v>74</v>
      </c>
      <c r="H591" t="s">
        <v>74</v>
      </c>
      <c r="I591" t="s">
        <v>11556</v>
      </c>
      <c r="J591" t="s">
        <v>11557</v>
      </c>
      <c r="K591" t="s">
        <v>74</v>
      </c>
      <c r="L591" t="s">
        <v>74</v>
      </c>
      <c r="M591" t="s">
        <v>78</v>
      </c>
      <c r="N591" t="s">
        <v>79</v>
      </c>
      <c r="O591" t="s">
        <v>74</v>
      </c>
      <c r="P591" t="s">
        <v>74</v>
      </c>
      <c r="Q591" t="s">
        <v>74</v>
      </c>
      <c r="R591" t="s">
        <v>74</v>
      </c>
      <c r="S591" t="s">
        <v>74</v>
      </c>
      <c r="T591" t="s">
        <v>11558</v>
      </c>
      <c r="U591" t="s">
        <v>11559</v>
      </c>
      <c r="V591" t="s">
        <v>11560</v>
      </c>
      <c r="W591" t="s">
        <v>11561</v>
      </c>
      <c r="X591" t="s">
        <v>11562</v>
      </c>
      <c r="Y591" t="s">
        <v>11563</v>
      </c>
      <c r="Z591" t="s">
        <v>11564</v>
      </c>
      <c r="AA591" t="s">
        <v>74</v>
      </c>
      <c r="AB591" t="s">
        <v>11565</v>
      </c>
      <c r="AC591" t="s">
        <v>11566</v>
      </c>
      <c r="AD591" t="s">
        <v>11566</v>
      </c>
      <c r="AE591" t="s">
        <v>11567</v>
      </c>
      <c r="AF591" t="s">
        <v>74</v>
      </c>
      <c r="AG591">
        <v>34</v>
      </c>
      <c r="AH591">
        <v>16</v>
      </c>
      <c r="AI591">
        <v>21</v>
      </c>
      <c r="AJ591">
        <v>2</v>
      </c>
      <c r="AK591">
        <v>34</v>
      </c>
      <c r="AL591" t="s">
        <v>201</v>
      </c>
      <c r="AM591" t="s">
        <v>93</v>
      </c>
      <c r="AN591" t="s">
        <v>202</v>
      </c>
      <c r="AO591" t="s">
        <v>11568</v>
      </c>
      <c r="AP591" t="s">
        <v>11569</v>
      </c>
      <c r="AQ591" t="s">
        <v>74</v>
      </c>
      <c r="AR591" t="s">
        <v>11570</v>
      </c>
      <c r="AS591" t="s">
        <v>11571</v>
      </c>
      <c r="AT591" t="s">
        <v>9050</v>
      </c>
      <c r="AU591">
        <v>2018</v>
      </c>
      <c r="AV591">
        <v>46</v>
      </c>
      <c r="AW591">
        <v>4</v>
      </c>
      <c r="AX591" t="s">
        <v>74</v>
      </c>
      <c r="AY591" t="s">
        <v>74</v>
      </c>
      <c r="AZ591" t="s">
        <v>74</v>
      </c>
      <c r="BA591" t="s">
        <v>74</v>
      </c>
      <c r="BB591">
        <v>529</v>
      </c>
      <c r="BC591">
        <v>541</v>
      </c>
      <c r="BD591" t="s">
        <v>74</v>
      </c>
      <c r="BE591" t="s">
        <v>11572</v>
      </c>
      <c r="BF591" t="str">
        <f>HYPERLINK("http://dx.doi.org/10.1016/j.geotexmem.2018.03.007","http://dx.doi.org/10.1016/j.geotexmem.2018.03.007")</f>
        <v>http://dx.doi.org/10.1016/j.geotexmem.2018.03.007</v>
      </c>
      <c r="BG591" t="s">
        <v>74</v>
      </c>
      <c r="BH591" t="s">
        <v>74</v>
      </c>
      <c r="BI591">
        <v>13</v>
      </c>
      <c r="BJ591" t="s">
        <v>11573</v>
      </c>
      <c r="BK591" t="s">
        <v>101</v>
      </c>
      <c r="BL591" t="s">
        <v>11574</v>
      </c>
      <c r="BM591" t="s">
        <v>11575</v>
      </c>
      <c r="BN591" t="s">
        <v>74</v>
      </c>
      <c r="BO591" t="s">
        <v>74</v>
      </c>
      <c r="BP591" t="s">
        <v>74</v>
      </c>
      <c r="BQ591" t="s">
        <v>74</v>
      </c>
      <c r="BR591" t="s">
        <v>104</v>
      </c>
      <c r="BS591" t="s">
        <v>11576</v>
      </c>
      <c r="BT591" t="str">
        <f>HYPERLINK("https%3A%2F%2Fwww.webofscience.com%2Fwos%2Fwoscc%2Ffull-record%2FWOS:000434004800015","View Full Record in Web of Science")</f>
        <v>View Full Record in Web of Science</v>
      </c>
    </row>
    <row r="592" spans="1:72" x14ac:dyDescent="0.15">
      <c r="A592" t="s">
        <v>72</v>
      </c>
      <c r="B592" t="s">
        <v>11577</v>
      </c>
      <c r="C592" t="s">
        <v>74</v>
      </c>
      <c r="D592" t="s">
        <v>74</v>
      </c>
      <c r="E592" t="s">
        <v>74</v>
      </c>
      <c r="F592" t="s">
        <v>11578</v>
      </c>
      <c r="G592" t="s">
        <v>74</v>
      </c>
      <c r="H592" t="s">
        <v>74</v>
      </c>
      <c r="I592" t="s">
        <v>11579</v>
      </c>
      <c r="J592" t="s">
        <v>11580</v>
      </c>
      <c r="K592" t="s">
        <v>74</v>
      </c>
      <c r="L592" t="s">
        <v>74</v>
      </c>
      <c r="M592" t="s">
        <v>78</v>
      </c>
      <c r="N592" t="s">
        <v>79</v>
      </c>
      <c r="O592" t="s">
        <v>74</v>
      </c>
      <c r="P592" t="s">
        <v>74</v>
      </c>
      <c r="Q592" t="s">
        <v>74</v>
      </c>
      <c r="R592" t="s">
        <v>74</v>
      </c>
      <c r="S592" t="s">
        <v>74</v>
      </c>
      <c r="T592" t="s">
        <v>11581</v>
      </c>
      <c r="U592" t="s">
        <v>11582</v>
      </c>
      <c r="V592" t="s">
        <v>11583</v>
      </c>
      <c r="W592" t="s">
        <v>11584</v>
      </c>
      <c r="X592" t="s">
        <v>11585</v>
      </c>
      <c r="Y592" t="s">
        <v>11586</v>
      </c>
      <c r="Z592" t="s">
        <v>11587</v>
      </c>
      <c r="AA592" t="s">
        <v>11588</v>
      </c>
      <c r="AB592" t="s">
        <v>11589</v>
      </c>
      <c r="AC592" t="s">
        <v>11590</v>
      </c>
      <c r="AD592" t="s">
        <v>11591</v>
      </c>
      <c r="AE592" t="s">
        <v>11592</v>
      </c>
      <c r="AF592" t="s">
        <v>74</v>
      </c>
      <c r="AG592">
        <v>47</v>
      </c>
      <c r="AH592">
        <v>28</v>
      </c>
      <c r="AI592">
        <v>35</v>
      </c>
      <c r="AJ592">
        <v>8</v>
      </c>
      <c r="AK592">
        <v>73</v>
      </c>
      <c r="AL592" t="s">
        <v>430</v>
      </c>
      <c r="AM592" t="s">
        <v>286</v>
      </c>
      <c r="AN592" t="s">
        <v>431</v>
      </c>
      <c r="AO592" t="s">
        <v>11593</v>
      </c>
      <c r="AP592" t="s">
        <v>11594</v>
      </c>
      <c r="AQ592" t="s">
        <v>74</v>
      </c>
      <c r="AR592" t="s">
        <v>11595</v>
      </c>
      <c r="AS592" t="s">
        <v>11596</v>
      </c>
      <c r="AT592" t="s">
        <v>9050</v>
      </c>
      <c r="AU592">
        <v>2018</v>
      </c>
      <c r="AV592">
        <v>94</v>
      </c>
      <c r="AW592" t="s">
        <v>74</v>
      </c>
      <c r="AX592" t="s">
        <v>74</v>
      </c>
      <c r="AY592" t="s">
        <v>74</v>
      </c>
      <c r="AZ592" t="s">
        <v>74</v>
      </c>
      <c r="BA592" t="s">
        <v>74</v>
      </c>
      <c r="BB592">
        <v>1</v>
      </c>
      <c r="BC592">
        <v>7</v>
      </c>
      <c r="BD592" t="s">
        <v>74</v>
      </c>
      <c r="BE592" t="s">
        <v>11597</v>
      </c>
      <c r="BF592" t="str">
        <f>HYPERLINK("http://dx.doi.org/10.1016/j.lwt.2018.04.024","http://dx.doi.org/10.1016/j.lwt.2018.04.024")</f>
        <v>http://dx.doi.org/10.1016/j.lwt.2018.04.024</v>
      </c>
      <c r="BG592" t="s">
        <v>74</v>
      </c>
      <c r="BH592" t="s">
        <v>74</v>
      </c>
      <c r="BI592">
        <v>7</v>
      </c>
      <c r="BJ592" t="s">
        <v>6239</v>
      </c>
      <c r="BK592" t="s">
        <v>101</v>
      </c>
      <c r="BL592" t="s">
        <v>6239</v>
      </c>
      <c r="BM592" t="s">
        <v>11598</v>
      </c>
      <c r="BN592" t="s">
        <v>74</v>
      </c>
      <c r="BO592" t="s">
        <v>74</v>
      </c>
      <c r="BP592" t="s">
        <v>74</v>
      </c>
      <c r="BQ592" t="s">
        <v>74</v>
      </c>
      <c r="BR592" t="s">
        <v>104</v>
      </c>
      <c r="BS592" t="s">
        <v>11599</v>
      </c>
      <c r="BT592" t="str">
        <f>HYPERLINK("https%3A%2F%2Fwww.webofscience.com%2Fwos%2Fwoscc%2Ffull-record%2FWOS:000434902300001","View Full Record in Web of Science")</f>
        <v>View Full Record in Web of Science</v>
      </c>
    </row>
    <row r="593" spans="1:72" x14ac:dyDescent="0.15">
      <c r="A593" t="s">
        <v>72</v>
      </c>
      <c r="B593" t="s">
        <v>11600</v>
      </c>
      <c r="C593" t="s">
        <v>74</v>
      </c>
      <c r="D593" t="s">
        <v>74</v>
      </c>
      <c r="E593" t="s">
        <v>74</v>
      </c>
      <c r="F593" t="s">
        <v>11601</v>
      </c>
      <c r="G593" t="s">
        <v>74</v>
      </c>
      <c r="H593" t="s">
        <v>74</v>
      </c>
      <c r="I593" t="s">
        <v>11602</v>
      </c>
      <c r="J593" t="s">
        <v>11603</v>
      </c>
      <c r="K593" t="s">
        <v>74</v>
      </c>
      <c r="L593" t="s">
        <v>74</v>
      </c>
      <c r="M593" t="s">
        <v>78</v>
      </c>
      <c r="N593" t="s">
        <v>79</v>
      </c>
      <c r="O593" t="s">
        <v>74</v>
      </c>
      <c r="P593" t="s">
        <v>74</v>
      </c>
      <c r="Q593" t="s">
        <v>74</v>
      </c>
      <c r="R593" t="s">
        <v>74</v>
      </c>
      <c r="S593" t="s">
        <v>74</v>
      </c>
      <c r="T593" t="s">
        <v>11604</v>
      </c>
      <c r="U593" t="s">
        <v>11605</v>
      </c>
      <c r="V593" t="s">
        <v>11606</v>
      </c>
      <c r="W593" t="s">
        <v>11607</v>
      </c>
      <c r="X593" t="s">
        <v>11608</v>
      </c>
      <c r="Y593" t="s">
        <v>11609</v>
      </c>
      <c r="Z593" t="s">
        <v>11610</v>
      </c>
      <c r="AA593" t="s">
        <v>11611</v>
      </c>
      <c r="AB593" t="s">
        <v>11612</v>
      </c>
      <c r="AC593" t="s">
        <v>11613</v>
      </c>
      <c r="AD593" t="s">
        <v>11614</v>
      </c>
      <c r="AE593" t="s">
        <v>11615</v>
      </c>
      <c r="AF593" t="s">
        <v>74</v>
      </c>
      <c r="AG593">
        <v>81</v>
      </c>
      <c r="AH593">
        <v>17</v>
      </c>
      <c r="AI593">
        <v>17</v>
      </c>
      <c r="AJ593">
        <v>1</v>
      </c>
      <c r="AK593">
        <v>53</v>
      </c>
      <c r="AL593" t="s">
        <v>149</v>
      </c>
      <c r="AM593" t="s">
        <v>93</v>
      </c>
      <c r="AN593" t="s">
        <v>150</v>
      </c>
      <c r="AO593" t="s">
        <v>11616</v>
      </c>
      <c r="AP593" t="s">
        <v>11617</v>
      </c>
      <c r="AQ593" t="s">
        <v>74</v>
      </c>
      <c r="AR593" t="s">
        <v>11603</v>
      </c>
      <c r="AS593" t="s">
        <v>11618</v>
      </c>
      <c r="AT593" t="s">
        <v>9050</v>
      </c>
      <c r="AU593">
        <v>2018</v>
      </c>
      <c r="AV593">
        <v>204</v>
      </c>
      <c r="AW593" t="s">
        <v>74</v>
      </c>
      <c r="AX593" t="s">
        <v>74</v>
      </c>
      <c r="AY593" t="s">
        <v>74</v>
      </c>
      <c r="AZ593" t="s">
        <v>74</v>
      </c>
      <c r="BA593" t="s">
        <v>74</v>
      </c>
      <c r="BB593">
        <v>535</v>
      </c>
      <c r="BC593">
        <v>547</v>
      </c>
      <c r="BD593" t="s">
        <v>74</v>
      </c>
      <c r="BE593" t="s">
        <v>11619</v>
      </c>
      <c r="BF593" t="str">
        <f>HYPERLINK("http://dx.doi.org/10.1016/j.chemosphere.2018.02.048","http://dx.doi.org/10.1016/j.chemosphere.2018.02.048")</f>
        <v>http://dx.doi.org/10.1016/j.chemosphere.2018.02.048</v>
      </c>
      <c r="BG593" t="s">
        <v>74</v>
      </c>
      <c r="BH593" t="s">
        <v>74</v>
      </c>
      <c r="BI593">
        <v>13</v>
      </c>
      <c r="BJ593" t="s">
        <v>558</v>
      </c>
      <c r="BK593" t="s">
        <v>101</v>
      </c>
      <c r="BL593" t="s">
        <v>559</v>
      </c>
      <c r="BM593" t="s">
        <v>11620</v>
      </c>
      <c r="BN593">
        <v>29684873</v>
      </c>
      <c r="BO593" t="s">
        <v>1142</v>
      </c>
      <c r="BP593" t="s">
        <v>74</v>
      </c>
      <c r="BQ593" t="s">
        <v>74</v>
      </c>
      <c r="BR593" t="s">
        <v>104</v>
      </c>
      <c r="BS593" t="s">
        <v>11621</v>
      </c>
      <c r="BT593" t="str">
        <f>HYPERLINK("https%3A%2F%2Fwww.webofscience.com%2Fwos%2Fwoscc%2Ffull-record%2FWOS:000432767300061","View Full Record in Web of Science")</f>
        <v>View Full Record in Web of Science</v>
      </c>
    </row>
    <row r="594" spans="1:72" x14ac:dyDescent="0.15">
      <c r="A594" t="s">
        <v>72</v>
      </c>
      <c r="B594" t="s">
        <v>11622</v>
      </c>
      <c r="C594" t="s">
        <v>74</v>
      </c>
      <c r="D594" t="s">
        <v>74</v>
      </c>
      <c r="E594" t="s">
        <v>74</v>
      </c>
      <c r="F594" t="s">
        <v>11623</v>
      </c>
      <c r="G594" t="s">
        <v>74</v>
      </c>
      <c r="H594" t="s">
        <v>74</v>
      </c>
      <c r="I594" t="s">
        <v>11624</v>
      </c>
      <c r="J594" t="s">
        <v>4340</v>
      </c>
      <c r="K594" t="s">
        <v>74</v>
      </c>
      <c r="L594" t="s">
        <v>74</v>
      </c>
      <c r="M594" t="s">
        <v>78</v>
      </c>
      <c r="N594" t="s">
        <v>79</v>
      </c>
      <c r="O594" t="s">
        <v>74</v>
      </c>
      <c r="P594" t="s">
        <v>74</v>
      </c>
      <c r="Q594" t="s">
        <v>74</v>
      </c>
      <c r="R594" t="s">
        <v>74</v>
      </c>
      <c r="S594" t="s">
        <v>74</v>
      </c>
      <c r="T594" t="s">
        <v>11625</v>
      </c>
      <c r="U594" t="s">
        <v>11626</v>
      </c>
      <c r="V594" t="s">
        <v>11627</v>
      </c>
      <c r="W594" t="s">
        <v>11628</v>
      </c>
      <c r="X594" t="s">
        <v>11629</v>
      </c>
      <c r="Y594" t="s">
        <v>11630</v>
      </c>
      <c r="Z594" t="s">
        <v>11631</v>
      </c>
      <c r="AA594" t="s">
        <v>11632</v>
      </c>
      <c r="AB594" t="s">
        <v>11633</v>
      </c>
      <c r="AC594" t="s">
        <v>11634</v>
      </c>
      <c r="AD594" t="s">
        <v>11635</v>
      </c>
      <c r="AE594" t="s">
        <v>11636</v>
      </c>
      <c r="AF594" t="s">
        <v>74</v>
      </c>
      <c r="AG594">
        <v>58</v>
      </c>
      <c r="AH594">
        <v>8</v>
      </c>
      <c r="AI594">
        <v>10</v>
      </c>
      <c r="AJ594">
        <v>0</v>
      </c>
      <c r="AK594">
        <v>16</v>
      </c>
      <c r="AL594" t="s">
        <v>3326</v>
      </c>
      <c r="AM594" t="s">
        <v>3327</v>
      </c>
      <c r="AN594" t="s">
        <v>3328</v>
      </c>
      <c r="AO594" t="s">
        <v>4344</v>
      </c>
      <c r="AP594" t="s">
        <v>4345</v>
      </c>
      <c r="AQ594" t="s">
        <v>74</v>
      </c>
      <c r="AR594" t="s">
        <v>4346</v>
      </c>
      <c r="AS594" t="s">
        <v>4347</v>
      </c>
      <c r="AT594" t="s">
        <v>11637</v>
      </c>
      <c r="AU594">
        <v>2018</v>
      </c>
      <c r="AV594">
        <v>50</v>
      </c>
      <c r="AW594">
        <v>1</v>
      </c>
      <c r="AX594" t="s">
        <v>74</v>
      </c>
      <c r="AY594" t="s">
        <v>74</v>
      </c>
      <c r="AZ594" t="s">
        <v>74</v>
      </c>
      <c r="BA594" t="s">
        <v>74</v>
      </c>
      <c r="BB594" t="s">
        <v>74</v>
      </c>
      <c r="BC594" t="s">
        <v>74</v>
      </c>
      <c r="BD594" t="s">
        <v>11638</v>
      </c>
      <c r="BE594" t="s">
        <v>11639</v>
      </c>
      <c r="BF594" t="str">
        <f>HYPERLINK("http://dx.doi.org/10.1080/15230430.2018.1487657","http://dx.doi.org/10.1080/15230430.2018.1487657")</f>
        <v>http://dx.doi.org/10.1080/15230430.2018.1487657</v>
      </c>
      <c r="BG594" t="s">
        <v>74</v>
      </c>
      <c r="BH594" t="s">
        <v>74</v>
      </c>
      <c r="BI594">
        <v>9</v>
      </c>
      <c r="BJ594" t="s">
        <v>4350</v>
      </c>
      <c r="BK594" t="s">
        <v>101</v>
      </c>
      <c r="BL594" t="s">
        <v>767</v>
      </c>
      <c r="BM594" t="s">
        <v>11640</v>
      </c>
      <c r="BN594" t="s">
        <v>74</v>
      </c>
      <c r="BO594" t="s">
        <v>1584</v>
      </c>
      <c r="BP594" t="s">
        <v>74</v>
      </c>
      <c r="BQ594" t="s">
        <v>74</v>
      </c>
      <c r="BR594" t="s">
        <v>104</v>
      </c>
      <c r="BS594" t="s">
        <v>11641</v>
      </c>
      <c r="BT594" t="str">
        <f>HYPERLINK("https%3A%2F%2Fwww.webofscience.com%2Fwos%2Fwoscc%2Ffull-record%2FWOS:000440298300001","View Full Record in Web of Science")</f>
        <v>View Full Record in Web of Science</v>
      </c>
    </row>
    <row r="595" spans="1:72" x14ac:dyDescent="0.15">
      <c r="A595" t="s">
        <v>72</v>
      </c>
      <c r="B595" t="s">
        <v>11642</v>
      </c>
      <c r="C595" t="s">
        <v>74</v>
      </c>
      <c r="D595" t="s">
        <v>74</v>
      </c>
      <c r="E595" t="s">
        <v>74</v>
      </c>
      <c r="F595" t="s">
        <v>11643</v>
      </c>
      <c r="G595" t="s">
        <v>74</v>
      </c>
      <c r="H595" t="s">
        <v>74</v>
      </c>
      <c r="I595" t="s">
        <v>11644</v>
      </c>
      <c r="J595" t="s">
        <v>7645</v>
      </c>
      <c r="K595" t="s">
        <v>74</v>
      </c>
      <c r="L595" t="s">
        <v>74</v>
      </c>
      <c r="M595" t="s">
        <v>78</v>
      </c>
      <c r="N595" t="s">
        <v>79</v>
      </c>
      <c r="O595" t="s">
        <v>74</v>
      </c>
      <c r="P595" t="s">
        <v>74</v>
      </c>
      <c r="Q595" t="s">
        <v>74</v>
      </c>
      <c r="R595" t="s">
        <v>74</v>
      </c>
      <c r="S595" t="s">
        <v>74</v>
      </c>
      <c r="T595" t="s">
        <v>11645</v>
      </c>
      <c r="U595" t="s">
        <v>11646</v>
      </c>
      <c r="V595" t="s">
        <v>11647</v>
      </c>
      <c r="W595" t="s">
        <v>11648</v>
      </c>
      <c r="X595" t="s">
        <v>11649</v>
      </c>
      <c r="Y595" t="s">
        <v>11650</v>
      </c>
      <c r="Z595" t="s">
        <v>11651</v>
      </c>
      <c r="AA595" t="s">
        <v>11652</v>
      </c>
      <c r="AB595" t="s">
        <v>11653</v>
      </c>
      <c r="AC595" t="s">
        <v>11654</v>
      </c>
      <c r="AD595" t="s">
        <v>11655</v>
      </c>
      <c r="AE595" t="s">
        <v>11656</v>
      </c>
      <c r="AF595" t="s">
        <v>74</v>
      </c>
      <c r="AG595">
        <v>86</v>
      </c>
      <c r="AH595">
        <v>21</v>
      </c>
      <c r="AI595">
        <v>23</v>
      </c>
      <c r="AJ595">
        <v>3</v>
      </c>
      <c r="AK595">
        <v>47</v>
      </c>
      <c r="AL595" t="s">
        <v>3174</v>
      </c>
      <c r="AM595" t="s">
        <v>3175</v>
      </c>
      <c r="AN595" t="s">
        <v>3176</v>
      </c>
      <c r="AO595" t="s">
        <v>74</v>
      </c>
      <c r="AP595" t="s">
        <v>7658</v>
      </c>
      <c r="AQ595" t="s">
        <v>74</v>
      </c>
      <c r="AR595" t="s">
        <v>7659</v>
      </c>
      <c r="AS595" t="s">
        <v>7660</v>
      </c>
      <c r="AT595" t="s">
        <v>11637</v>
      </c>
      <c r="AU595">
        <v>2018</v>
      </c>
      <c r="AV595">
        <v>9</v>
      </c>
      <c r="AW595" t="s">
        <v>74</v>
      </c>
      <c r="AX595" t="s">
        <v>74</v>
      </c>
      <c r="AY595" t="s">
        <v>74</v>
      </c>
      <c r="AZ595" t="s">
        <v>74</v>
      </c>
      <c r="BA595" t="s">
        <v>74</v>
      </c>
      <c r="BB595" t="s">
        <v>74</v>
      </c>
      <c r="BC595" t="s">
        <v>74</v>
      </c>
      <c r="BD595">
        <v>1565</v>
      </c>
      <c r="BE595" t="s">
        <v>11657</v>
      </c>
      <c r="BF595" t="str">
        <f>HYPERLINK("http://dx.doi.org/10.3389/fmicb.2018.01565","http://dx.doi.org/10.3389/fmicb.2018.01565")</f>
        <v>http://dx.doi.org/10.3389/fmicb.2018.01565</v>
      </c>
      <c r="BG595" t="s">
        <v>74</v>
      </c>
      <c r="BH595" t="s">
        <v>74</v>
      </c>
      <c r="BI595">
        <v>14</v>
      </c>
      <c r="BJ595" t="s">
        <v>344</v>
      </c>
      <c r="BK595" t="s">
        <v>101</v>
      </c>
      <c r="BL595" t="s">
        <v>344</v>
      </c>
      <c r="BM595" t="s">
        <v>11658</v>
      </c>
      <c r="BN595">
        <v>30108551</v>
      </c>
      <c r="BO595" t="s">
        <v>1566</v>
      </c>
      <c r="BP595" t="s">
        <v>74</v>
      </c>
      <c r="BQ595" t="s">
        <v>74</v>
      </c>
      <c r="BR595" t="s">
        <v>104</v>
      </c>
      <c r="BS595" t="s">
        <v>11659</v>
      </c>
      <c r="BT595" t="str">
        <f>HYPERLINK("https%3A%2F%2Fwww.webofscience.com%2Fwos%2Fwoscc%2Ffull-record%2FWOS:000440295700001","View Full Record in Web of Science")</f>
        <v>View Full Record in Web of Science</v>
      </c>
    </row>
    <row r="596" spans="1:72" x14ac:dyDescent="0.15">
      <c r="A596" t="s">
        <v>72</v>
      </c>
      <c r="B596" t="s">
        <v>11660</v>
      </c>
      <c r="C596" t="s">
        <v>74</v>
      </c>
      <c r="D596" t="s">
        <v>74</v>
      </c>
      <c r="E596" t="s">
        <v>74</v>
      </c>
      <c r="F596" t="s">
        <v>11661</v>
      </c>
      <c r="G596" t="s">
        <v>74</v>
      </c>
      <c r="H596" t="s">
        <v>74</v>
      </c>
      <c r="I596" t="s">
        <v>11662</v>
      </c>
      <c r="J596" t="s">
        <v>4109</v>
      </c>
      <c r="K596" t="s">
        <v>74</v>
      </c>
      <c r="L596" t="s">
        <v>74</v>
      </c>
      <c r="M596" t="s">
        <v>78</v>
      </c>
      <c r="N596" t="s">
        <v>79</v>
      </c>
      <c r="O596" t="s">
        <v>74</v>
      </c>
      <c r="P596" t="s">
        <v>74</v>
      </c>
      <c r="Q596" t="s">
        <v>74</v>
      </c>
      <c r="R596" t="s">
        <v>74</v>
      </c>
      <c r="S596" t="s">
        <v>74</v>
      </c>
      <c r="T596" t="s">
        <v>74</v>
      </c>
      <c r="U596" t="s">
        <v>11663</v>
      </c>
      <c r="V596" t="s">
        <v>11664</v>
      </c>
      <c r="W596" t="s">
        <v>11665</v>
      </c>
      <c r="X596" t="s">
        <v>11666</v>
      </c>
      <c r="Y596" t="s">
        <v>11667</v>
      </c>
      <c r="Z596" t="s">
        <v>11668</v>
      </c>
      <c r="AA596" t="s">
        <v>11669</v>
      </c>
      <c r="AB596" t="s">
        <v>11670</v>
      </c>
      <c r="AC596" t="s">
        <v>11671</v>
      </c>
      <c r="AD596" t="s">
        <v>11672</v>
      </c>
      <c r="AE596" t="s">
        <v>11673</v>
      </c>
      <c r="AF596" t="s">
        <v>74</v>
      </c>
      <c r="AG596">
        <v>47</v>
      </c>
      <c r="AH596">
        <v>10</v>
      </c>
      <c r="AI596">
        <v>10</v>
      </c>
      <c r="AJ596">
        <v>1</v>
      </c>
      <c r="AK596">
        <v>31</v>
      </c>
      <c r="AL596" t="s">
        <v>1130</v>
      </c>
      <c r="AM596" t="s">
        <v>1131</v>
      </c>
      <c r="AN596" t="s">
        <v>1132</v>
      </c>
      <c r="AO596" t="s">
        <v>4121</v>
      </c>
      <c r="AP596" t="s">
        <v>74</v>
      </c>
      <c r="AQ596" t="s">
        <v>74</v>
      </c>
      <c r="AR596" t="s">
        <v>4122</v>
      </c>
      <c r="AS596" t="s">
        <v>4123</v>
      </c>
      <c r="AT596" t="s">
        <v>11637</v>
      </c>
      <c r="AU596">
        <v>2018</v>
      </c>
      <c r="AV596">
        <v>8</v>
      </c>
      <c r="AW596" t="s">
        <v>74</v>
      </c>
      <c r="AX596" t="s">
        <v>74</v>
      </c>
      <c r="AY596" t="s">
        <v>74</v>
      </c>
      <c r="AZ596" t="s">
        <v>74</v>
      </c>
      <c r="BA596" t="s">
        <v>74</v>
      </c>
      <c r="BB596" t="s">
        <v>74</v>
      </c>
      <c r="BC596" t="s">
        <v>74</v>
      </c>
      <c r="BD596">
        <v>11495</v>
      </c>
      <c r="BE596" t="s">
        <v>11674</v>
      </c>
      <c r="BF596" t="str">
        <f>HYPERLINK("http://dx.doi.org/10.1038/s41598-018-29824-6","http://dx.doi.org/10.1038/s41598-018-29824-6")</f>
        <v>http://dx.doi.org/10.1038/s41598-018-29824-6</v>
      </c>
      <c r="BG596" t="s">
        <v>74</v>
      </c>
      <c r="BH596" t="s">
        <v>74</v>
      </c>
      <c r="BI596">
        <v>9</v>
      </c>
      <c r="BJ596" t="s">
        <v>436</v>
      </c>
      <c r="BK596" t="s">
        <v>101</v>
      </c>
      <c r="BL596" t="s">
        <v>437</v>
      </c>
      <c r="BM596" t="s">
        <v>11675</v>
      </c>
      <c r="BN596">
        <v>30065347</v>
      </c>
      <c r="BO596" t="s">
        <v>439</v>
      </c>
      <c r="BP596" t="s">
        <v>74</v>
      </c>
      <c r="BQ596" t="s">
        <v>74</v>
      </c>
      <c r="BR596" t="s">
        <v>104</v>
      </c>
      <c r="BS596" t="s">
        <v>11676</v>
      </c>
      <c r="BT596" t="str">
        <f>HYPERLINK("https%3A%2F%2Fwww.webofscience.com%2Fwos%2Fwoscc%2Ffull-record%2FWOS:000440288600029","View Full Record in Web of Science")</f>
        <v>View Full Record in Web of Science</v>
      </c>
    </row>
    <row r="597" spans="1:72" x14ac:dyDescent="0.15">
      <c r="A597" t="s">
        <v>72</v>
      </c>
      <c r="B597" t="s">
        <v>11677</v>
      </c>
      <c r="C597" t="s">
        <v>74</v>
      </c>
      <c r="D597" t="s">
        <v>74</v>
      </c>
      <c r="E597" t="s">
        <v>74</v>
      </c>
      <c r="F597" t="s">
        <v>11678</v>
      </c>
      <c r="G597" t="s">
        <v>74</v>
      </c>
      <c r="H597" t="s">
        <v>74</v>
      </c>
      <c r="I597" t="s">
        <v>11679</v>
      </c>
      <c r="J597" t="s">
        <v>7832</v>
      </c>
      <c r="K597" t="s">
        <v>74</v>
      </c>
      <c r="L597" t="s">
        <v>74</v>
      </c>
      <c r="M597" t="s">
        <v>78</v>
      </c>
      <c r="N597" t="s">
        <v>79</v>
      </c>
      <c r="O597" t="s">
        <v>74</v>
      </c>
      <c r="P597" t="s">
        <v>74</v>
      </c>
      <c r="Q597" t="s">
        <v>74</v>
      </c>
      <c r="R597" t="s">
        <v>74</v>
      </c>
      <c r="S597" t="s">
        <v>74</v>
      </c>
      <c r="T597" t="s">
        <v>74</v>
      </c>
      <c r="U597" t="s">
        <v>11680</v>
      </c>
      <c r="V597" t="s">
        <v>11681</v>
      </c>
      <c r="W597" t="s">
        <v>11682</v>
      </c>
      <c r="X597" t="s">
        <v>11683</v>
      </c>
      <c r="Y597" t="s">
        <v>11684</v>
      </c>
      <c r="Z597" t="s">
        <v>7023</v>
      </c>
      <c r="AA597" t="s">
        <v>7024</v>
      </c>
      <c r="AB597" t="s">
        <v>11685</v>
      </c>
      <c r="AC597" t="s">
        <v>11686</v>
      </c>
      <c r="AD597" t="s">
        <v>11687</v>
      </c>
      <c r="AE597" t="s">
        <v>11688</v>
      </c>
      <c r="AF597" t="s">
        <v>74</v>
      </c>
      <c r="AG597">
        <v>95</v>
      </c>
      <c r="AH597">
        <v>17</v>
      </c>
      <c r="AI597">
        <v>18</v>
      </c>
      <c r="AJ597">
        <v>1</v>
      </c>
      <c r="AK597">
        <v>14</v>
      </c>
      <c r="AL597" t="s">
        <v>3353</v>
      </c>
      <c r="AM597" t="s">
        <v>3354</v>
      </c>
      <c r="AN597" t="s">
        <v>3355</v>
      </c>
      <c r="AO597" t="s">
        <v>7844</v>
      </c>
      <c r="AP597" t="s">
        <v>7845</v>
      </c>
      <c r="AQ597" t="s">
        <v>74</v>
      </c>
      <c r="AR597" t="s">
        <v>7832</v>
      </c>
      <c r="AS597" t="s">
        <v>7846</v>
      </c>
      <c r="AT597" t="s">
        <v>11689</v>
      </c>
      <c r="AU597">
        <v>2018</v>
      </c>
      <c r="AV597">
        <v>15</v>
      </c>
      <c r="AW597">
        <v>14</v>
      </c>
      <c r="AX597" t="s">
        <v>74</v>
      </c>
      <c r="AY597" t="s">
        <v>74</v>
      </c>
      <c r="AZ597" t="s">
        <v>74</v>
      </c>
      <c r="BA597" t="s">
        <v>74</v>
      </c>
      <c r="BB597">
        <v>4647</v>
      </c>
      <c r="BC597">
        <v>4660</v>
      </c>
      <c r="BD597" t="s">
        <v>74</v>
      </c>
      <c r="BE597" t="s">
        <v>11690</v>
      </c>
      <c r="BF597" t="str">
        <f>HYPERLINK("http://dx.doi.org/10.5194/bg-15-4647-2018","http://dx.doi.org/10.5194/bg-15-4647-2018")</f>
        <v>http://dx.doi.org/10.5194/bg-15-4647-2018</v>
      </c>
      <c r="BG597" t="s">
        <v>74</v>
      </c>
      <c r="BH597" t="s">
        <v>74</v>
      </c>
      <c r="BI597">
        <v>14</v>
      </c>
      <c r="BJ597" t="s">
        <v>7849</v>
      </c>
      <c r="BK597" t="s">
        <v>101</v>
      </c>
      <c r="BL597" t="s">
        <v>5223</v>
      </c>
      <c r="BM597" t="s">
        <v>11691</v>
      </c>
      <c r="BN597" t="s">
        <v>74</v>
      </c>
      <c r="BO597" t="s">
        <v>1584</v>
      </c>
      <c r="BP597" t="s">
        <v>74</v>
      </c>
      <c r="BQ597" t="s">
        <v>74</v>
      </c>
      <c r="BR597" t="s">
        <v>104</v>
      </c>
      <c r="BS597" t="s">
        <v>11692</v>
      </c>
      <c r="BT597" t="str">
        <f>HYPERLINK("https%3A%2F%2Fwww.webofscience.com%2Fwos%2Fwoscc%2Ffull-record%2FWOS:000440316500002","View Full Record in Web of Science")</f>
        <v>View Full Record in Web of Science</v>
      </c>
    </row>
    <row r="598" spans="1:72" x14ac:dyDescent="0.15">
      <c r="A598" t="s">
        <v>72</v>
      </c>
      <c r="B598" t="s">
        <v>11693</v>
      </c>
      <c r="C598" t="s">
        <v>74</v>
      </c>
      <c r="D598" t="s">
        <v>74</v>
      </c>
      <c r="E598" t="s">
        <v>74</v>
      </c>
      <c r="F598" t="s">
        <v>11694</v>
      </c>
      <c r="G598" t="s">
        <v>74</v>
      </c>
      <c r="H598" t="s">
        <v>74</v>
      </c>
      <c r="I598" t="s">
        <v>11695</v>
      </c>
      <c r="J598" t="s">
        <v>3089</v>
      </c>
      <c r="K598" t="s">
        <v>74</v>
      </c>
      <c r="L598" t="s">
        <v>74</v>
      </c>
      <c r="M598" t="s">
        <v>78</v>
      </c>
      <c r="N598" t="s">
        <v>79</v>
      </c>
      <c r="O598" t="s">
        <v>74</v>
      </c>
      <c r="P598" t="s">
        <v>74</v>
      </c>
      <c r="Q598" t="s">
        <v>74</v>
      </c>
      <c r="R598" t="s">
        <v>74</v>
      </c>
      <c r="S598" t="s">
        <v>74</v>
      </c>
      <c r="T598" t="s">
        <v>74</v>
      </c>
      <c r="U598" t="s">
        <v>11696</v>
      </c>
      <c r="V598" t="s">
        <v>11697</v>
      </c>
      <c r="W598" t="s">
        <v>11698</v>
      </c>
      <c r="X598" t="s">
        <v>11699</v>
      </c>
      <c r="Y598" t="s">
        <v>11700</v>
      </c>
      <c r="Z598" t="s">
        <v>11701</v>
      </c>
      <c r="AA598" t="s">
        <v>11702</v>
      </c>
      <c r="AB598" t="s">
        <v>11703</v>
      </c>
      <c r="AC598" t="s">
        <v>11704</v>
      </c>
      <c r="AD598" t="s">
        <v>11705</v>
      </c>
      <c r="AE598" t="s">
        <v>11706</v>
      </c>
      <c r="AF598" t="s">
        <v>74</v>
      </c>
      <c r="AG598">
        <v>27</v>
      </c>
      <c r="AH598">
        <v>21</v>
      </c>
      <c r="AI598">
        <v>23</v>
      </c>
      <c r="AJ598">
        <v>2</v>
      </c>
      <c r="AK598">
        <v>15</v>
      </c>
      <c r="AL598" t="s">
        <v>503</v>
      </c>
      <c r="AM598" t="s">
        <v>504</v>
      </c>
      <c r="AN598" t="s">
        <v>505</v>
      </c>
      <c r="AO598" t="s">
        <v>3100</v>
      </c>
      <c r="AP598" t="s">
        <v>3101</v>
      </c>
      <c r="AQ598" t="s">
        <v>74</v>
      </c>
      <c r="AR598" t="s">
        <v>3102</v>
      </c>
      <c r="AS598" t="s">
        <v>3103</v>
      </c>
      <c r="AT598" t="s">
        <v>11707</v>
      </c>
      <c r="AU598">
        <v>2018</v>
      </c>
      <c r="AV598">
        <v>45</v>
      </c>
      <c r="AW598">
        <v>14</v>
      </c>
      <c r="AX598" t="s">
        <v>74</v>
      </c>
      <c r="AY598" t="s">
        <v>74</v>
      </c>
      <c r="AZ598" t="s">
        <v>74</v>
      </c>
      <c r="BA598" t="s">
        <v>74</v>
      </c>
      <c r="BB598">
        <v>7204</v>
      </c>
      <c r="BC598">
        <v>7212</v>
      </c>
      <c r="BD598" t="s">
        <v>74</v>
      </c>
      <c r="BE598" t="s">
        <v>11708</v>
      </c>
      <c r="BF598" t="str">
        <f>HYPERLINK("http://dx.doi.org/10.1029/2018GL078965","http://dx.doi.org/10.1029/2018GL078965")</f>
        <v>http://dx.doi.org/10.1029/2018GL078965</v>
      </c>
      <c r="BG598" t="s">
        <v>74</v>
      </c>
      <c r="BH598" t="s">
        <v>74</v>
      </c>
      <c r="BI598">
        <v>9</v>
      </c>
      <c r="BJ598" t="s">
        <v>182</v>
      </c>
      <c r="BK598" t="s">
        <v>101</v>
      </c>
      <c r="BL598" t="s">
        <v>183</v>
      </c>
      <c r="BM598" t="s">
        <v>11709</v>
      </c>
      <c r="BN598" t="s">
        <v>74</v>
      </c>
      <c r="BO598" t="s">
        <v>11710</v>
      </c>
      <c r="BP598" t="s">
        <v>74</v>
      </c>
      <c r="BQ598" t="s">
        <v>74</v>
      </c>
      <c r="BR598" t="s">
        <v>104</v>
      </c>
      <c r="BS598" t="s">
        <v>11711</v>
      </c>
      <c r="BT598" t="str">
        <f>HYPERLINK("https%3A%2F%2Fwww.webofscience.com%2Fwos%2Fwoscc%2Ffull-record%2FWOS:000442582100050","View Full Record in Web of Science")</f>
        <v>View Full Record in Web of Science</v>
      </c>
    </row>
    <row r="599" spans="1:72" x14ac:dyDescent="0.15">
      <c r="A599" t="s">
        <v>72</v>
      </c>
      <c r="B599" t="s">
        <v>11712</v>
      </c>
      <c r="C599" t="s">
        <v>74</v>
      </c>
      <c r="D599" t="s">
        <v>74</v>
      </c>
      <c r="E599" t="s">
        <v>74</v>
      </c>
      <c r="F599" t="s">
        <v>11713</v>
      </c>
      <c r="G599" t="s">
        <v>74</v>
      </c>
      <c r="H599" t="s">
        <v>74</v>
      </c>
      <c r="I599" t="s">
        <v>11714</v>
      </c>
      <c r="J599" t="s">
        <v>3089</v>
      </c>
      <c r="K599" t="s">
        <v>74</v>
      </c>
      <c r="L599" t="s">
        <v>74</v>
      </c>
      <c r="M599" t="s">
        <v>78</v>
      </c>
      <c r="N599" t="s">
        <v>79</v>
      </c>
      <c r="O599" t="s">
        <v>74</v>
      </c>
      <c r="P599" t="s">
        <v>74</v>
      </c>
      <c r="Q599" t="s">
        <v>74</v>
      </c>
      <c r="R599" t="s">
        <v>74</v>
      </c>
      <c r="S599" t="s">
        <v>74</v>
      </c>
      <c r="T599" t="s">
        <v>11715</v>
      </c>
      <c r="U599" t="s">
        <v>11716</v>
      </c>
      <c r="V599" t="s">
        <v>11717</v>
      </c>
      <c r="W599" t="s">
        <v>11718</v>
      </c>
      <c r="X599" t="s">
        <v>11719</v>
      </c>
      <c r="Y599" t="s">
        <v>11720</v>
      </c>
      <c r="Z599" t="s">
        <v>11721</v>
      </c>
      <c r="AA599" t="s">
        <v>11722</v>
      </c>
      <c r="AB599" t="s">
        <v>11723</v>
      </c>
      <c r="AC599" t="s">
        <v>11724</v>
      </c>
      <c r="AD599" t="s">
        <v>11724</v>
      </c>
      <c r="AE599" t="s">
        <v>11725</v>
      </c>
      <c r="AF599" t="s">
        <v>74</v>
      </c>
      <c r="AG599">
        <v>44</v>
      </c>
      <c r="AH599">
        <v>25</v>
      </c>
      <c r="AI599">
        <v>29</v>
      </c>
      <c r="AJ599">
        <v>1</v>
      </c>
      <c r="AK599">
        <v>16</v>
      </c>
      <c r="AL599" t="s">
        <v>503</v>
      </c>
      <c r="AM599" t="s">
        <v>504</v>
      </c>
      <c r="AN599" t="s">
        <v>505</v>
      </c>
      <c r="AO599" t="s">
        <v>3100</v>
      </c>
      <c r="AP599" t="s">
        <v>3101</v>
      </c>
      <c r="AQ599" t="s">
        <v>74</v>
      </c>
      <c r="AR599" t="s">
        <v>3102</v>
      </c>
      <c r="AS599" t="s">
        <v>3103</v>
      </c>
      <c r="AT599" t="s">
        <v>11707</v>
      </c>
      <c r="AU599">
        <v>2018</v>
      </c>
      <c r="AV599">
        <v>45</v>
      </c>
      <c r="AW599">
        <v>14</v>
      </c>
      <c r="AX599" t="s">
        <v>74</v>
      </c>
      <c r="AY599" t="s">
        <v>74</v>
      </c>
      <c r="AZ599" t="s">
        <v>74</v>
      </c>
      <c r="BA599" t="s">
        <v>74</v>
      </c>
      <c r="BB599">
        <v>7010</v>
      </c>
      <c r="BC599">
        <v>7018</v>
      </c>
      <c r="BD599" t="s">
        <v>74</v>
      </c>
      <c r="BE599" t="s">
        <v>11726</v>
      </c>
      <c r="BF599" t="str">
        <f>HYPERLINK("http://dx.doi.org/10.1029/2018GL078173","http://dx.doi.org/10.1029/2018GL078173")</f>
        <v>http://dx.doi.org/10.1029/2018GL078173</v>
      </c>
      <c r="BG599" t="s">
        <v>74</v>
      </c>
      <c r="BH599" t="s">
        <v>74</v>
      </c>
      <c r="BI599">
        <v>9</v>
      </c>
      <c r="BJ599" t="s">
        <v>182</v>
      </c>
      <c r="BK599" t="s">
        <v>101</v>
      </c>
      <c r="BL599" t="s">
        <v>183</v>
      </c>
      <c r="BM599" t="s">
        <v>11709</v>
      </c>
      <c r="BN599" t="s">
        <v>74</v>
      </c>
      <c r="BO599" t="s">
        <v>3156</v>
      </c>
      <c r="BP599" t="s">
        <v>74</v>
      </c>
      <c r="BQ599" t="s">
        <v>74</v>
      </c>
      <c r="BR599" t="s">
        <v>104</v>
      </c>
      <c r="BS599" t="s">
        <v>11727</v>
      </c>
      <c r="BT599" t="str">
        <f>HYPERLINK("https%3A%2F%2Fwww.webofscience.com%2Fwos%2Fwoscc%2Ffull-record%2FWOS:000442582100029","View Full Record in Web of Science")</f>
        <v>View Full Record in Web of Science</v>
      </c>
    </row>
    <row r="600" spans="1:72" x14ac:dyDescent="0.15">
      <c r="A600" t="s">
        <v>72</v>
      </c>
      <c r="B600" t="s">
        <v>11728</v>
      </c>
      <c r="C600" t="s">
        <v>74</v>
      </c>
      <c r="D600" t="s">
        <v>74</v>
      </c>
      <c r="E600" t="s">
        <v>74</v>
      </c>
      <c r="F600" t="s">
        <v>11729</v>
      </c>
      <c r="G600" t="s">
        <v>74</v>
      </c>
      <c r="H600" t="s">
        <v>74</v>
      </c>
      <c r="I600" t="s">
        <v>11730</v>
      </c>
      <c r="J600" t="s">
        <v>3089</v>
      </c>
      <c r="K600" t="s">
        <v>74</v>
      </c>
      <c r="L600" t="s">
        <v>74</v>
      </c>
      <c r="M600" t="s">
        <v>78</v>
      </c>
      <c r="N600" t="s">
        <v>79</v>
      </c>
      <c r="O600" t="s">
        <v>74</v>
      </c>
      <c r="P600" t="s">
        <v>74</v>
      </c>
      <c r="Q600" t="s">
        <v>74</v>
      </c>
      <c r="R600" t="s">
        <v>74</v>
      </c>
      <c r="S600" t="s">
        <v>74</v>
      </c>
      <c r="T600" t="s">
        <v>74</v>
      </c>
      <c r="U600" t="s">
        <v>11731</v>
      </c>
      <c r="V600" t="s">
        <v>11732</v>
      </c>
      <c r="W600" t="s">
        <v>11733</v>
      </c>
      <c r="X600" t="s">
        <v>11734</v>
      </c>
      <c r="Y600" t="s">
        <v>11735</v>
      </c>
      <c r="Z600" t="s">
        <v>11736</v>
      </c>
      <c r="AA600" t="s">
        <v>74</v>
      </c>
      <c r="AB600" t="s">
        <v>11737</v>
      </c>
      <c r="AC600" t="s">
        <v>11738</v>
      </c>
      <c r="AD600" t="s">
        <v>11739</v>
      </c>
      <c r="AE600" t="s">
        <v>11740</v>
      </c>
      <c r="AF600" t="s">
        <v>74</v>
      </c>
      <c r="AG600">
        <v>45</v>
      </c>
      <c r="AH600">
        <v>11</v>
      </c>
      <c r="AI600">
        <v>12</v>
      </c>
      <c r="AJ600">
        <v>2</v>
      </c>
      <c r="AK600">
        <v>40</v>
      </c>
      <c r="AL600" t="s">
        <v>503</v>
      </c>
      <c r="AM600" t="s">
        <v>504</v>
      </c>
      <c r="AN600" t="s">
        <v>505</v>
      </c>
      <c r="AO600" t="s">
        <v>3100</v>
      </c>
      <c r="AP600" t="s">
        <v>3101</v>
      </c>
      <c r="AQ600" t="s">
        <v>74</v>
      </c>
      <c r="AR600" t="s">
        <v>3102</v>
      </c>
      <c r="AS600" t="s">
        <v>3103</v>
      </c>
      <c r="AT600" t="s">
        <v>11707</v>
      </c>
      <c r="AU600">
        <v>2018</v>
      </c>
      <c r="AV600">
        <v>45</v>
      </c>
      <c r="AW600">
        <v>14</v>
      </c>
      <c r="AX600" t="s">
        <v>74</v>
      </c>
      <c r="AY600" t="s">
        <v>74</v>
      </c>
      <c r="AZ600" t="s">
        <v>74</v>
      </c>
      <c r="BA600" t="s">
        <v>74</v>
      </c>
      <c r="BB600">
        <v>7165</v>
      </c>
      <c r="BC600">
        <v>7175</v>
      </c>
      <c r="BD600" t="s">
        <v>74</v>
      </c>
      <c r="BE600" t="s">
        <v>11741</v>
      </c>
      <c r="BF600" t="str">
        <f>HYPERLINK("http://dx.doi.org/10.1029/2018GL079109","http://dx.doi.org/10.1029/2018GL079109")</f>
        <v>http://dx.doi.org/10.1029/2018GL079109</v>
      </c>
      <c r="BG600" t="s">
        <v>74</v>
      </c>
      <c r="BH600" t="s">
        <v>74</v>
      </c>
      <c r="BI600">
        <v>11</v>
      </c>
      <c r="BJ600" t="s">
        <v>182</v>
      </c>
      <c r="BK600" t="s">
        <v>101</v>
      </c>
      <c r="BL600" t="s">
        <v>183</v>
      </c>
      <c r="BM600" t="s">
        <v>11709</v>
      </c>
      <c r="BN600" t="s">
        <v>74</v>
      </c>
      <c r="BO600" t="s">
        <v>740</v>
      </c>
      <c r="BP600" t="s">
        <v>74</v>
      </c>
      <c r="BQ600" t="s">
        <v>74</v>
      </c>
      <c r="BR600" t="s">
        <v>104</v>
      </c>
      <c r="BS600" t="s">
        <v>11742</v>
      </c>
      <c r="BT600" t="str">
        <f>HYPERLINK("https%3A%2F%2Fwww.webofscience.com%2Fwos%2Fwoscc%2Ffull-record%2FWOS:000442582100046","View Full Record in Web of Science")</f>
        <v>View Full Record in Web of Science</v>
      </c>
    </row>
    <row r="601" spans="1:72" x14ac:dyDescent="0.15">
      <c r="A601" t="s">
        <v>72</v>
      </c>
      <c r="B601" t="s">
        <v>11743</v>
      </c>
      <c r="C601" t="s">
        <v>74</v>
      </c>
      <c r="D601" t="s">
        <v>74</v>
      </c>
      <c r="E601" t="s">
        <v>74</v>
      </c>
      <c r="F601" t="s">
        <v>11744</v>
      </c>
      <c r="G601" t="s">
        <v>74</v>
      </c>
      <c r="H601" t="s">
        <v>74</v>
      </c>
      <c r="I601" t="s">
        <v>11745</v>
      </c>
      <c r="J601" t="s">
        <v>4109</v>
      </c>
      <c r="K601" t="s">
        <v>74</v>
      </c>
      <c r="L601" t="s">
        <v>74</v>
      </c>
      <c r="M601" t="s">
        <v>78</v>
      </c>
      <c r="N601" t="s">
        <v>79</v>
      </c>
      <c r="O601" t="s">
        <v>74</v>
      </c>
      <c r="P601" t="s">
        <v>74</v>
      </c>
      <c r="Q601" t="s">
        <v>74</v>
      </c>
      <c r="R601" t="s">
        <v>74</v>
      </c>
      <c r="S601" t="s">
        <v>74</v>
      </c>
      <c r="T601" t="s">
        <v>74</v>
      </c>
      <c r="U601" t="s">
        <v>11746</v>
      </c>
      <c r="V601" t="s">
        <v>11747</v>
      </c>
      <c r="W601" t="s">
        <v>11748</v>
      </c>
      <c r="X601" t="s">
        <v>11749</v>
      </c>
      <c r="Y601" t="s">
        <v>11750</v>
      </c>
      <c r="Z601" t="s">
        <v>11751</v>
      </c>
      <c r="AA601" t="s">
        <v>11752</v>
      </c>
      <c r="AB601" t="s">
        <v>11753</v>
      </c>
      <c r="AC601" t="s">
        <v>11754</v>
      </c>
      <c r="AD601" t="s">
        <v>11755</v>
      </c>
      <c r="AE601" t="s">
        <v>11756</v>
      </c>
      <c r="AF601" t="s">
        <v>74</v>
      </c>
      <c r="AG601">
        <v>55</v>
      </c>
      <c r="AH601">
        <v>26</v>
      </c>
      <c r="AI601">
        <v>26</v>
      </c>
      <c r="AJ601">
        <v>1</v>
      </c>
      <c r="AK601">
        <v>16</v>
      </c>
      <c r="AL601" t="s">
        <v>1130</v>
      </c>
      <c r="AM601" t="s">
        <v>1131</v>
      </c>
      <c r="AN601" t="s">
        <v>1132</v>
      </c>
      <c r="AO601" t="s">
        <v>4121</v>
      </c>
      <c r="AP601" t="s">
        <v>74</v>
      </c>
      <c r="AQ601" t="s">
        <v>74</v>
      </c>
      <c r="AR601" t="s">
        <v>4122</v>
      </c>
      <c r="AS601" t="s">
        <v>4123</v>
      </c>
      <c r="AT601" t="s">
        <v>11757</v>
      </c>
      <c r="AU601">
        <v>2018</v>
      </c>
      <c r="AV601">
        <v>8</v>
      </c>
      <c r="AW601" t="s">
        <v>74</v>
      </c>
      <c r="AX601" t="s">
        <v>74</v>
      </c>
      <c r="AY601" t="s">
        <v>74</v>
      </c>
      <c r="AZ601" t="s">
        <v>74</v>
      </c>
      <c r="BA601" t="s">
        <v>74</v>
      </c>
      <c r="BB601" t="s">
        <v>74</v>
      </c>
      <c r="BC601" t="s">
        <v>74</v>
      </c>
      <c r="BD601">
        <v>11323</v>
      </c>
      <c r="BE601" t="s">
        <v>11758</v>
      </c>
      <c r="BF601" t="str">
        <f>HYPERLINK("http://dx.doi.org/10.1038/s41598-018-29718-7","http://dx.doi.org/10.1038/s41598-018-29718-7")</f>
        <v>http://dx.doi.org/10.1038/s41598-018-29718-7</v>
      </c>
      <c r="BG601" t="s">
        <v>74</v>
      </c>
      <c r="BH601" t="s">
        <v>74</v>
      </c>
      <c r="BI601">
        <v>12</v>
      </c>
      <c r="BJ601" t="s">
        <v>436</v>
      </c>
      <c r="BK601" t="s">
        <v>101</v>
      </c>
      <c r="BL601" t="s">
        <v>437</v>
      </c>
      <c r="BM601" t="s">
        <v>11759</v>
      </c>
      <c r="BN601">
        <v>30054536</v>
      </c>
      <c r="BO601" t="s">
        <v>1566</v>
      </c>
      <c r="BP601" t="s">
        <v>74</v>
      </c>
      <c r="BQ601" t="s">
        <v>74</v>
      </c>
      <c r="BR601" t="s">
        <v>104</v>
      </c>
      <c r="BS601" t="s">
        <v>11760</v>
      </c>
      <c r="BT601" t="str">
        <f>HYPERLINK("https%3A%2F%2Fwww.webofscience.com%2Fwos%2Fwoscc%2Ffull-record%2FWOS:000439965200016","View Full Record in Web of Science")</f>
        <v>View Full Record in Web of Science</v>
      </c>
    </row>
    <row r="602" spans="1:72" x14ac:dyDescent="0.15">
      <c r="A602" t="s">
        <v>72</v>
      </c>
      <c r="B602" t="s">
        <v>11761</v>
      </c>
      <c r="C602" t="s">
        <v>74</v>
      </c>
      <c r="D602" t="s">
        <v>74</v>
      </c>
      <c r="E602" t="s">
        <v>74</v>
      </c>
      <c r="F602" t="s">
        <v>11762</v>
      </c>
      <c r="G602" t="s">
        <v>74</v>
      </c>
      <c r="H602" t="s">
        <v>74</v>
      </c>
      <c r="I602" t="s">
        <v>11763</v>
      </c>
      <c r="J602" t="s">
        <v>3226</v>
      </c>
      <c r="K602" t="s">
        <v>74</v>
      </c>
      <c r="L602" t="s">
        <v>74</v>
      </c>
      <c r="M602" t="s">
        <v>78</v>
      </c>
      <c r="N602" t="s">
        <v>79</v>
      </c>
      <c r="O602" t="s">
        <v>74</v>
      </c>
      <c r="P602" t="s">
        <v>74</v>
      </c>
      <c r="Q602" t="s">
        <v>74</v>
      </c>
      <c r="R602" t="s">
        <v>74</v>
      </c>
      <c r="S602" t="s">
        <v>74</v>
      </c>
      <c r="T602" t="s">
        <v>74</v>
      </c>
      <c r="U602" t="s">
        <v>11764</v>
      </c>
      <c r="V602" t="s">
        <v>11765</v>
      </c>
      <c r="W602" t="s">
        <v>11766</v>
      </c>
      <c r="X602" t="s">
        <v>11767</v>
      </c>
      <c r="Y602" t="s">
        <v>11768</v>
      </c>
      <c r="Z602" t="s">
        <v>11769</v>
      </c>
      <c r="AA602" t="s">
        <v>11770</v>
      </c>
      <c r="AB602" t="s">
        <v>11771</v>
      </c>
      <c r="AC602" t="s">
        <v>11772</v>
      </c>
      <c r="AD602" t="s">
        <v>11773</v>
      </c>
      <c r="AE602" t="s">
        <v>11774</v>
      </c>
      <c r="AF602" t="s">
        <v>74</v>
      </c>
      <c r="AG602">
        <v>61</v>
      </c>
      <c r="AH602">
        <v>6</v>
      </c>
      <c r="AI602">
        <v>6</v>
      </c>
      <c r="AJ602">
        <v>1</v>
      </c>
      <c r="AK602">
        <v>33</v>
      </c>
      <c r="AL602" t="s">
        <v>503</v>
      </c>
      <c r="AM602" t="s">
        <v>504</v>
      </c>
      <c r="AN602" t="s">
        <v>505</v>
      </c>
      <c r="AO602" t="s">
        <v>3239</v>
      </c>
      <c r="AP602" t="s">
        <v>3240</v>
      </c>
      <c r="AQ602" t="s">
        <v>74</v>
      </c>
      <c r="AR602" t="s">
        <v>3241</v>
      </c>
      <c r="AS602" t="s">
        <v>3242</v>
      </c>
      <c r="AT602" t="s">
        <v>11757</v>
      </c>
      <c r="AU602">
        <v>2018</v>
      </c>
      <c r="AV602">
        <v>123</v>
      </c>
      <c r="AW602">
        <v>14</v>
      </c>
      <c r="AX602" t="s">
        <v>74</v>
      </c>
      <c r="AY602" t="s">
        <v>74</v>
      </c>
      <c r="AZ602" t="s">
        <v>74</v>
      </c>
      <c r="BA602" t="s">
        <v>74</v>
      </c>
      <c r="BB602">
        <v>7161</v>
      </c>
      <c r="BC602">
        <v>7178</v>
      </c>
      <c r="BD602" t="s">
        <v>74</v>
      </c>
      <c r="BE602" t="s">
        <v>11775</v>
      </c>
      <c r="BF602" t="str">
        <f>HYPERLINK("http://dx.doi.org/10.1029/2017JD027646","http://dx.doi.org/10.1029/2017JD027646")</f>
        <v>http://dx.doi.org/10.1029/2017JD027646</v>
      </c>
      <c r="BG602" t="s">
        <v>74</v>
      </c>
      <c r="BH602" t="s">
        <v>74</v>
      </c>
      <c r="BI602">
        <v>18</v>
      </c>
      <c r="BJ602" t="s">
        <v>369</v>
      </c>
      <c r="BK602" t="s">
        <v>101</v>
      </c>
      <c r="BL602" t="s">
        <v>369</v>
      </c>
      <c r="BM602" t="s">
        <v>11776</v>
      </c>
      <c r="BN602" t="s">
        <v>74</v>
      </c>
      <c r="BO602" t="s">
        <v>712</v>
      </c>
      <c r="BP602" t="s">
        <v>74</v>
      </c>
      <c r="BQ602" t="s">
        <v>74</v>
      </c>
      <c r="BR602" t="s">
        <v>104</v>
      </c>
      <c r="BS602" t="s">
        <v>11777</v>
      </c>
      <c r="BT602" t="str">
        <f>HYPERLINK("https%3A%2F%2Fwww.webofscience.com%2Fwos%2Fwoscc%2Ffull-record%2FWOS:000441965400008","View Full Record in Web of Science")</f>
        <v>View Full Record in Web of Science</v>
      </c>
    </row>
    <row r="603" spans="1:72" x14ac:dyDescent="0.15">
      <c r="A603" t="s">
        <v>72</v>
      </c>
      <c r="B603" t="s">
        <v>11778</v>
      </c>
      <c r="C603" t="s">
        <v>74</v>
      </c>
      <c r="D603" t="s">
        <v>74</v>
      </c>
      <c r="E603" t="s">
        <v>74</v>
      </c>
      <c r="F603" t="s">
        <v>11779</v>
      </c>
      <c r="G603" t="s">
        <v>74</v>
      </c>
      <c r="H603" t="s">
        <v>74</v>
      </c>
      <c r="I603" t="s">
        <v>11780</v>
      </c>
      <c r="J603" t="s">
        <v>3366</v>
      </c>
      <c r="K603" t="s">
        <v>74</v>
      </c>
      <c r="L603" t="s">
        <v>74</v>
      </c>
      <c r="M603" t="s">
        <v>78</v>
      </c>
      <c r="N603" t="s">
        <v>79</v>
      </c>
      <c r="O603" t="s">
        <v>74</v>
      </c>
      <c r="P603" t="s">
        <v>74</v>
      </c>
      <c r="Q603" t="s">
        <v>74</v>
      </c>
      <c r="R603" t="s">
        <v>74</v>
      </c>
      <c r="S603" t="s">
        <v>74</v>
      </c>
      <c r="T603" t="s">
        <v>74</v>
      </c>
      <c r="U603" t="s">
        <v>11781</v>
      </c>
      <c r="V603" t="s">
        <v>11782</v>
      </c>
      <c r="W603" t="s">
        <v>11783</v>
      </c>
      <c r="X603" t="s">
        <v>11784</v>
      </c>
      <c r="Y603" t="s">
        <v>11785</v>
      </c>
      <c r="Z603" t="s">
        <v>11786</v>
      </c>
      <c r="AA603" t="s">
        <v>11787</v>
      </c>
      <c r="AB603" t="s">
        <v>11788</v>
      </c>
      <c r="AC603" t="s">
        <v>74</v>
      </c>
      <c r="AD603" t="s">
        <v>74</v>
      </c>
      <c r="AE603" t="s">
        <v>74</v>
      </c>
      <c r="AF603" t="s">
        <v>74</v>
      </c>
      <c r="AG603">
        <v>71</v>
      </c>
      <c r="AH603">
        <v>15</v>
      </c>
      <c r="AI603">
        <v>15</v>
      </c>
      <c r="AJ603">
        <v>0</v>
      </c>
      <c r="AK603">
        <v>16</v>
      </c>
      <c r="AL603" t="s">
        <v>3353</v>
      </c>
      <c r="AM603" t="s">
        <v>3354</v>
      </c>
      <c r="AN603" t="s">
        <v>3355</v>
      </c>
      <c r="AO603" t="s">
        <v>3377</v>
      </c>
      <c r="AP603" t="s">
        <v>3378</v>
      </c>
      <c r="AQ603" t="s">
        <v>74</v>
      </c>
      <c r="AR603" t="s">
        <v>3366</v>
      </c>
      <c r="AS603" t="s">
        <v>3379</v>
      </c>
      <c r="AT603" t="s">
        <v>11757</v>
      </c>
      <c r="AU603">
        <v>2018</v>
      </c>
      <c r="AV603">
        <v>12</v>
      </c>
      <c r="AW603">
        <v>7</v>
      </c>
      <c r="AX603" t="s">
        <v>74</v>
      </c>
      <c r="AY603" t="s">
        <v>74</v>
      </c>
      <c r="AZ603" t="s">
        <v>74</v>
      </c>
      <c r="BA603" t="s">
        <v>74</v>
      </c>
      <c r="BB603">
        <v>2501</v>
      </c>
      <c r="BC603">
        <v>2513</v>
      </c>
      <c r="BD603" t="s">
        <v>74</v>
      </c>
      <c r="BE603" t="s">
        <v>11789</v>
      </c>
      <c r="BF603" t="str">
        <f>HYPERLINK("http://dx.doi.org/10.5194/tc-12-2501-2018","http://dx.doi.org/10.5194/tc-12-2501-2018")</f>
        <v>http://dx.doi.org/10.5194/tc-12-2501-2018</v>
      </c>
      <c r="BG603" t="s">
        <v>74</v>
      </c>
      <c r="BH603" t="s">
        <v>74</v>
      </c>
      <c r="BI603">
        <v>13</v>
      </c>
      <c r="BJ603" t="s">
        <v>208</v>
      </c>
      <c r="BK603" t="s">
        <v>101</v>
      </c>
      <c r="BL603" t="s">
        <v>209</v>
      </c>
      <c r="BM603" t="s">
        <v>11790</v>
      </c>
      <c r="BN603" t="s">
        <v>74</v>
      </c>
      <c r="BO603" t="s">
        <v>1524</v>
      </c>
      <c r="BP603" t="s">
        <v>74</v>
      </c>
      <c r="BQ603" t="s">
        <v>74</v>
      </c>
      <c r="BR603" t="s">
        <v>104</v>
      </c>
      <c r="BS603" t="s">
        <v>11791</v>
      </c>
      <c r="BT603" t="str">
        <f>HYPERLINK("https%3A%2F%2Fwww.webofscience.com%2Fwos%2Fwoscc%2Ffull-record%2FWOS:000440047500001","View Full Record in Web of Science")</f>
        <v>View Full Record in Web of Science</v>
      </c>
    </row>
    <row r="604" spans="1:72" x14ac:dyDescent="0.15">
      <c r="A604" t="s">
        <v>72</v>
      </c>
      <c r="B604" t="s">
        <v>11792</v>
      </c>
      <c r="C604" t="s">
        <v>74</v>
      </c>
      <c r="D604" t="s">
        <v>74</v>
      </c>
      <c r="E604" t="s">
        <v>74</v>
      </c>
      <c r="F604" t="s">
        <v>11793</v>
      </c>
      <c r="G604" t="s">
        <v>74</v>
      </c>
      <c r="H604" t="s">
        <v>74</v>
      </c>
      <c r="I604" t="s">
        <v>11794</v>
      </c>
      <c r="J604" t="s">
        <v>11795</v>
      </c>
      <c r="K604" t="s">
        <v>74</v>
      </c>
      <c r="L604" t="s">
        <v>74</v>
      </c>
      <c r="M604" t="s">
        <v>78</v>
      </c>
      <c r="N604" t="s">
        <v>6598</v>
      </c>
      <c r="O604" t="s">
        <v>74</v>
      </c>
      <c r="P604" t="s">
        <v>74</v>
      </c>
      <c r="Q604" t="s">
        <v>74</v>
      </c>
      <c r="R604" t="s">
        <v>74</v>
      </c>
      <c r="S604" t="s">
        <v>74</v>
      </c>
      <c r="T604" t="s">
        <v>74</v>
      </c>
      <c r="U604" t="s">
        <v>74</v>
      </c>
      <c r="V604" t="s">
        <v>74</v>
      </c>
      <c r="W604" t="s">
        <v>74</v>
      </c>
      <c r="X604" t="s">
        <v>74</v>
      </c>
      <c r="Y604" t="s">
        <v>74</v>
      </c>
      <c r="Z604" t="s">
        <v>74</v>
      </c>
      <c r="AA604" t="s">
        <v>74</v>
      </c>
      <c r="AB604" t="s">
        <v>11796</v>
      </c>
      <c r="AC604" t="s">
        <v>74</v>
      </c>
      <c r="AD604" t="s">
        <v>74</v>
      </c>
      <c r="AE604" t="s">
        <v>74</v>
      </c>
      <c r="AF604" t="s">
        <v>74</v>
      </c>
      <c r="AG604">
        <v>0</v>
      </c>
      <c r="AH604">
        <v>1</v>
      </c>
      <c r="AI604">
        <v>1</v>
      </c>
      <c r="AJ604">
        <v>1</v>
      </c>
      <c r="AK604">
        <v>8</v>
      </c>
      <c r="AL604" t="s">
        <v>1270</v>
      </c>
      <c r="AM604" t="s">
        <v>504</v>
      </c>
      <c r="AN604" t="s">
        <v>1271</v>
      </c>
      <c r="AO604" t="s">
        <v>11797</v>
      </c>
      <c r="AP604" t="s">
        <v>11798</v>
      </c>
      <c r="AQ604" t="s">
        <v>74</v>
      </c>
      <c r="AR604" t="s">
        <v>11795</v>
      </c>
      <c r="AS604" t="s">
        <v>11799</v>
      </c>
      <c r="AT604" t="s">
        <v>11757</v>
      </c>
      <c r="AU604">
        <v>2018</v>
      </c>
      <c r="AV604">
        <v>361</v>
      </c>
      <c r="AW604">
        <v>6400</v>
      </c>
      <c r="AX604" t="s">
        <v>74</v>
      </c>
      <c r="AY604" t="s">
        <v>74</v>
      </c>
      <c r="AZ604" t="s">
        <v>155</v>
      </c>
      <c r="BA604" t="s">
        <v>74</v>
      </c>
      <c r="BB604">
        <v>320</v>
      </c>
      <c r="BC604">
        <v>320</v>
      </c>
      <c r="BD604" t="s">
        <v>74</v>
      </c>
      <c r="BE604" t="s">
        <v>11800</v>
      </c>
      <c r="BF604" t="str">
        <f>HYPERLINK("http://dx.doi.org/10.1126/science.361.6400.320","http://dx.doi.org/10.1126/science.361.6400.320")</f>
        <v>http://dx.doi.org/10.1126/science.361.6400.320</v>
      </c>
      <c r="BG604" t="s">
        <v>74</v>
      </c>
      <c r="BH604" t="s">
        <v>74</v>
      </c>
      <c r="BI604">
        <v>1</v>
      </c>
      <c r="BJ604" t="s">
        <v>436</v>
      </c>
      <c r="BK604" t="s">
        <v>101</v>
      </c>
      <c r="BL604" t="s">
        <v>437</v>
      </c>
      <c r="BM604" t="s">
        <v>11801</v>
      </c>
      <c r="BN604">
        <v>30049858</v>
      </c>
      <c r="BO604" t="s">
        <v>74</v>
      </c>
      <c r="BP604" t="s">
        <v>74</v>
      </c>
      <c r="BQ604" t="s">
        <v>74</v>
      </c>
      <c r="BR604" t="s">
        <v>104</v>
      </c>
      <c r="BS604" t="s">
        <v>11802</v>
      </c>
      <c r="BT604" t="str">
        <f>HYPERLINK("https%3A%2F%2Fwww.webofscience.com%2Fwos%2Fwoscc%2Ffull-record%2FWOS:000439923700015","View Full Record in Web of Science")</f>
        <v>View Full Record in Web of Science</v>
      </c>
    </row>
    <row r="605" spans="1:72" x14ac:dyDescent="0.15">
      <c r="A605" t="s">
        <v>72</v>
      </c>
      <c r="B605" t="s">
        <v>7867</v>
      </c>
      <c r="C605" t="s">
        <v>74</v>
      </c>
      <c r="D605" t="s">
        <v>74</v>
      </c>
      <c r="E605" t="s">
        <v>74</v>
      </c>
      <c r="F605" t="s">
        <v>7868</v>
      </c>
      <c r="G605" t="s">
        <v>74</v>
      </c>
      <c r="H605" t="s">
        <v>74</v>
      </c>
      <c r="I605" t="s">
        <v>11803</v>
      </c>
      <c r="J605" t="s">
        <v>4109</v>
      </c>
      <c r="K605" t="s">
        <v>74</v>
      </c>
      <c r="L605" t="s">
        <v>74</v>
      </c>
      <c r="M605" t="s">
        <v>78</v>
      </c>
      <c r="N605" t="s">
        <v>79</v>
      </c>
      <c r="O605" t="s">
        <v>74</v>
      </c>
      <c r="P605" t="s">
        <v>74</v>
      </c>
      <c r="Q605" t="s">
        <v>74</v>
      </c>
      <c r="R605" t="s">
        <v>74</v>
      </c>
      <c r="S605" t="s">
        <v>74</v>
      </c>
      <c r="T605" t="s">
        <v>74</v>
      </c>
      <c r="U605" t="s">
        <v>11804</v>
      </c>
      <c r="V605" t="s">
        <v>11805</v>
      </c>
      <c r="W605" t="s">
        <v>11806</v>
      </c>
      <c r="X605" t="s">
        <v>7871</v>
      </c>
      <c r="Y605" t="s">
        <v>11807</v>
      </c>
      <c r="Z605" t="s">
        <v>7873</v>
      </c>
      <c r="AA605" t="s">
        <v>7874</v>
      </c>
      <c r="AB605" t="s">
        <v>7875</v>
      </c>
      <c r="AC605" t="s">
        <v>11808</v>
      </c>
      <c r="AD605" t="s">
        <v>11809</v>
      </c>
      <c r="AE605" t="s">
        <v>11810</v>
      </c>
      <c r="AF605" t="s">
        <v>74</v>
      </c>
      <c r="AG605">
        <v>88</v>
      </c>
      <c r="AH605">
        <v>17</v>
      </c>
      <c r="AI605">
        <v>17</v>
      </c>
      <c r="AJ605">
        <v>0</v>
      </c>
      <c r="AK605">
        <v>17</v>
      </c>
      <c r="AL605" t="s">
        <v>1130</v>
      </c>
      <c r="AM605" t="s">
        <v>1131</v>
      </c>
      <c r="AN605" t="s">
        <v>1132</v>
      </c>
      <c r="AO605" t="s">
        <v>4121</v>
      </c>
      <c r="AP605" t="s">
        <v>74</v>
      </c>
      <c r="AQ605" t="s">
        <v>74</v>
      </c>
      <c r="AR605" t="s">
        <v>4122</v>
      </c>
      <c r="AS605" t="s">
        <v>4123</v>
      </c>
      <c r="AT605" t="s">
        <v>11757</v>
      </c>
      <c r="AU605">
        <v>2018</v>
      </c>
      <c r="AV605">
        <v>8</v>
      </c>
      <c r="AW605" t="s">
        <v>74</v>
      </c>
      <c r="AX605" t="s">
        <v>74</v>
      </c>
      <c r="AY605" t="s">
        <v>74</v>
      </c>
      <c r="AZ605" t="s">
        <v>74</v>
      </c>
      <c r="BA605" t="s">
        <v>74</v>
      </c>
      <c r="BB605" t="s">
        <v>74</v>
      </c>
      <c r="BC605" t="s">
        <v>74</v>
      </c>
      <c r="BD605">
        <v>11353</v>
      </c>
      <c r="BE605" t="s">
        <v>11811</v>
      </c>
      <c r="BF605" t="str">
        <f>HYPERLINK("http://dx.doi.org/10.1038/s41598-018-29684-0","http://dx.doi.org/10.1038/s41598-018-29684-0")</f>
        <v>http://dx.doi.org/10.1038/s41598-018-29684-0</v>
      </c>
      <c r="BG605" t="s">
        <v>74</v>
      </c>
      <c r="BH605" t="s">
        <v>74</v>
      </c>
      <c r="BI605">
        <v>12</v>
      </c>
      <c r="BJ605" t="s">
        <v>436</v>
      </c>
      <c r="BK605" t="s">
        <v>101</v>
      </c>
      <c r="BL605" t="s">
        <v>437</v>
      </c>
      <c r="BM605" t="s">
        <v>11812</v>
      </c>
      <c r="BN605">
        <v>30054527</v>
      </c>
      <c r="BO605" t="s">
        <v>439</v>
      </c>
      <c r="BP605" t="s">
        <v>74</v>
      </c>
      <c r="BQ605" t="s">
        <v>74</v>
      </c>
      <c r="BR605" t="s">
        <v>104</v>
      </c>
      <c r="BS605" t="s">
        <v>11813</v>
      </c>
      <c r="BT605" t="str">
        <f>HYPERLINK("https%3A%2F%2Fwww.webofscience.com%2Fwos%2Fwoscc%2Ffull-record%2FWOS:000439965800007","View Full Record in Web of Science")</f>
        <v>View Full Record in Web of Science</v>
      </c>
    </row>
    <row r="606" spans="1:72" x14ac:dyDescent="0.15">
      <c r="A606" t="s">
        <v>72</v>
      </c>
      <c r="B606" t="s">
        <v>11814</v>
      </c>
      <c r="C606" t="s">
        <v>74</v>
      </c>
      <c r="D606" t="s">
        <v>74</v>
      </c>
      <c r="E606" t="s">
        <v>74</v>
      </c>
      <c r="F606" t="s">
        <v>11815</v>
      </c>
      <c r="G606" t="s">
        <v>74</v>
      </c>
      <c r="H606" t="s">
        <v>74</v>
      </c>
      <c r="I606" t="s">
        <v>11816</v>
      </c>
      <c r="J606" t="s">
        <v>3366</v>
      </c>
      <c r="K606" t="s">
        <v>74</v>
      </c>
      <c r="L606" t="s">
        <v>74</v>
      </c>
      <c r="M606" t="s">
        <v>78</v>
      </c>
      <c r="N606" t="s">
        <v>79</v>
      </c>
      <c r="O606" t="s">
        <v>74</v>
      </c>
      <c r="P606" t="s">
        <v>74</v>
      </c>
      <c r="Q606" t="s">
        <v>74</v>
      </c>
      <c r="R606" t="s">
        <v>74</v>
      </c>
      <c r="S606" t="s">
        <v>74</v>
      </c>
      <c r="T606" t="s">
        <v>74</v>
      </c>
      <c r="U606" t="s">
        <v>11817</v>
      </c>
      <c r="V606" t="s">
        <v>11818</v>
      </c>
      <c r="W606" t="s">
        <v>11819</v>
      </c>
      <c r="X606" t="s">
        <v>11820</v>
      </c>
      <c r="Y606" t="s">
        <v>11821</v>
      </c>
      <c r="Z606" t="s">
        <v>11822</v>
      </c>
      <c r="AA606" t="s">
        <v>11823</v>
      </c>
      <c r="AB606" t="s">
        <v>11824</v>
      </c>
      <c r="AC606" t="s">
        <v>11825</v>
      </c>
      <c r="AD606" t="s">
        <v>11826</v>
      </c>
      <c r="AE606" t="s">
        <v>11827</v>
      </c>
      <c r="AF606" t="s">
        <v>74</v>
      </c>
      <c r="AG606">
        <v>98</v>
      </c>
      <c r="AH606">
        <v>14</v>
      </c>
      <c r="AI606">
        <v>16</v>
      </c>
      <c r="AJ606">
        <v>1</v>
      </c>
      <c r="AK606">
        <v>19</v>
      </c>
      <c r="AL606" t="s">
        <v>3353</v>
      </c>
      <c r="AM606" t="s">
        <v>3354</v>
      </c>
      <c r="AN606" t="s">
        <v>3355</v>
      </c>
      <c r="AO606" t="s">
        <v>3377</v>
      </c>
      <c r="AP606" t="s">
        <v>3378</v>
      </c>
      <c r="AQ606" t="s">
        <v>74</v>
      </c>
      <c r="AR606" t="s">
        <v>3366</v>
      </c>
      <c r="AS606" t="s">
        <v>3379</v>
      </c>
      <c r="AT606" t="s">
        <v>11828</v>
      </c>
      <c r="AU606">
        <v>2018</v>
      </c>
      <c r="AV606">
        <v>12</v>
      </c>
      <c r="AW606">
        <v>7</v>
      </c>
      <c r="AX606" t="s">
        <v>74</v>
      </c>
      <c r="AY606" t="s">
        <v>74</v>
      </c>
      <c r="AZ606" t="s">
        <v>74</v>
      </c>
      <c r="BA606" t="s">
        <v>74</v>
      </c>
      <c r="BB606">
        <v>2461</v>
      </c>
      <c r="BC606">
        <v>2479</v>
      </c>
      <c r="BD606" t="s">
        <v>74</v>
      </c>
      <c r="BE606" t="s">
        <v>11829</v>
      </c>
      <c r="BF606" t="str">
        <f>HYPERLINK("http://dx.doi.org/10.5194/tc-12-2461-2018","http://dx.doi.org/10.5194/tc-12-2461-2018")</f>
        <v>http://dx.doi.org/10.5194/tc-12-2461-2018</v>
      </c>
      <c r="BG606" t="s">
        <v>74</v>
      </c>
      <c r="BH606" t="s">
        <v>74</v>
      </c>
      <c r="BI606">
        <v>19</v>
      </c>
      <c r="BJ606" t="s">
        <v>208</v>
      </c>
      <c r="BK606" t="s">
        <v>101</v>
      </c>
      <c r="BL606" t="s">
        <v>209</v>
      </c>
      <c r="BM606" t="s">
        <v>11830</v>
      </c>
      <c r="BN606" t="s">
        <v>74</v>
      </c>
      <c r="BO606" t="s">
        <v>11831</v>
      </c>
      <c r="BP606" t="s">
        <v>74</v>
      </c>
      <c r="BQ606" t="s">
        <v>74</v>
      </c>
      <c r="BR606" t="s">
        <v>104</v>
      </c>
      <c r="BS606" t="s">
        <v>11832</v>
      </c>
      <c r="BT606" t="str">
        <f>HYPERLINK("https%3A%2F%2Fwww.webofscience.com%2Fwos%2Fwoscc%2Ffull-record%2FWOS:000439980800001","View Full Record in Web of Science")</f>
        <v>View Full Record in Web of Science</v>
      </c>
    </row>
    <row r="607" spans="1:72" x14ac:dyDescent="0.15">
      <c r="A607" t="s">
        <v>72</v>
      </c>
      <c r="B607" t="s">
        <v>11833</v>
      </c>
      <c r="C607" t="s">
        <v>74</v>
      </c>
      <c r="D607" t="s">
        <v>74</v>
      </c>
      <c r="E607" t="s">
        <v>74</v>
      </c>
      <c r="F607" t="s">
        <v>11834</v>
      </c>
      <c r="G607" t="s">
        <v>74</v>
      </c>
      <c r="H607" t="s">
        <v>74</v>
      </c>
      <c r="I607" t="s">
        <v>11835</v>
      </c>
      <c r="J607" t="s">
        <v>3366</v>
      </c>
      <c r="K607" t="s">
        <v>74</v>
      </c>
      <c r="L607" t="s">
        <v>74</v>
      </c>
      <c r="M607" t="s">
        <v>78</v>
      </c>
      <c r="N607" t="s">
        <v>79</v>
      </c>
      <c r="O607" t="s">
        <v>74</v>
      </c>
      <c r="P607" t="s">
        <v>74</v>
      </c>
      <c r="Q607" t="s">
        <v>74</v>
      </c>
      <c r="R607" t="s">
        <v>74</v>
      </c>
      <c r="S607" t="s">
        <v>74</v>
      </c>
      <c r="T607" t="s">
        <v>74</v>
      </c>
      <c r="U607" t="s">
        <v>11836</v>
      </c>
      <c r="V607" t="s">
        <v>11837</v>
      </c>
      <c r="W607" t="s">
        <v>11838</v>
      </c>
      <c r="X607" t="s">
        <v>11839</v>
      </c>
      <c r="Y607" t="s">
        <v>11840</v>
      </c>
      <c r="Z607" t="s">
        <v>11841</v>
      </c>
      <c r="AA607" t="s">
        <v>11842</v>
      </c>
      <c r="AB607" t="s">
        <v>11843</v>
      </c>
      <c r="AC607" t="s">
        <v>11844</v>
      </c>
      <c r="AD607" t="s">
        <v>11845</v>
      </c>
      <c r="AE607" t="s">
        <v>11846</v>
      </c>
      <c r="AF607" t="s">
        <v>74</v>
      </c>
      <c r="AG607">
        <v>69</v>
      </c>
      <c r="AH607">
        <v>18</v>
      </c>
      <c r="AI607">
        <v>21</v>
      </c>
      <c r="AJ607">
        <v>2</v>
      </c>
      <c r="AK607">
        <v>11</v>
      </c>
      <c r="AL607" t="s">
        <v>3353</v>
      </c>
      <c r="AM607" t="s">
        <v>3354</v>
      </c>
      <c r="AN607" t="s">
        <v>3355</v>
      </c>
      <c r="AO607" t="s">
        <v>3377</v>
      </c>
      <c r="AP607" t="s">
        <v>3378</v>
      </c>
      <c r="AQ607" t="s">
        <v>74</v>
      </c>
      <c r="AR607" t="s">
        <v>3366</v>
      </c>
      <c r="AS607" t="s">
        <v>3379</v>
      </c>
      <c r="AT607" t="s">
        <v>11828</v>
      </c>
      <c r="AU607">
        <v>2018</v>
      </c>
      <c r="AV607">
        <v>12</v>
      </c>
      <c r="AW607">
        <v>7</v>
      </c>
      <c r="AX607" t="s">
        <v>74</v>
      </c>
      <c r="AY607" t="s">
        <v>74</v>
      </c>
      <c r="AZ607" t="s">
        <v>74</v>
      </c>
      <c r="BA607" t="s">
        <v>74</v>
      </c>
      <c r="BB607">
        <v>2481</v>
      </c>
      <c r="BC607">
        <v>2500</v>
      </c>
      <c r="BD607" t="s">
        <v>74</v>
      </c>
      <c r="BE607" t="s">
        <v>11847</v>
      </c>
      <c r="BF607" t="str">
        <f>HYPERLINK("http://dx.doi.org/10.5194/tc-12-2481-2018","http://dx.doi.org/10.5194/tc-12-2481-2018")</f>
        <v>http://dx.doi.org/10.5194/tc-12-2481-2018</v>
      </c>
      <c r="BG607" t="s">
        <v>74</v>
      </c>
      <c r="BH607" t="s">
        <v>74</v>
      </c>
      <c r="BI607">
        <v>20</v>
      </c>
      <c r="BJ607" t="s">
        <v>208</v>
      </c>
      <c r="BK607" t="s">
        <v>101</v>
      </c>
      <c r="BL607" t="s">
        <v>209</v>
      </c>
      <c r="BM607" t="s">
        <v>11830</v>
      </c>
      <c r="BN607" t="s">
        <v>74</v>
      </c>
      <c r="BO607" t="s">
        <v>3382</v>
      </c>
      <c r="BP607" t="s">
        <v>74</v>
      </c>
      <c r="BQ607" t="s">
        <v>74</v>
      </c>
      <c r="BR607" t="s">
        <v>104</v>
      </c>
      <c r="BS607" t="s">
        <v>11848</v>
      </c>
      <c r="BT607" t="str">
        <f>HYPERLINK("https%3A%2F%2Fwww.webofscience.com%2Fwos%2Fwoscc%2Ffull-record%2FWOS:000439980800002","View Full Record in Web of Science")</f>
        <v>View Full Record in Web of Science</v>
      </c>
    </row>
    <row r="608" spans="1:72" x14ac:dyDescent="0.15">
      <c r="A608" t="s">
        <v>72</v>
      </c>
      <c r="B608" t="s">
        <v>11849</v>
      </c>
      <c r="C608" t="s">
        <v>74</v>
      </c>
      <c r="D608" t="s">
        <v>74</v>
      </c>
      <c r="E608" t="s">
        <v>74</v>
      </c>
      <c r="F608" t="s">
        <v>11850</v>
      </c>
      <c r="G608" t="s">
        <v>74</v>
      </c>
      <c r="H608" t="s">
        <v>74</v>
      </c>
      <c r="I608" t="s">
        <v>11851</v>
      </c>
      <c r="J608" t="s">
        <v>4579</v>
      </c>
      <c r="K608" t="s">
        <v>74</v>
      </c>
      <c r="L608" t="s">
        <v>74</v>
      </c>
      <c r="M608" t="s">
        <v>78</v>
      </c>
      <c r="N608" t="s">
        <v>79</v>
      </c>
      <c r="O608" t="s">
        <v>74</v>
      </c>
      <c r="P608" t="s">
        <v>74</v>
      </c>
      <c r="Q608" t="s">
        <v>74</v>
      </c>
      <c r="R608" t="s">
        <v>74</v>
      </c>
      <c r="S608" t="s">
        <v>74</v>
      </c>
      <c r="T608" t="s">
        <v>74</v>
      </c>
      <c r="U608" t="s">
        <v>11852</v>
      </c>
      <c r="V608" t="s">
        <v>11853</v>
      </c>
      <c r="W608" t="s">
        <v>11854</v>
      </c>
      <c r="X608" t="s">
        <v>1871</v>
      </c>
      <c r="Y608" t="s">
        <v>11855</v>
      </c>
      <c r="Z608" t="s">
        <v>11856</v>
      </c>
      <c r="AA608" t="s">
        <v>74</v>
      </c>
      <c r="AB608" t="s">
        <v>11857</v>
      </c>
      <c r="AC608" t="s">
        <v>11858</v>
      </c>
      <c r="AD608" t="s">
        <v>11859</v>
      </c>
      <c r="AE608" t="s">
        <v>11860</v>
      </c>
      <c r="AF608" t="s">
        <v>74</v>
      </c>
      <c r="AG608">
        <v>55</v>
      </c>
      <c r="AH608">
        <v>5</v>
      </c>
      <c r="AI608">
        <v>5</v>
      </c>
      <c r="AJ608">
        <v>0</v>
      </c>
      <c r="AK608">
        <v>5</v>
      </c>
      <c r="AL608" t="s">
        <v>3353</v>
      </c>
      <c r="AM608" t="s">
        <v>3354</v>
      </c>
      <c r="AN608" t="s">
        <v>3355</v>
      </c>
      <c r="AO608" t="s">
        <v>4591</v>
      </c>
      <c r="AP608" t="s">
        <v>74</v>
      </c>
      <c r="AQ608" t="s">
        <v>74</v>
      </c>
      <c r="AR608" t="s">
        <v>4592</v>
      </c>
      <c r="AS608" t="s">
        <v>4593</v>
      </c>
      <c r="AT608" t="s">
        <v>11828</v>
      </c>
      <c r="AU608">
        <v>2018</v>
      </c>
      <c r="AV608">
        <v>14</v>
      </c>
      <c r="AW608">
        <v>4</v>
      </c>
      <c r="AX608" t="s">
        <v>74</v>
      </c>
      <c r="AY608" t="s">
        <v>74</v>
      </c>
      <c r="AZ608" t="s">
        <v>74</v>
      </c>
      <c r="BA608" t="s">
        <v>74</v>
      </c>
      <c r="BB608">
        <v>711</v>
      </c>
      <c r="BC608">
        <v>730</v>
      </c>
      <c r="BD608" t="s">
        <v>74</v>
      </c>
      <c r="BE608" t="s">
        <v>11861</v>
      </c>
      <c r="BF608" t="str">
        <f>HYPERLINK("http://dx.doi.org/10.5194/os-14-711-2018","http://dx.doi.org/10.5194/os-14-711-2018")</f>
        <v>http://dx.doi.org/10.5194/os-14-711-2018</v>
      </c>
      <c r="BG608" t="s">
        <v>74</v>
      </c>
      <c r="BH608" t="s">
        <v>74</v>
      </c>
      <c r="BI608">
        <v>20</v>
      </c>
      <c r="BJ608" t="s">
        <v>2765</v>
      </c>
      <c r="BK608" t="s">
        <v>101</v>
      </c>
      <c r="BL608" t="s">
        <v>2765</v>
      </c>
      <c r="BM608" t="s">
        <v>11862</v>
      </c>
      <c r="BN608" t="s">
        <v>74</v>
      </c>
      <c r="BO608" t="s">
        <v>8651</v>
      </c>
      <c r="BP608" t="s">
        <v>74</v>
      </c>
      <c r="BQ608" t="s">
        <v>74</v>
      </c>
      <c r="BR608" t="s">
        <v>104</v>
      </c>
      <c r="BS608" t="s">
        <v>11863</v>
      </c>
      <c r="BT608" t="str">
        <f>HYPERLINK("https%3A%2F%2Fwww.webofscience.com%2Fwos%2Fwoscc%2Ffull-record%2FWOS:000439980300001","View Full Record in Web of Science")</f>
        <v>View Full Record in Web of Science</v>
      </c>
    </row>
    <row r="609" spans="1:72" x14ac:dyDescent="0.15">
      <c r="A609" t="s">
        <v>72</v>
      </c>
      <c r="B609" t="s">
        <v>11864</v>
      </c>
      <c r="C609" t="s">
        <v>74</v>
      </c>
      <c r="D609" t="s">
        <v>74</v>
      </c>
      <c r="E609" t="s">
        <v>74</v>
      </c>
      <c r="F609" t="s">
        <v>11865</v>
      </c>
      <c r="G609" t="s">
        <v>74</v>
      </c>
      <c r="H609" t="s">
        <v>74</v>
      </c>
      <c r="I609" t="s">
        <v>11866</v>
      </c>
      <c r="J609" t="s">
        <v>3543</v>
      </c>
      <c r="K609" t="s">
        <v>74</v>
      </c>
      <c r="L609" t="s">
        <v>74</v>
      </c>
      <c r="M609" t="s">
        <v>78</v>
      </c>
      <c r="N609" t="s">
        <v>79</v>
      </c>
      <c r="O609" t="s">
        <v>74</v>
      </c>
      <c r="P609" t="s">
        <v>74</v>
      </c>
      <c r="Q609" t="s">
        <v>74</v>
      </c>
      <c r="R609" t="s">
        <v>74</v>
      </c>
      <c r="S609" t="s">
        <v>74</v>
      </c>
      <c r="T609" t="s">
        <v>74</v>
      </c>
      <c r="U609" t="s">
        <v>11867</v>
      </c>
      <c r="V609" t="s">
        <v>11868</v>
      </c>
      <c r="W609" t="s">
        <v>11869</v>
      </c>
      <c r="X609" t="s">
        <v>11870</v>
      </c>
      <c r="Y609" t="s">
        <v>11871</v>
      </c>
      <c r="Z609" t="s">
        <v>11872</v>
      </c>
      <c r="AA609" t="s">
        <v>11873</v>
      </c>
      <c r="AB609" t="s">
        <v>11874</v>
      </c>
      <c r="AC609" t="s">
        <v>11875</v>
      </c>
      <c r="AD609" t="s">
        <v>11876</v>
      </c>
      <c r="AE609" t="s">
        <v>11877</v>
      </c>
      <c r="AF609" t="s">
        <v>74</v>
      </c>
      <c r="AG609">
        <v>64</v>
      </c>
      <c r="AH609">
        <v>135</v>
      </c>
      <c r="AI609">
        <v>146</v>
      </c>
      <c r="AJ609">
        <v>4</v>
      </c>
      <c r="AK609">
        <v>86</v>
      </c>
      <c r="AL609" t="s">
        <v>1130</v>
      </c>
      <c r="AM609" t="s">
        <v>1131</v>
      </c>
      <c r="AN609" t="s">
        <v>1132</v>
      </c>
      <c r="AO609" t="s">
        <v>3556</v>
      </c>
      <c r="AP609" t="s">
        <v>3557</v>
      </c>
      <c r="AQ609" t="s">
        <v>74</v>
      </c>
      <c r="AR609" t="s">
        <v>3543</v>
      </c>
      <c r="AS609" t="s">
        <v>3558</v>
      </c>
      <c r="AT609" t="s">
        <v>11828</v>
      </c>
      <c r="AU609">
        <v>2018</v>
      </c>
      <c r="AV609">
        <v>559</v>
      </c>
      <c r="AW609">
        <v>7715</v>
      </c>
      <c r="AX609" t="s">
        <v>74</v>
      </c>
      <c r="AY609" t="s">
        <v>74</v>
      </c>
      <c r="AZ609" t="s">
        <v>74</v>
      </c>
      <c r="BA609" t="s">
        <v>74</v>
      </c>
      <c r="BB609">
        <v>603</v>
      </c>
      <c r="BC609" t="s">
        <v>1137</v>
      </c>
      <c r="BD609" t="s">
        <v>74</v>
      </c>
      <c r="BE609" t="s">
        <v>11878</v>
      </c>
      <c r="BF609" t="str">
        <f>HYPERLINK("http://dx.doi.org/10.1038/s41586-018-0335-4","http://dx.doi.org/10.1038/s41586-018-0335-4")</f>
        <v>http://dx.doi.org/10.1038/s41586-018-0335-4</v>
      </c>
      <c r="BG609" t="s">
        <v>74</v>
      </c>
      <c r="BH609" t="s">
        <v>74</v>
      </c>
      <c r="BI609">
        <v>18</v>
      </c>
      <c r="BJ609" t="s">
        <v>436</v>
      </c>
      <c r="BK609" t="s">
        <v>101</v>
      </c>
      <c r="BL609" t="s">
        <v>437</v>
      </c>
      <c r="BM609" t="s">
        <v>11879</v>
      </c>
      <c r="BN609">
        <v>30046076</v>
      </c>
      <c r="BO609" t="s">
        <v>211</v>
      </c>
      <c r="BP609" t="s">
        <v>74</v>
      </c>
      <c r="BQ609" t="s">
        <v>74</v>
      </c>
      <c r="BR609" t="s">
        <v>104</v>
      </c>
      <c r="BS609" t="s">
        <v>11880</v>
      </c>
      <c r="BT609" t="str">
        <f>HYPERLINK("https%3A%2F%2Fwww.webofscience.com%2Fwos%2Fwoscc%2Ffull-record%2FWOS:000439850800054","View Full Record in Web of Science")</f>
        <v>View Full Record in Web of Science</v>
      </c>
    </row>
    <row r="610" spans="1:72" x14ac:dyDescent="0.15">
      <c r="A610" t="s">
        <v>72</v>
      </c>
      <c r="B610" t="s">
        <v>11881</v>
      </c>
      <c r="C610" t="s">
        <v>74</v>
      </c>
      <c r="D610" t="s">
        <v>74</v>
      </c>
      <c r="E610" t="s">
        <v>74</v>
      </c>
      <c r="F610" t="s">
        <v>11882</v>
      </c>
      <c r="G610" t="s">
        <v>74</v>
      </c>
      <c r="H610" t="s">
        <v>74</v>
      </c>
      <c r="I610" t="s">
        <v>11883</v>
      </c>
      <c r="J610" t="s">
        <v>8546</v>
      </c>
      <c r="K610" t="s">
        <v>74</v>
      </c>
      <c r="L610" t="s">
        <v>74</v>
      </c>
      <c r="M610" t="s">
        <v>78</v>
      </c>
      <c r="N610" t="s">
        <v>79</v>
      </c>
      <c r="O610" t="s">
        <v>74</v>
      </c>
      <c r="P610" t="s">
        <v>74</v>
      </c>
      <c r="Q610" t="s">
        <v>74</v>
      </c>
      <c r="R610" t="s">
        <v>74</v>
      </c>
      <c r="S610" t="s">
        <v>74</v>
      </c>
      <c r="T610" t="s">
        <v>74</v>
      </c>
      <c r="U610" t="s">
        <v>11884</v>
      </c>
      <c r="V610" t="s">
        <v>11885</v>
      </c>
      <c r="W610" t="s">
        <v>11886</v>
      </c>
      <c r="X610" t="s">
        <v>11887</v>
      </c>
      <c r="Y610" t="s">
        <v>11888</v>
      </c>
      <c r="Z610" t="s">
        <v>11889</v>
      </c>
      <c r="AA610" t="s">
        <v>11890</v>
      </c>
      <c r="AB610" t="s">
        <v>11891</v>
      </c>
      <c r="AC610" t="s">
        <v>11892</v>
      </c>
      <c r="AD610" t="s">
        <v>11893</v>
      </c>
      <c r="AE610" t="s">
        <v>11894</v>
      </c>
      <c r="AF610" t="s">
        <v>74</v>
      </c>
      <c r="AG610">
        <v>66</v>
      </c>
      <c r="AH610">
        <v>12</v>
      </c>
      <c r="AI610">
        <v>15</v>
      </c>
      <c r="AJ610">
        <v>0</v>
      </c>
      <c r="AK610">
        <v>6</v>
      </c>
      <c r="AL610" t="s">
        <v>3353</v>
      </c>
      <c r="AM610" t="s">
        <v>3354</v>
      </c>
      <c r="AN610" t="s">
        <v>3355</v>
      </c>
      <c r="AO610" t="s">
        <v>8558</v>
      </c>
      <c r="AP610" t="s">
        <v>8559</v>
      </c>
      <c r="AQ610" t="s">
        <v>74</v>
      </c>
      <c r="AR610" t="s">
        <v>8560</v>
      </c>
      <c r="AS610" t="s">
        <v>8561</v>
      </c>
      <c r="AT610" t="s">
        <v>11895</v>
      </c>
      <c r="AU610">
        <v>2018</v>
      </c>
      <c r="AV610">
        <v>11</v>
      </c>
      <c r="AW610">
        <v>7</v>
      </c>
      <c r="AX610" t="s">
        <v>74</v>
      </c>
      <c r="AY610" t="s">
        <v>74</v>
      </c>
      <c r="AZ610" t="s">
        <v>74</v>
      </c>
      <c r="BA610" t="s">
        <v>74</v>
      </c>
      <c r="BB610">
        <v>4435</v>
      </c>
      <c r="BC610">
        <v>4463</v>
      </c>
      <c r="BD610" t="s">
        <v>74</v>
      </c>
      <c r="BE610" t="s">
        <v>11896</v>
      </c>
      <c r="BF610" t="str">
        <f>HYPERLINK("http://dx.doi.org/10.5194/amt-11-4435-2018","http://dx.doi.org/10.5194/amt-11-4435-2018")</f>
        <v>http://dx.doi.org/10.5194/amt-11-4435-2018</v>
      </c>
      <c r="BG610" t="s">
        <v>74</v>
      </c>
      <c r="BH610" t="s">
        <v>74</v>
      </c>
      <c r="BI610">
        <v>29</v>
      </c>
      <c r="BJ610" t="s">
        <v>369</v>
      </c>
      <c r="BK610" t="s">
        <v>101</v>
      </c>
      <c r="BL610" t="s">
        <v>369</v>
      </c>
      <c r="BM610" t="s">
        <v>11897</v>
      </c>
      <c r="BN610" t="s">
        <v>74</v>
      </c>
      <c r="BO610" t="s">
        <v>4168</v>
      </c>
      <c r="BP610" t="s">
        <v>74</v>
      </c>
      <c r="BQ610" t="s">
        <v>74</v>
      </c>
      <c r="BR610" t="s">
        <v>104</v>
      </c>
      <c r="BS610" t="s">
        <v>11898</v>
      </c>
      <c r="BT610" t="str">
        <f>HYPERLINK("https%3A%2F%2Fwww.webofscience.com%2Fwos%2Fwoscc%2Ffull-record%2FWOS:000439842200004","View Full Record in Web of Science")</f>
        <v>View Full Record in Web of Science</v>
      </c>
    </row>
    <row r="611" spans="1:72" x14ac:dyDescent="0.15">
      <c r="A611" t="s">
        <v>72</v>
      </c>
      <c r="B611" t="s">
        <v>11899</v>
      </c>
      <c r="C611" t="s">
        <v>74</v>
      </c>
      <c r="D611" t="s">
        <v>74</v>
      </c>
      <c r="E611" t="s">
        <v>74</v>
      </c>
      <c r="F611" t="s">
        <v>11900</v>
      </c>
      <c r="G611" t="s">
        <v>74</v>
      </c>
      <c r="H611" t="s">
        <v>74</v>
      </c>
      <c r="I611" t="s">
        <v>11901</v>
      </c>
      <c r="J611" t="s">
        <v>3366</v>
      </c>
      <c r="K611" t="s">
        <v>74</v>
      </c>
      <c r="L611" t="s">
        <v>74</v>
      </c>
      <c r="M611" t="s">
        <v>78</v>
      </c>
      <c r="N611" t="s">
        <v>79</v>
      </c>
      <c r="O611" t="s">
        <v>74</v>
      </c>
      <c r="P611" t="s">
        <v>74</v>
      </c>
      <c r="Q611" t="s">
        <v>74</v>
      </c>
      <c r="R611" t="s">
        <v>74</v>
      </c>
      <c r="S611" t="s">
        <v>74</v>
      </c>
      <c r="T611" t="s">
        <v>74</v>
      </c>
      <c r="U611" t="s">
        <v>11902</v>
      </c>
      <c r="V611" t="s">
        <v>11903</v>
      </c>
      <c r="W611" t="s">
        <v>11904</v>
      </c>
      <c r="X611" t="s">
        <v>11905</v>
      </c>
      <c r="Y611" t="s">
        <v>11906</v>
      </c>
      <c r="Z611" t="s">
        <v>11907</v>
      </c>
      <c r="AA611" t="s">
        <v>11908</v>
      </c>
      <c r="AB611" t="s">
        <v>11909</v>
      </c>
      <c r="AC611" t="s">
        <v>11910</v>
      </c>
      <c r="AD611" t="s">
        <v>11911</v>
      </c>
      <c r="AE611" t="s">
        <v>11912</v>
      </c>
      <c r="AF611" t="s">
        <v>74</v>
      </c>
      <c r="AG611">
        <v>33</v>
      </c>
      <c r="AH611">
        <v>27</v>
      </c>
      <c r="AI611">
        <v>28</v>
      </c>
      <c r="AJ611">
        <v>0</v>
      </c>
      <c r="AK611">
        <v>6</v>
      </c>
      <c r="AL611" t="s">
        <v>3353</v>
      </c>
      <c r="AM611" t="s">
        <v>3354</v>
      </c>
      <c r="AN611" t="s">
        <v>3355</v>
      </c>
      <c r="AO611" t="s">
        <v>3377</v>
      </c>
      <c r="AP611" t="s">
        <v>3378</v>
      </c>
      <c r="AQ611" t="s">
        <v>74</v>
      </c>
      <c r="AR611" t="s">
        <v>3366</v>
      </c>
      <c r="AS611" t="s">
        <v>3379</v>
      </c>
      <c r="AT611" t="s">
        <v>11895</v>
      </c>
      <c r="AU611">
        <v>2018</v>
      </c>
      <c r="AV611">
        <v>12</v>
      </c>
      <c r="AW611">
        <v>7</v>
      </c>
      <c r="AX611" t="s">
        <v>74</v>
      </c>
      <c r="AY611" t="s">
        <v>74</v>
      </c>
      <c r="AZ611" t="s">
        <v>74</v>
      </c>
      <c r="BA611" t="s">
        <v>74</v>
      </c>
      <c r="BB611">
        <v>2413</v>
      </c>
      <c r="BC611">
        <v>2424</v>
      </c>
      <c r="BD611" t="s">
        <v>74</v>
      </c>
      <c r="BE611" t="s">
        <v>11913</v>
      </c>
      <c r="BF611" t="str">
        <f>HYPERLINK("http://dx.doi.org/10.5194/tc-12-2413-2018","http://dx.doi.org/10.5194/tc-12-2413-2018")</f>
        <v>http://dx.doi.org/10.5194/tc-12-2413-2018</v>
      </c>
      <c r="BG611" t="s">
        <v>74</v>
      </c>
      <c r="BH611" t="s">
        <v>74</v>
      </c>
      <c r="BI611">
        <v>12</v>
      </c>
      <c r="BJ611" t="s">
        <v>208</v>
      </c>
      <c r="BK611" t="s">
        <v>101</v>
      </c>
      <c r="BL611" t="s">
        <v>209</v>
      </c>
      <c r="BM611" t="s">
        <v>11914</v>
      </c>
      <c r="BN611" t="s">
        <v>74</v>
      </c>
      <c r="BO611" t="s">
        <v>1524</v>
      </c>
      <c r="BP611" t="s">
        <v>74</v>
      </c>
      <c r="BQ611" t="s">
        <v>74</v>
      </c>
      <c r="BR611" t="s">
        <v>104</v>
      </c>
      <c r="BS611" t="s">
        <v>11915</v>
      </c>
      <c r="BT611" t="str">
        <f>HYPERLINK("https%3A%2F%2Fwww.webofscience.com%2Fwos%2Fwoscc%2Ffull-record%2FWOS:000439845800001","View Full Record in Web of Science")</f>
        <v>View Full Record in Web of Science</v>
      </c>
    </row>
    <row r="612" spans="1:72" x14ac:dyDescent="0.15">
      <c r="A612" t="s">
        <v>72</v>
      </c>
      <c r="B612" t="s">
        <v>11916</v>
      </c>
      <c r="C612" t="s">
        <v>74</v>
      </c>
      <c r="D612" t="s">
        <v>74</v>
      </c>
      <c r="E612" t="s">
        <v>74</v>
      </c>
      <c r="F612" t="s">
        <v>11917</v>
      </c>
      <c r="G612" t="s">
        <v>74</v>
      </c>
      <c r="H612" t="s">
        <v>74</v>
      </c>
      <c r="I612" t="s">
        <v>11918</v>
      </c>
      <c r="J612" t="s">
        <v>3366</v>
      </c>
      <c r="K612" t="s">
        <v>74</v>
      </c>
      <c r="L612" t="s">
        <v>74</v>
      </c>
      <c r="M612" t="s">
        <v>78</v>
      </c>
      <c r="N612" t="s">
        <v>79</v>
      </c>
      <c r="O612" t="s">
        <v>74</v>
      </c>
      <c r="P612" t="s">
        <v>74</v>
      </c>
      <c r="Q612" t="s">
        <v>74</v>
      </c>
      <c r="R612" t="s">
        <v>74</v>
      </c>
      <c r="S612" t="s">
        <v>74</v>
      </c>
      <c r="T612" t="s">
        <v>74</v>
      </c>
      <c r="U612" t="s">
        <v>11919</v>
      </c>
      <c r="V612" t="s">
        <v>11920</v>
      </c>
      <c r="W612" t="s">
        <v>11921</v>
      </c>
      <c r="X612" t="s">
        <v>11922</v>
      </c>
      <c r="Y612" t="s">
        <v>11923</v>
      </c>
      <c r="Z612" t="s">
        <v>11924</v>
      </c>
      <c r="AA612" t="s">
        <v>11925</v>
      </c>
      <c r="AB612" t="s">
        <v>11926</v>
      </c>
      <c r="AC612" t="s">
        <v>11927</v>
      </c>
      <c r="AD612" t="s">
        <v>11928</v>
      </c>
      <c r="AE612" t="s">
        <v>11929</v>
      </c>
      <c r="AF612" t="s">
        <v>74</v>
      </c>
      <c r="AG612">
        <v>36</v>
      </c>
      <c r="AH612">
        <v>1</v>
      </c>
      <c r="AI612">
        <v>1</v>
      </c>
      <c r="AJ612">
        <v>0</v>
      </c>
      <c r="AK612">
        <v>2</v>
      </c>
      <c r="AL612" t="s">
        <v>3353</v>
      </c>
      <c r="AM612" t="s">
        <v>3354</v>
      </c>
      <c r="AN612" t="s">
        <v>3355</v>
      </c>
      <c r="AO612" t="s">
        <v>3377</v>
      </c>
      <c r="AP612" t="s">
        <v>3378</v>
      </c>
      <c r="AQ612" t="s">
        <v>74</v>
      </c>
      <c r="AR612" t="s">
        <v>3366</v>
      </c>
      <c r="AS612" t="s">
        <v>3379</v>
      </c>
      <c r="AT612" t="s">
        <v>11895</v>
      </c>
      <c r="AU612">
        <v>2018</v>
      </c>
      <c r="AV612">
        <v>12</v>
      </c>
      <c r="AW612">
        <v>7</v>
      </c>
      <c r="AX612" t="s">
        <v>74</v>
      </c>
      <c r="AY612" t="s">
        <v>74</v>
      </c>
      <c r="AZ612" t="s">
        <v>74</v>
      </c>
      <c r="BA612" t="s">
        <v>74</v>
      </c>
      <c r="BB612">
        <v>2425</v>
      </c>
      <c r="BC612">
        <v>2436</v>
      </c>
      <c r="BD612" t="s">
        <v>74</v>
      </c>
      <c r="BE612" t="s">
        <v>11930</v>
      </c>
      <c r="BF612" t="str">
        <f>HYPERLINK("http://dx.doi.org/10.5194/tc-12-2425-2018","http://dx.doi.org/10.5194/tc-12-2425-2018")</f>
        <v>http://dx.doi.org/10.5194/tc-12-2425-2018</v>
      </c>
      <c r="BG612" t="s">
        <v>74</v>
      </c>
      <c r="BH612" t="s">
        <v>74</v>
      </c>
      <c r="BI612">
        <v>12</v>
      </c>
      <c r="BJ612" t="s">
        <v>208</v>
      </c>
      <c r="BK612" t="s">
        <v>101</v>
      </c>
      <c r="BL612" t="s">
        <v>209</v>
      </c>
      <c r="BM612" t="s">
        <v>11914</v>
      </c>
      <c r="BN612" t="s">
        <v>74</v>
      </c>
      <c r="BO612" t="s">
        <v>11831</v>
      </c>
      <c r="BP612" t="s">
        <v>74</v>
      </c>
      <c r="BQ612" t="s">
        <v>74</v>
      </c>
      <c r="BR612" t="s">
        <v>104</v>
      </c>
      <c r="BS612" t="s">
        <v>11931</v>
      </c>
      <c r="BT612" t="str">
        <f>HYPERLINK("https%3A%2F%2Fwww.webofscience.com%2Fwos%2Fwoscc%2Ffull-record%2FWOS:000439845800002","View Full Record in Web of Science")</f>
        <v>View Full Record in Web of Science</v>
      </c>
    </row>
    <row r="613" spans="1:72" x14ac:dyDescent="0.15">
      <c r="A613" t="s">
        <v>72</v>
      </c>
      <c r="B613" t="s">
        <v>11932</v>
      </c>
      <c r="C613" t="s">
        <v>74</v>
      </c>
      <c r="D613" t="s">
        <v>74</v>
      </c>
      <c r="E613" t="s">
        <v>74</v>
      </c>
      <c r="F613" t="s">
        <v>11933</v>
      </c>
      <c r="G613" t="s">
        <v>74</v>
      </c>
      <c r="H613" t="s">
        <v>74</v>
      </c>
      <c r="I613" t="s">
        <v>11934</v>
      </c>
      <c r="J613" t="s">
        <v>3341</v>
      </c>
      <c r="K613" t="s">
        <v>74</v>
      </c>
      <c r="L613" t="s">
        <v>74</v>
      </c>
      <c r="M613" t="s">
        <v>78</v>
      </c>
      <c r="N613" t="s">
        <v>79</v>
      </c>
      <c r="O613" t="s">
        <v>74</v>
      </c>
      <c r="P613" t="s">
        <v>74</v>
      </c>
      <c r="Q613" t="s">
        <v>74</v>
      </c>
      <c r="R613" t="s">
        <v>74</v>
      </c>
      <c r="S613" t="s">
        <v>74</v>
      </c>
      <c r="T613" t="s">
        <v>74</v>
      </c>
      <c r="U613" t="s">
        <v>11935</v>
      </c>
      <c r="V613" t="s">
        <v>11936</v>
      </c>
      <c r="W613" t="s">
        <v>11937</v>
      </c>
      <c r="X613" t="s">
        <v>11938</v>
      </c>
      <c r="Y613" t="s">
        <v>11939</v>
      </c>
      <c r="Z613" t="s">
        <v>11940</v>
      </c>
      <c r="AA613" t="s">
        <v>11941</v>
      </c>
      <c r="AB613" t="s">
        <v>11942</v>
      </c>
      <c r="AC613" t="s">
        <v>11943</v>
      </c>
      <c r="AD613" t="s">
        <v>11944</v>
      </c>
      <c r="AE613" t="s">
        <v>11945</v>
      </c>
      <c r="AF613" t="s">
        <v>74</v>
      </c>
      <c r="AG613">
        <v>63</v>
      </c>
      <c r="AH613">
        <v>124</v>
      </c>
      <c r="AI613">
        <v>133</v>
      </c>
      <c r="AJ613">
        <v>5</v>
      </c>
      <c r="AK613">
        <v>28</v>
      </c>
      <c r="AL613" t="s">
        <v>3353</v>
      </c>
      <c r="AM613" t="s">
        <v>3354</v>
      </c>
      <c r="AN613" t="s">
        <v>3355</v>
      </c>
      <c r="AO613" t="s">
        <v>3356</v>
      </c>
      <c r="AP613" t="s">
        <v>3357</v>
      </c>
      <c r="AQ613" t="s">
        <v>74</v>
      </c>
      <c r="AR613" t="s">
        <v>3358</v>
      </c>
      <c r="AS613" t="s">
        <v>3359</v>
      </c>
      <c r="AT613" t="s">
        <v>11895</v>
      </c>
      <c r="AU613">
        <v>2018</v>
      </c>
      <c r="AV613">
        <v>11</v>
      </c>
      <c r="AW613">
        <v>7</v>
      </c>
      <c r="AX613" t="s">
        <v>74</v>
      </c>
      <c r="AY613" t="s">
        <v>74</v>
      </c>
      <c r="AZ613" t="s">
        <v>74</v>
      </c>
      <c r="BA613" t="s">
        <v>74</v>
      </c>
      <c r="BB613">
        <v>2975</v>
      </c>
      <c r="BC613">
        <v>2993</v>
      </c>
      <c r="BD613" t="s">
        <v>74</v>
      </c>
      <c r="BE613" t="s">
        <v>11946</v>
      </c>
      <c r="BF613" t="str">
        <f>HYPERLINK("http://dx.doi.org/10.5194/gmd-11-2975-2018","http://dx.doi.org/10.5194/gmd-11-2975-2018")</f>
        <v>http://dx.doi.org/10.5194/gmd-11-2975-2018</v>
      </c>
      <c r="BG613" t="s">
        <v>74</v>
      </c>
      <c r="BH613" t="s">
        <v>74</v>
      </c>
      <c r="BI613">
        <v>19</v>
      </c>
      <c r="BJ613" t="s">
        <v>182</v>
      </c>
      <c r="BK613" t="s">
        <v>101</v>
      </c>
      <c r="BL613" t="s">
        <v>183</v>
      </c>
      <c r="BM613" t="s">
        <v>11947</v>
      </c>
      <c r="BN613" t="s">
        <v>74</v>
      </c>
      <c r="BO613" t="s">
        <v>3382</v>
      </c>
      <c r="BP613" t="s">
        <v>74</v>
      </c>
      <c r="BQ613" t="s">
        <v>74</v>
      </c>
      <c r="BR613" t="s">
        <v>104</v>
      </c>
      <c r="BS613" t="s">
        <v>11948</v>
      </c>
      <c r="BT613" t="str">
        <f>HYPERLINK("https%3A%2F%2Fwww.webofscience.com%2Fwos%2Fwoscc%2Ffull-record%2FWOS:000439912600001","View Full Record in Web of Science")</f>
        <v>View Full Record in Web of Science</v>
      </c>
    </row>
    <row r="614" spans="1:72" x14ac:dyDescent="0.15">
      <c r="A614" t="s">
        <v>72</v>
      </c>
      <c r="B614" t="s">
        <v>11949</v>
      </c>
      <c r="C614" t="s">
        <v>74</v>
      </c>
      <c r="D614" t="s">
        <v>74</v>
      </c>
      <c r="E614" t="s">
        <v>74</v>
      </c>
      <c r="F614" t="s">
        <v>11950</v>
      </c>
      <c r="G614" t="s">
        <v>74</v>
      </c>
      <c r="H614" t="s">
        <v>74</v>
      </c>
      <c r="I614" t="s">
        <v>11951</v>
      </c>
      <c r="J614" t="s">
        <v>3366</v>
      </c>
      <c r="K614" t="s">
        <v>74</v>
      </c>
      <c r="L614" t="s">
        <v>74</v>
      </c>
      <c r="M614" t="s">
        <v>78</v>
      </c>
      <c r="N614" t="s">
        <v>79</v>
      </c>
      <c r="O614" t="s">
        <v>74</v>
      </c>
      <c r="P614" t="s">
        <v>74</v>
      </c>
      <c r="Q614" t="s">
        <v>74</v>
      </c>
      <c r="R614" t="s">
        <v>74</v>
      </c>
      <c r="S614" t="s">
        <v>74</v>
      </c>
      <c r="T614" t="s">
        <v>74</v>
      </c>
      <c r="U614" t="s">
        <v>11952</v>
      </c>
      <c r="V614" t="s">
        <v>11953</v>
      </c>
      <c r="W614" t="s">
        <v>11954</v>
      </c>
      <c r="X614" t="s">
        <v>11955</v>
      </c>
      <c r="Y614" t="s">
        <v>11956</v>
      </c>
      <c r="Z614" t="s">
        <v>11957</v>
      </c>
      <c r="AA614" t="s">
        <v>11958</v>
      </c>
      <c r="AB614" t="s">
        <v>11959</v>
      </c>
      <c r="AC614" t="s">
        <v>11960</v>
      </c>
      <c r="AD614" t="s">
        <v>11960</v>
      </c>
      <c r="AE614" t="s">
        <v>11961</v>
      </c>
      <c r="AF614" t="s">
        <v>74</v>
      </c>
      <c r="AG614">
        <v>56</v>
      </c>
      <c r="AH614">
        <v>53</v>
      </c>
      <c r="AI614">
        <v>55</v>
      </c>
      <c r="AJ614">
        <v>3</v>
      </c>
      <c r="AK614">
        <v>16</v>
      </c>
      <c r="AL614" t="s">
        <v>3353</v>
      </c>
      <c r="AM614" t="s">
        <v>3354</v>
      </c>
      <c r="AN614" t="s">
        <v>3355</v>
      </c>
      <c r="AO614" t="s">
        <v>3377</v>
      </c>
      <c r="AP614" t="s">
        <v>3378</v>
      </c>
      <c r="AQ614" t="s">
        <v>74</v>
      </c>
      <c r="AR614" t="s">
        <v>3366</v>
      </c>
      <c r="AS614" t="s">
        <v>3379</v>
      </c>
      <c r="AT614" t="s">
        <v>11895</v>
      </c>
      <c r="AU614">
        <v>2018</v>
      </c>
      <c r="AV614">
        <v>12</v>
      </c>
      <c r="AW614">
        <v>7</v>
      </c>
      <c r="AX614" t="s">
        <v>74</v>
      </c>
      <c r="AY614" t="s">
        <v>74</v>
      </c>
      <c r="AZ614" t="s">
        <v>74</v>
      </c>
      <c r="BA614" t="s">
        <v>74</v>
      </c>
      <c r="BB614">
        <v>2437</v>
      </c>
      <c r="BC614">
        <v>2460</v>
      </c>
      <c r="BD614" t="s">
        <v>74</v>
      </c>
      <c r="BE614" t="s">
        <v>11962</v>
      </c>
      <c r="BF614" t="str">
        <f>HYPERLINK("http://dx.doi.org/10.5194/tc-12-2437-2018","http://dx.doi.org/10.5194/tc-12-2437-2018")</f>
        <v>http://dx.doi.org/10.5194/tc-12-2437-2018</v>
      </c>
      <c r="BG614" t="s">
        <v>74</v>
      </c>
      <c r="BH614" t="s">
        <v>74</v>
      </c>
      <c r="BI614">
        <v>24</v>
      </c>
      <c r="BJ614" t="s">
        <v>208</v>
      </c>
      <c r="BK614" t="s">
        <v>101</v>
      </c>
      <c r="BL614" t="s">
        <v>209</v>
      </c>
      <c r="BM614" t="s">
        <v>11914</v>
      </c>
      <c r="BN614" t="s">
        <v>74</v>
      </c>
      <c r="BO614" t="s">
        <v>1524</v>
      </c>
      <c r="BP614" t="s">
        <v>74</v>
      </c>
      <c r="BQ614" t="s">
        <v>74</v>
      </c>
      <c r="BR614" t="s">
        <v>104</v>
      </c>
      <c r="BS614" t="s">
        <v>11963</v>
      </c>
      <c r="BT614" t="str">
        <f>HYPERLINK("https%3A%2F%2Fwww.webofscience.com%2Fwos%2Fwoscc%2Ffull-record%2FWOS:000439845800003","View Full Record in Web of Science")</f>
        <v>View Full Record in Web of Science</v>
      </c>
    </row>
    <row r="615" spans="1:72" x14ac:dyDescent="0.15">
      <c r="A615" t="s">
        <v>72</v>
      </c>
      <c r="B615" t="s">
        <v>11964</v>
      </c>
      <c r="C615" t="s">
        <v>74</v>
      </c>
      <c r="D615" t="s">
        <v>74</v>
      </c>
      <c r="E615" t="s">
        <v>74</v>
      </c>
      <c r="F615" t="s">
        <v>11965</v>
      </c>
      <c r="G615" t="s">
        <v>74</v>
      </c>
      <c r="H615" t="s">
        <v>74</v>
      </c>
      <c r="I615" t="s">
        <v>11966</v>
      </c>
      <c r="J615" t="s">
        <v>3366</v>
      </c>
      <c r="K615" t="s">
        <v>74</v>
      </c>
      <c r="L615" t="s">
        <v>74</v>
      </c>
      <c r="M615" t="s">
        <v>78</v>
      </c>
      <c r="N615" t="s">
        <v>79</v>
      </c>
      <c r="O615" t="s">
        <v>74</v>
      </c>
      <c r="P615" t="s">
        <v>74</v>
      </c>
      <c r="Q615" t="s">
        <v>74</v>
      </c>
      <c r="R615" t="s">
        <v>74</v>
      </c>
      <c r="S615" t="s">
        <v>74</v>
      </c>
      <c r="T615" t="s">
        <v>74</v>
      </c>
      <c r="U615" t="s">
        <v>11967</v>
      </c>
      <c r="V615" t="s">
        <v>11968</v>
      </c>
      <c r="W615" t="s">
        <v>11969</v>
      </c>
      <c r="X615" t="s">
        <v>11970</v>
      </c>
      <c r="Y615" t="s">
        <v>11971</v>
      </c>
      <c r="Z615" t="s">
        <v>11972</v>
      </c>
      <c r="AA615" t="s">
        <v>11973</v>
      </c>
      <c r="AB615" t="s">
        <v>11974</v>
      </c>
      <c r="AC615" t="s">
        <v>11975</v>
      </c>
      <c r="AD615" t="s">
        <v>11976</v>
      </c>
      <c r="AE615" t="s">
        <v>11977</v>
      </c>
      <c r="AF615" t="s">
        <v>74</v>
      </c>
      <c r="AG615">
        <v>43</v>
      </c>
      <c r="AH615">
        <v>8</v>
      </c>
      <c r="AI615">
        <v>8</v>
      </c>
      <c r="AJ615">
        <v>4</v>
      </c>
      <c r="AK615">
        <v>15</v>
      </c>
      <c r="AL615" t="s">
        <v>3353</v>
      </c>
      <c r="AM615" t="s">
        <v>3354</v>
      </c>
      <c r="AN615" t="s">
        <v>3355</v>
      </c>
      <c r="AO615" t="s">
        <v>3377</v>
      </c>
      <c r="AP615" t="s">
        <v>3378</v>
      </c>
      <c r="AQ615" t="s">
        <v>74</v>
      </c>
      <c r="AR615" t="s">
        <v>3366</v>
      </c>
      <c r="AS615" t="s">
        <v>3379</v>
      </c>
      <c r="AT615" t="s">
        <v>11978</v>
      </c>
      <c r="AU615">
        <v>2018</v>
      </c>
      <c r="AV615">
        <v>12</v>
      </c>
      <c r="AW615">
        <v>7</v>
      </c>
      <c r="AX615" t="s">
        <v>74</v>
      </c>
      <c r="AY615" t="s">
        <v>74</v>
      </c>
      <c r="AZ615" t="s">
        <v>74</v>
      </c>
      <c r="BA615" t="s">
        <v>74</v>
      </c>
      <c r="BB615">
        <v>2401</v>
      </c>
      <c r="BC615">
        <v>2411</v>
      </c>
      <c r="BD615" t="s">
        <v>74</v>
      </c>
      <c r="BE615" t="s">
        <v>11979</v>
      </c>
      <c r="BF615" t="str">
        <f>HYPERLINK("http://dx.doi.org/10.5194/tc-12-2401-2018","http://dx.doi.org/10.5194/tc-12-2401-2018")</f>
        <v>http://dx.doi.org/10.5194/tc-12-2401-2018</v>
      </c>
      <c r="BG615" t="s">
        <v>74</v>
      </c>
      <c r="BH615" t="s">
        <v>74</v>
      </c>
      <c r="BI615">
        <v>11</v>
      </c>
      <c r="BJ615" t="s">
        <v>208</v>
      </c>
      <c r="BK615" t="s">
        <v>101</v>
      </c>
      <c r="BL615" t="s">
        <v>209</v>
      </c>
      <c r="BM615" t="s">
        <v>11980</v>
      </c>
      <c r="BN615" t="s">
        <v>74</v>
      </c>
      <c r="BO615" t="s">
        <v>3406</v>
      </c>
      <c r="BP615" t="s">
        <v>74</v>
      </c>
      <c r="BQ615" t="s">
        <v>74</v>
      </c>
      <c r="BR615" t="s">
        <v>104</v>
      </c>
      <c r="BS615" t="s">
        <v>11981</v>
      </c>
      <c r="BT615" t="str">
        <f>HYPERLINK("https%3A%2F%2Fwww.webofscience.com%2Fwos%2Fwoscc%2Ffull-record%2FWOS:000439627300001","View Full Record in Web of Science")</f>
        <v>View Full Record in Web of Science</v>
      </c>
    </row>
    <row r="616" spans="1:72" x14ac:dyDescent="0.15">
      <c r="A616" t="s">
        <v>72</v>
      </c>
      <c r="B616" t="s">
        <v>11982</v>
      </c>
      <c r="C616" t="s">
        <v>74</v>
      </c>
      <c r="D616" t="s">
        <v>74</v>
      </c>
      <c r="E616" t="s">
        <v>74</v>
      </c>
      <c r="F616" t="s">
        <v>11983</v>
      </c>
      <c r="G616" t="s">
        <v>74</v>
      </c>
      <c r="H616" t="s">
        <v>74</v>
      </c>
      <c r="I616" t="s">
        <v>11984</v>
      </c>
      <c r="J616" t="s">
        <v>4173</v>
      </c>
      <c r="K616" t="s">
        <v>74</v>
      </c>
      <c r="L616" t="s">
        <v>74</v>
      </c>
      <c r="M616" t="s">
        <v>78</v>
      </c>
      <c r="N616" t="s">
        <v>79</v>
      </c>
      <c r="O616" t="s">
        <v>74</v>
      </c>
      <c r="P616" t="s">
        <v>74</v>
      </c>
      <c r="Q616" t="s">
        <v>74</v>
      </c>
      <c r="R616" t="s">
        <v>74</v>
      </c>
      <c r="S616" t="s">
        <v>74</v>
      </c>
      <c r="T616" t="s">
        <v>11985</v>
      </c>
      <c r="U616" t="s">
        <v>11986</v>
      </c>
      <c r="V616" t="s">
        <v>11987</v>
      </c>
      <c r="W616" t="s">
        <v>11988</v>
      </c>
      <c r="X616" t="s">
        <v>11989</v>
      </c>
      <c r="Y616" t="s">
        <v>11990</v>
      </c>
      <c r="Z616" t="s">
        <v>11991</v>
      </c>
      <c r="AA616" t="s">
        <v>74</v>
      </c>
      <c r="AB616" t="s">
        <v>11992</v>
      </c>
      <c r="AC616" t="s">
        <v>11993</v>
      </c>
      <c r="AD616" t="s">
        <v>11994</v>
      </c>
      <c r="AE616" t="s">
        <v>11995</v>
      </c>
      <c r="AF616" t="s">
        <v>74</v>
      </c>
      <c r="AG616">
        <v>76</v>
      </c>
      <c r="AH616">
        <v>12</v>
      </c>
      <c r="AI616">
        <v>14</v>
      </c>
      <c r="AJ616">
        <v>1</v>
      </c>
      <c r="AK616">
        <v>4</v>
      </c>
      <c r="AL616" t="s">
        <v>3174</v>
      </c>
      <c r="AM616" t="s">
        <v>3175</v>
      </c>
      <c r="AN616" t="s">
        <v>3176</v>
      </c>
      <c r="AO616" t="s">
        <v>74</v>
      </c>
      <c r="AP616" t="s">
        <v>4186</v>
      </c>
      <c r="AQ616" t="s">
        <v>74</v>
      </c>
      <c r="AR616" t="s">
        <v>4187</v>
      </c>
      <c r="AS616" t="s">
        <v>4188</v>
      </c>
      <c r="AT616" t="s">
        <v>11978</v>
      </c>
      <c r="AU616">
        <v>2018</v>
      </c>
      <c r="AV616">
        <v>6</v>
      </c>
      <c r="AW616" t="s">
        <v>74</v>
      </c>
      <c r="AX616" t="s">
        <v>74</v>
      </c>
      <c r="AY616" t="s">
        <v>74</v>
      </c>
      <c r="AZ616" t="s">
        <v>74</v>
      </c>
      <c r="BA616" t="s">
        <v>74</v>
      </c>
      <c r="BB616" t="s">
        <v>74</v>
      </c>
      <c r="BC616" t="s">
        <v>74</v>
      </c>
      <c r="BD616">
        <v>95</v>
      </c>
      <c r="BE616" t="s">
        <v>11996</v>
      </c>
      <c r="BF616" t="str">
        <f>HYPERLINK("http://dx.doi.org/10.3389/feart.2018.00095","http://dx.doi.org/10.3389/feart.2018.00095")</f>
        <v>http://dx.doi.org/10.3389/feart.2018.00095</v>
      </c>
      <c r="BG616" t="s">
        <v>74</v>
      </c>
      <c r="BH616" t="s">
        <v>74</v>
      </c>
      <c r="BI616">
        <v>19</v>
      </c>
      <c r="BJ616" t="s">
        <v>182</v>
      </c>
      <c r="BK616" t="s">
        <v>101</v>
      </c>
      <c r="BL616" t="s">
        <v>183</v>
      </c>
      <c r="BM616" t="s">
        <v>11997</v>
      </c>
      <c r="BN616" t="s">
        <v>74</v>
      </c>
      <c r="BO616" t="s">
        <v>439</v>
      </c>
      <c r="BP616" t="s">
        <v>74</v>
      </c>
      <c r="BQ616" t="s">
        <v>74</v>
      </c>
      <c r="BR616" t="s">
        <v>104</v>
      </c>
      <c r="BS616" t="s">
        <v>11998</v>
      </c>
      <c r="BT616" t="str">
        <f>HYPERLINK("https%3A%2F%2Fwww.webofscience.com%2Fwos%2Fwoscc%2Ffull-record%2FWOS:000441756300001","View Full Record in Web of Science")</f>
        <v>View Full Record in Web of Science</v>
      </c>
    </row>
    <row r="617" spans="1:72" x14ac:dyDescent="0.15">
      <c r="A617" t="s">
        <v>72</v>
      </c>
      <c r="B617" t="s">
        <v>11999</v>
      </c>
      <c r="C617" t="s">
        <v>74</v>
      </c>
      <c r="D617" t="s">
        <v>74</v>
      </c>
      <c r="E617" t="s">
        <v>74</v>
      </c>
      <c r="F617" t="s">
        <v>12000</v>
      </c>
      <c r="G617" t="s">
        <v>74</v>
      </c>
      <c r="H617" t="s">
        <v>74</v>
      </c>
      <c r="I617" t="s">
        <v>12001</v>
      </c>
      <c r="J617" t="s">
        <v>4315</v>
      </c>
      <c r="K617" t="s">
        <v>74</v>
      </c>
      <c r="L617" t="s">
        <v>74</v>
      </c>
      <c r="M617" t="s">
        <v>78</v>
      </c>
      <c r="N617" t="s">
        <v>79</v>
      </c>
      <c r="O617" t="s">
        <v>74</v>
      </c>
      <c r="P617" t="s">
        <v>74</v>
      </c>
      <c r="Q617" t="s">
        <v>74</v>
      </c>
      <c r="R617" t="s">
        <v>74</v>
      </c>
      <c r="S617" t="s">
        <v>74</v>
      </c>
      <c r="T617" t="s">
        <v>12002</v>
      </c>
      <c r="U617" t="s">
        <v>12003</v>
      </c>
      <c r="V617" t="s">
        <v>12004</v>
      </c>
      <c r="W617" t="s">
        <v>12005</v>
      </c>
      <c r="X617" t="s">
        <v>74</v>
      </c>
      <c r="Y617" t="s">
        <v>12006</v>
      </c>
      <c r="Z617" t="s">
        <v>74</v>
      </c>
      <c r="AA617" t="s">
        <v>74</v>
      </c>
      <c r="AB617" t="s">
        <v>74</v>
      </c>
      <c r="AC617" t="s">
        <v>12007</v>
      </c>
      <c r="AD617" t="s">
        <v>12008</v>
      </c>
      <c r="AE617" t="s">
        <v>12009</v>
      </c>
      <c r="AF617" t="s">
        <v>74</v>
      </c>
      <c r="AG617">
        <v>35</v>
      </c>
      <c r="AH617">
        <v>4</v>
      </c>
      <c r="AI617">
        <v>4</v>
      </c>
      <c r="AJ617">
        <v>0</v>
      </c>
      <c r="AK617">
        <v>1</v>
      </c>
      <c r="AL617" t="s">
        <v>4328</v>
      </c>
      <c r="AM617" t="s">
        <v>4329</v>
      </c>
      <c r="AN617" t="s">
        <v>4330</v>
      </c>
      <c r="AO617" t="s">
        <v>4331</v>
      </c>
      <c r="AP617" t="s">
        <v>4332</v>
      </c>
      <c r="AQ617" t="s">
        <v>74</v>
      </c>
      <c r="AR617" t="s">
        <v>4315</v>
      </c>
      <c r="AS617" t="s">
        <v>4333</v>
      </c>
      <c r="AT617" t="s">
        <v>11978</v>
      </c>
      <c r="AU617">
        <v>2018</v>
      </c>
      <c r="AV617">
        <v>4450</v>
      </c>
      <c r="AW617">
        <v>2</v>
      </c>
      <c r="AX617" t="s">
        <v>74</v>
      </c>
      <c r="AY617" t="s">
        <v>74</v>
      </c>
      <c r="AZ617" t="s">
        <v>74</v>
      </c>
      <c r="BA617" t="s">
        <v>74</v>
      </c>
      <c r="BB617">
        <v>151</v>
      </c>
      <c r="BC617">
        <v>195</v>
      </c>
      <c r="BD617" t="s">
        <v>74</v>
      </c>
      <c r="BE617" t="s">
        <v>12010</v>
      </c>
      <c r="BF617" t="str">
        <f>HYPERLINK("http://dx.doi.org/10.11646/zootaxa.4450.2.1","http://dx.doi.org/10.11646/zootaxa.4450.2.1")</f>
        <v>http://dx.doi.org/10.11646/zootaxa.4450.2.1</v>
      </c>
      <c r="BG617" t="s">
        <v>74</v>
      </c>
      <c r="BH617" t="s">
        <v>74</v>
      </c>
      <c r="BI617">
        <v>45</v>
      </c>
      <c r="BJ617" t="s">
        <v>2343</v>
      </c>
      <c r="BK617" t="s">
        <v>101</v>
      </c>
      <c r="BL617" t="s">
        <v>2343</v>
      </c>
      <c r="BM617" t="s">
        <v>12011</v>
      </c>
      <c r="BN617">
        <v>30313844</v>
      </c>
      <c r="BO617" t="s">
        <v>712</v>
      </c>
      <c r="BP617" t="s">
        <v>74</v>
      </c>
      <c r="BQ617" t="s">
        <v>74</v>
      </c>
      <c r="BR617" t="s">
        <v>104</v>
      </c>
      <c r="BS617" t="s">
        <v>12012</v>
      </c>
      <c r="BT617" t="str">
        <f>HYPERLINK("https%3A%2F%2Fwww.webofscience.com%2Fwos%2Fwoscc%2Ffull-record%2FWOS:000441330300001","View Full Record in Web of Science")</f>
        <v>View Full Record in Web of Science</v>
      </c>
    </row>
    <row r="618" spans="1:72" x14ac:dyDescent="0.15">
      <c r="A618" t="s">
        <v>72</v>
      </c>
      <c r="B618" t="s">
        <v>12013</v>
      </c>
      <c r="C618" t="s">
        <v>74</v>
      </c>
      <c r="D618" t="s">
        <v>74</v>
      </c>
      <c r="E618" t="s">
        <v>74</v>
      </c>
      <c r="F618" t="s">
        <v>12014</v>
      </c>
      <c r="G618" t="s">
        <v>74</v>
      </c>
      <c r="H618" t="s">
        <v>74</v>
      </c>
      <c r="I618" t="s">
        <v>12015</v>
      </c>
      <c r="J618" t="s">
        <v>4340</v>
      </c>
      <c r="K618" t="s">
        <v>74</v>
      </c>
      <c r="L618" t="s">
        <v>74</v>
      </c>
      <c r="M618" t="s">
        <v>78</v>
      </c>
      <c r="N618" t="s">
        <v>79</v>
      </c>
      <c r="O618" t="s">
        <v>74</v>
      </c>
      <c r="P618" t="s">
        <v>74</v>
      </c>
      <c r="Q618" t="s">
        <v>74</v>
      </c>
      <c r="R618" t="s">
        <v>74</v>
      </c>
      <c r="S618" t="s">
        <v>74</v>
      </c>
      <c r="T618" t="s">
        <v>12016</v>
      </c>
      <c r="U618" t="s">
        <v>12017</v>
      </c>
      <c r="V618" t="s">
        <v>12018</v>
      </c>
      <c r="W618" t="s">
        <v>12019</v>
      </c>
      <c r="X618" t="s">
        <v>2149</v>
      </c>
      <c r="Y618" t="s">
        <v>12020</v>
      </c>
      <c r="Z618" t="s">
        <v>12021</v>
      </c>
      <c r="AA618" t="s">
        <v>12022</v>
      </c>
      <c r="AB618" t="s">
        <v>12023</v>
      </c>
      <c r="AC618" t="s">
        <v>12024</v>
      </c>
      <c r="AD618" t="s">
        <v>12025</v>
      </c>
      <c r="AE618" t="s">
        <v>12026</v>
      </c>
      <c r="AF618" t="s">
        <v>74</v>
      </c>
      <c r="AG618">
        <v>88</v>
      </c>
      <c r="AH618">
        <v>10</v>
      </c>
      <c r="AI618">
        <v>11</v>
      </c>
      <c r="AJ618">
        <v>0</v>
      </c>
      <c r="AK618">
        <v>18</v>
      </c>
      <c r="AL618" t="s">
        <v>3326</v>
      </c>
      <c r="AM618" t="s">
        <v>3327</v>
      </c>
      <c r="AN618" t="s">
        <v>3328</v>
      </c>
      <c r="AO618" t="s">
        <v>4344</v>
      </c>
      <c r="AP618" t="s">
        <v>4345</v>
      </c>
      <c r="AQ618" t="s">
        <v>74</v>
      </c>
      <c r="AR618" t="s">
        <v>4346</v>
      </c>
      <c r="AS618" t="s">
        <v>4347</v>
      </c>
      <c r="AT618" t="s">
        <v>11978</v>
      </c>
      <c r="AU618">
        <v>2018</v>
      </c>
      <c r="AV618">
        <v>50</v>
      </c>
      <c r="AW618">
        <v>1</v>
      </c>
      <c r="AX618" t="s">
        <v>74</v>
      </c>
      <c r="AY618" t="s">
        <v>74</v>
      </c>
      <c r="AZ618" t="s">
        <v>74</v>
      </c>
      <c r="BA618" t="s">
        <v>74</v>
      </c>
      <c r="BB618" t="s">
        <v>74</v>
      </c>
      <c r="BC618" t="s">
        <v>74</v>
      </c>
      <c r="BD618" t="s">
        <v>12027</v>
      </c>
      <c r="BE618" t="s">
        <v>12028</v>
      </c>
      <c r="BF618" t="str">
        <f>HYPERLINK("http://dx.doi.org/10.1080/15230430.2018.1487659","http://dx.doi.org/10.1080/15230430.2018.1487659")</f>
        <v>http://dx.doi.org/10.1080/15230430.2018.1487659</v>
      </c>
      <c r="BG618" t="s">
        <v>74</v>
      </c>
      <c r="BH618" t="s">
        <v>74</v>
      </c>
      <c r="BI618">
        <v>11</v>
      </c>
      <c r="BJ618" t="s">
        <v>4350</v>
      </c>
      <c r="BK618" t="s">
        <v>101</v>
      </c>
      <c r="BL618" t="s">
        <v>767</v>
      </c>
      <c r="BM618" t="s">
        <v>12029</v>
      </c>
      <c r="BN618" t="s">
        <v>74</v>
      </c>
      <c r="BO618" t="s">
        <v>3382</v>
      </c>
      <c r="BP618" t="s">
        <v>74</v>
      </c>
      <c r="BQ618" t="s">
        <v>74</v>
      </c>
      <c r="BR618" t="s">
        <v>104</v>
      </c>
      <c r="BS618" t="s">
        <v>12030</v>
      </c>
      <c r="BT618" t="str">
        <f>HYPERLINK("https%3A%2F%2Fwww.webofscience.com%2Fwos%2Fwoscc%2Ffull-record%2FWOS:000440274700001","View Full Record in Web of Science")</f>
        <v>View Full Record in Web of Science</v>
      </c>
    </row>
    <row r="619" spans="1:72" x14ac:dyDescent="0.15">
      <c r="A619" t="s">
        <v>72</v>
      </c>
      <c r="B619" t="s">
        <v>12031</v>
      </c>
      <c r="C619" t="s">
        <v>74</v>
      </c>
      <c r="D619" t="s">
        <v>74</v>
      </c>
      <c r="E619" t="s">
        <v>74</v>
      </c>
      <c r="F619" t="s">
        <v>12032</v>
      </c>
      <c r="G619" t="s">
        <v>74</v>
      </c>
      <c r="H619" t="s">
        <v>74</v>
      </c>
      <c r="I619" t="s">
        <v>12033</v>
      </c>
      <c r="J619" t="s">
        <v>4340</v>
      </c>
      <c r="K619" t="s">
        <v>74</v>
      </c>
      <c r="L619" t="s">
        <v>74</v>
      </c>
      <c r="M619" t="s">
        <v>78</v>
      </c>
      <c r="N619" t="s">
        <v>79</v>
      </c>
      <c r="O619" t="s">
        <v>74</v>
      </c>
      <c r="P619" t="s">
        <v>74</v>
      </c>
      <c r="Q619" t="s">
        <v>74</v>
      </c>
      <c r="R619" t="s">
        <v>74</v>
      </c>
      <c r="S619" t="s">
        <v>74</v>
      </c>
      <c r="T619" t="s">
        <v>12034</v>
      </c>
      <c r="U619" t="s">
        <v>12035</v>
      </c>
      <c r="V619" t="s">
        <v>12036</v>
      </c>
      <c r="W619" t="s">
        <v>12037</v>
      </c>
      <c r="X619" t="s">
        <v>12038</v>
      </c>
      <c r="Y619" t="s">
        <v>12039</v>
      </c>
      <c r="Z619" t="s">
        <v>12040</v>
      </c>
      <c r="AA619" t="s">
        <v>74</v>
      </c>
      <c r="AB619" t="s">
        <v>74</v>
      </c>
      <c r="AC619" t="s">
        <v>12041</v>
      </c>
      <c r="AD619" t="s">
        <v>12042</v>
      </c>
      <c r="AE619" t="s">
        <v>12043</v>
      </c>
      <c r="AF619" t="s">
        <v>74</v>
      </c>
      <c r="AG619">
        <v>123</v>
      </c>
      <c r="AH619">
        <v>22</v>
      </c>
      <c r="AI619">
        <v>24</v>
      </c>
      <c r="AJ619">
        <v>0</v>
      </c>
      <c r="AK619">
        <v>17</v>
      </c>
      <c r="AL619" t="s">
        <v>3326</v>
      </c>
      <c r="AM619" t="s">
        <v>3327</v>
      </c>
      <c r="AN619" t="s">
        <v>3328</v>
      </c>
      <c r="AO619" t="s">
        <v>4344</v>
      </c>
      <c r="AP619" t="s">
        <v>4345</v>
      </c>
      <c r="AQ619" t="s">
        <v>74</v>
      </c>
      <c r="AR619" t="s">
        <v>4346</v>
      </c>
      <c r="AS619" t="s">
        <v>4347</v>
      </c>
      <c r="AT619" t="s">
        <v>11978</v>
      </c>
      <c r="AU619">
        <v>2018</v>
      </c>
      <c r="AV619">
        <v>50</v>
      </c>
      <c r="AW619">
        <v>1</v>
      </c>
      <c r="AX619" t="s">
        <v>74</v>
      </c>
      <c r="AY619" t="s">
        <v>74</v>
      </c>
      <c r="AZ619" t="s">
        <v>74</v>
      </c>
      <c r="BA619" t="s">
        <v>74</v>
      </c>
      <c r="BB619" t="s">
        <v>74</v>
      </c>
      <c r="BC619" t="s">
        <v>74</v>
      </c>
      <c r="BD619" t="s">
        <v>12044</v>
      </c>
      <c r="BE619" t="s">
        <v>12045</v>
      </c>
      <c r="BF619" t="str">
        <f>HYPERLINK("http://dx.doi.org/10.1080/15230430.2018.1489026","http://dx.doi.org/10.1080/15230430.2018.1489026")</f>
        <v>http://dx.doi.org/10.1080/15230430.2018.1489026</v>
      </c>
      <c r="BG619" t="s">
        <v>74</v>
      </c>
      <c r="BH619" t="s">
        <v>74</v>
      </c>
      <c r="BI619">
        <v>24</v>
      </c>
      <c r="BJ619" t="s">
        <v>4350</v>
      </c>
      <c r="BK619" t="s">
        <v>101</v>
      </c>
      <c r="BL619" t="s">
        <v>767</v>
      </c>
      <c r="BM619" t="s">
        <v>12046</v>
      </c>
      <c r="BN619" t="s">
        <v>74</v>
      </c>
      <c r="BO619" t="s">
        <v>1584</v>
      </c>
      <c r="BP619" t="s">
        <v>74</v>
      </c>
      <c r="BQ619" t="s">
        <v>74</v>
      </c>
      <c r="BR619" t="s">
        <v>104</v>
      </c>
      <c r="BS619" t="s">
        <v>12047</v>
      </c>
      <c r="BT619" t="str">
        <f>HYPERLINK("https%3A%2F%2Fwww.webofscience.com%2Fwos%2Fwoscc%2Ffull-record%2FWOS:000440275100001","View Full Record in Web of Science")</f>
        <v>View Full Record in Web of Science</v>
      </c>
    </row>
    <row r="620" spans="1:72" x14ac:dyDescent="0.15">
      <c r="A620" t="s">
        <v>72</v>
      </c>
      <c r="B620" t="s">
        <v>12048</v>
      </c>
      <c r="C620" t="s">
        <v>74</v>
      </c>
      <c r="D620" t="s">
        <v>74</v>
      </c>
      <c r="E620" t="s">
        <v>74</v>
      </c>
      <c r="F620" t="s">
        <v>12049</v>
      </c>
      <c r="G620" t="s">
        <v>74</v>
      </c>
      <c r="H620" t="s">
        <v>74</v>
      </c>
      <c r="I620" t="s">
        <v>12050</v>
      </c>
      <c r="J620" t="s">
        <v>12051</v>
      </c>
      <c r="K620" t="s">
        <v>74</v>
      </c>
      <c r="L620" t="s">
        <v>74</v>
      </c>
      <c r="M620" t="s">
        <v>78</v>
      </c>
      <c r="N620" t="s">
        <v>79</v>
      </c>
      <c r="O620" t="s">
        <v>74</v>
      </c>
      <c r="P620" t="s">
        <v>74</v>
      </c>
      <c r="Q620" t="s">
        <v>74</v>
      </c>
      <c r="R620" t="s">
        <v>74</v>
      </c>
      <c r="S620" t="s">
        <v>74</v>
      </c>
      <c r="T620" t="s">
        <v>74</v>
      </c>
      <c r="U620" t="s">
        <v>12052</v>
      </c>
      <c r="V620" t="s">
        <v>12053</v>
      </c>
      <c r="W620" t="s">
        <v>12054</v>
      </c>
      <c r="X620" t="s">
        <v>12055</v>
      </c>
      <c r="Y620" t="s">
        <v>12056</v>
      </c>
      <c r="Z620" t="s">
        <v>12057</v>
      </c>
      <c r="AA620" t="s">
        <v>12058</v>
      </c>
      <c r="AB620" t="s">
        <v>12059</v>
      </c>
      <c r="AC620" t="s">
        <v>12060</v>
      </c>
      <c r="AD620" t="s">
        <v>12061</v>
      </c>
      <c r="AE620" t="s">
        <v>12062</v>
      </c>
      <c r="AF620" t="s">
        <v>74</v>
      </c>
      <c r="AG620">
        <v>23</v>
      </c>
      <c r="AH620">
        <v>2</v>
      </c>
      <c r="AI620">
        <v>2</v>
      </c>
      <c r="AJ620">
        <v>3</v>
      </c>
      <c r="AK620">
        <v>11</v>
      </c>
      <c r="AL620" t="s">
        <v>12063</v>
      </c>
      <c r="AM620" t="s">
        <v>504</v>
      </c>
      <c r="AN620" t="s">
        <v>12064</v>
      </c>
      <c r="AO620" t="s">
        <v>12065</v>
      </c>
      <c r="AP620" t="s">
        <v>74</v>
      </c>
      <c r="AQ620" t="s">
        <v>74</v>
      </c>
      <c r="AR620" t="s">
        <v>12066</v>
      </c>
      <c r="AS620" t="s">
        <v>12067</v>
      </c>
      <c r="AT620" t="s">
        <v>12068</v>
      </c>
      <c r="AU620">
        <v>2018</v>
      </c>
      <c r="AV620">
        <v>26</v>
      </c>
      <c r="AW620">
        <v>15</v>
      </c>
      <c r="AX620" t="s">
        <v>74</v>
      </c>
      <c r="AY620" t="s">
        <v>74</v>
      </c>
      <c r="AZ620" t="s">
        <v>74</v>
      </c>
      <c r="BA620" t="s">
        <v>74</v>
      </c>
      <c r="BB620">
        <v>18863</v>
      </c>
      <c r="BC620">
        <v>18877</v>
      </c>
      <c r="BD620" t="s">
        <v>74</v>
      </c>
      <c r="BE620" t="s">
        <v>12069</v>
      </c>
      <c r="BF620" t="str">
        <f>HYPERLINK("http://dx.doi.org/10.1364/OE.26.018863","http://dx.doi.org/10.1364/OE.26.018863")</f>
        <v>http://dx.doi.org/10.1364/OE.26.018863</v>
      </c>
      <c r="BG620" t="s">
        <v>74</v>
      </c>
      <c r="BH620" t="s">
        <v>74</v>
      </c>
      <c r="BI620">
        <v>15</v>
      </c>
      <c r="BJ620" t="s">
        <v>6057</v>
      </c>
      <c r="BK620" t="s">
        <v>101</v>
      </c>
      <c r="BL620" t="s">
        <v>6057</v>
      </c>
      <c r="BM620" t="s">
        <v>12070</v>
      </c>
      <c r="BN620">
        <v>30114147</v>
      </c>
      <c r="BO620" t="s">
        <v>1584</v>
      </c>
      <c r="BP620" t="s">
        <v>74</v>
      </c>
      <c r="BQ620" t="s">
        <v>74</v>
      </c>
      <c r="BR620" t="s">
        <v>104</v>
      </c>
      <c r="BS620" t="s">
        <v>12071</v>
      </c>
      <c r="BT620" t="str">
        <f>HYPERLINK("https%3A%2F%2Fwww.webofscience.com%2Fwos%2Fwoscc%2Ffull-record%2FWOS:000439472400006","View Full Record in Web of Science")</f>
        <v>View Full Record in Web of Science</v>
      </c>
    </row>
    <row r="621" spans="1:72" x14ac:dyDescent="0.15">
      <c r="A621" t="s">
        <v>72</v>
      </c>
      <c r="B621" t="s">
        <v>12072</v>
      </c>
      <c r="C621" t="s">
        <v>74</v>
      </c>
      <c r="D621" t="s">
        <v>74</v>
      </c>
      <c r="E621" t="s">
        <v>74</v>
      </c>
      <c r="F621" t="s">
        <v>12073</v>
      </c>
      <c r="G621" t="s">
        <v>74</v>
      </c>
      <c r="H621" t="s">
        <v>74</v>
      </c>
      <c r="I621" t="s">
        <v>12074</v>
      </c>
      <c r="J621" t="s">
        <v>4109</v>
      </c>
      <c r="K621" t="s">
        <v>74</v>
      </c>
      <c r="L621" t="s">
        <v>74</v>
      </c>
      <c r="M621" t="s">
        <v>78</v>
      </c>
      <c r="N621" t="s">
        <v>79</v>
      </c>
      <c r="O621" t="s">
        <v>74</v>
      </c>
      <c r="P621" t="s">
        <v>74</v>
      </c>
      <c r="Q621" t="s">
        <v>74</v>
      </c>
      <c r="R621" t="s">
        <v>74</v>
      </c>
      <c r="S621" t="s">
        <v>74</v>
      </c>
      <c r="T621" t="s">
        <v>74</v>
      </c>
      <c r="U621" t="s">
        <v>12075</v>
      </c>
      <c r="V621" t="s">
        <v>12076</v>
      </c>
      <c r="W621" t="s">
        <v>12077</v>
      </c>
      <c r="X621" t="s">
        <v>12078</v>
      </c>
      <c r="Y621" t="s">
        <v>12079</v>
      </c>
      <c r="Z621" t="s">
        <v>12080</v>
      </c>
      <c r="AA621" t="s">
        <v>74</v>
      </c>
      <c r="AB621" t="s">
        <v>12081</v>
      </c>
      <c r="AC621" t="s">
        <v>12082</v>
      </c>
      <c r="AD621" t="s">
        <v>12083</v>
      </c>
      <c r="AE621" t="s">
        <v>12084</v>
      </c>
      <c r="AF621" t="s">
        <v>74</v>
      </c>
      <c r="AG621">
        <v>72</v>
      </c>
      <c r="AH621">
        <v>20</v>
      </c>
      <c r="AI621">
        <v>20</v>
      </c>
      <c r="AJ621">
        <v>0</v>
      </c>
      <c r="AK621">
        <v>12</v>
      </c>
      <c r="AL621" t="s">
        <v>1130</v>
      </c>
      <c r="AM621" t="s">
        <v>1131</v>
      </c>
      <c r="AN621" t="s">
        <v>1132</v>
      </c>
      <c r="AO621" t="s">
        <v>4121</v>
      </c>
      <c r="AP621" t="s">
        <v>74</v>
      </c>
      <c r="AQ621" t="s">
        <v>74</v>
      </c>
      <c r="AR621" t="s">
        <v>4122</v>
      </c>
      <c r="AS621" t="s">
        <v>4123</v>
      </c>
      <c r="AT621" t="s">
        <v>12068</v>
      </c>
      <c r="AU621">
        <v>2018</v>
      </c>
      <c r="AV621">
        <v>8</v>
      </c>
      <c r="AW621" t="s">
        <v>74</v>
      </c>
      <c r="AX621" t="s">
        <v>74</v>
      </c>
      <c r="AY621" t="s">
        <v>74</v>
      </c>
      <c r="AZ621" t="s">
        <v>74</v>
      </c>
      <c r="BA621" t="s">
        <v>74</v>
      </c>
      <c r="BB621" t="s">
        <v>74</v>
      </c>
      <c r="BC621" t="s">
        <v>74</v>
      </c>
      <c r="BD621">
        <v>11049</v>
      </c>
      <c r="BE621" t="s">
        <v>12085</v>
      </c>
      <c r="BF621" t="str">
        <f>HYPERLINK("http://dx.doi.org/10.1038/s41598-018-29335-4","http://dx.doi.org/10.1038/s41598-018-29335-4")</f>
        <v>http://dx.doi.org/10.1038/s41598-018-29335-4</v>
      </c>
      <c r="BG621" t="s">
        <v>74</v>
      </c>
      <c r="BH621" t="s">
        <v>74</v>
      </c>
      <c r="BI621">
        <v>14</v>
      </c>
      <c r="BJ621" t="s">
        <v>436</v>
      </c>
      <c r="BK621" t="s">
        <v>101</v>
      </c>
      <c r="BL621" t="s">
        <v>437</v>
      </c>
      <c r="BM621" t="s">
        <v>12086</v>
      </c>
      <c r="BN621">
        <v>30038328</v>
      </c>
      <c r="BO621" t="s">
        <v>439</v>
      </c>
      <c r="BP621" t="s">
        <v>74</v>
      </c>
      <c r="BQ621" t="s">
        <v>74</v>
      </c>
      <c r="BR621" t="s">
        <v>104</v>
      </c>
      <c r="BS621" t="s">
        <v>12087</v>
      </c>
      <c r="BT621" t="str">
        <f>HYPERLINK("https%3A%2F%2Fwww.webofscience.com%2Fwos%2Fwoscc%2Ffull-record%2FWOS:000439421600017","View Full Record in Web of Science")</f>
        <v>View Full Record in Web of Science</v>
      </c>
    </row>
    <row r="622" spans="1:72" x14ac:dyDescent="0.15">
      <c r="A622" t="s">
        <v>72</v>
      </c>
      <c r="B622" t="s">
        <v>12088</v>
      </c>
      <c r="C622" t="s">
        <v>74</v>
      </c>
      <c r="D622" t="s">
        <v>74</v>
      </c>
      <c r="E622" t="s">
        <v>74</v>
      </c>
      <c r="F622" t="s">
        <v>12089</v>
      </c>
      <c r="G622" t="s">
        <v>74</v>
      </c>
      <c r="H622" t="s">
        <v>74</v>
      </c>
      <c r="I622" t="s">
        <v>12090</v>
      </c>
      <c r="J622" t="s">
        <v>4219</v>
      </c>
      <c r="K622" t="s">
        <v>74</v>
      </c>
      <c r="L622" t="s">
        <v>74</v>
      </c>
      <c r="M622" t="s">
        <v>78</v>
      </c>
      <c r="N622" t="s">
        <v>79</v>
      </c>
      <c r="O622" t="s">
        <v>74</v>
      </c>
      <c r="P622" t="s">
        <v>74</v>
      </c>
      <c r="Q622" t="s">
        <v>74</v>
      </c>
      <c r="R622" t="s">
        <v>74</v>
      </c>
      <c r="S622" t="s">
        <v>74</v>
      </c>
      <c r="T622" t="s">
        <v>12091</v>
      </c>
      <c r="U622" t="s">
        <v>12092</v>
      </c>
      <c r="V622" t="s">
        <v>12093</v>
      </c>
      <c r="W622" t="s">
        <v>12094</v>
      </c>
      <c r="X622" t="s">
        <v>12095</v>
      </c>
      <c r="Y622" t="s">
        <v>12096</v>
      </c>
      <c r="Z622" t="s">
        <v>12097</v>
      </c>
      <c r="AA622" t="s">
        <v>12098</v>
      </c>
      <c r="AB622" t="s">
        <v>12099</v>
      </c>
      <c r="AC622" t="s">
        <v>12100</v>
      </c>
      <c r="AD622" t="s">
        <v>12101</v>
      </c>
      <c r="AE622" t="s">
        <v>12102</v>
      </c>
      <c r="AF622" t="s">
        <v>74</v>
      </c>
      <c r="AG622">
        <v>31</v>
      </c>
      <c r="AH622">
        <v>2</v>
      </c>
      <c r="AI622">
        <v>2</v>
      </c>
      <c r="AJ622">
        <v>0</v>
      </c>
      <c r="AK622">
        <v>6</v>
      </c>
      <c r="AL622" t="s">
        <v>4232</v>
      </c>
      <c r="AM622" t="s">
        <v>704</v>
      </c>
      <c r="AN622" t="s">
        <v>4233</v>
      </c>
      <c r="AO622" t="s">
        <v>4234</v>
      </c>
      <c r="AP622" t="s">
        <v>74</v>
      </c>
      <c r="AQ622" t="s">
        <v>74</v>
      </c>
      <c r="AR622" t="s">
        <v>4219</v>
      </c>
      <c r="AS622" t="s">
        <v>4235</v>
      </c>
      <c r="AT622" t="s">
        <v>12103</v>
      </c>
      <c r="AU622">
        <v>2018</v>
      </c>
      <c r="AV622">
        <v>6</v>
      </c>
      <c r="AW622" t="s">
        <v>74</v>
      </c>
      <c r="AX622" t="s">
        <v>74</v>
      </c>
      <c r="AY622" t="s">
        <v>74</v>
      </c>
      <c r="AZ622" t="s">
        <v>74</v>
      </c>
      <c r="BA622" t="s">
        <v>74</v>
      </c>
      <c r="BB622" t="s">
        <v>74</v>
      </c>
      <c r="BC622" t="s">
        <v>74</v>
      </c>
      <c r="BD622" t="s">
        <v>12104</v>
      </c>
      <c r="BE622" t="s">
        <v>12105</v>
      </c>
      <c r="BF622" t="str">
        <f>HYPERLINK("http://dx.doi.org/10.7717/peerj.5243","http://dx.doi.org/10.7717/peerj.5243")</f>
        <v>http://dx.doi.org/10.7717/peerj.5243</v>
      </c>
      <c r="BG622" t="s">
        <v>74</v>
      </c>
      <c r="BH622" t="s">
        <v>74</v>
      </c>
      <c r="BI622">
        <v>11</v>
      </c>
      <c r="BJ622" t="s">
        <v>436</v>
      </c>
      <c r="BK622" t="s">
        <v>101</v>
      </c>
      <c r="BL622" t="s">
        <v>437</v>
      </c>
      <c r="BM622" t="s">
        <v>12106</v>
      </c>
      <c r="BN622">
        <v>30042893</v>
      </c>
      <c r="BO622" t="s">
        <v>239</v>
      </c>
      <c r="BP622" t="s">
        <v>74</v>
      </c>
      <c r="BQ622" t="s">
        <v>74</v>
      </c>
      <c r="BR622" t="s">
        <v>104</v>
      </c>
      <c r="BS622" t="s">
        <v>12107</v>
      </c>
      <c r="BT622" t="str">
        <f>HYPERLINK("https%3A%2F%2Fwww.webofscience.com%2Fwos%2Fwoscc%2Ffull-record%2FWOS:000439652200006","View Full Record in Web of Science")</f>
        <v>View Full Record in Web of Science</v>
      </c>
    </row>
    <row r="623" spans="1:72" x14ac:dyDescent="0.15">
      <c r="A623" t="s">
        <v>72</v>
      </c>
      <c r="B623" t="s">
        <v>12108</v>
      </c>
      <c r="C623" t="s">
        <v>74</v>
      </c>
      <c r="D623" t="s">
        <v>74</v>
      </c>
      <c r="E623" t="s">
        <v>74</v>
      </c>
      <c r="F623" t="s">
        <v>12109</v>
      </c>
      <c r="G623" t="s">
        <v>74</v>
      </c>
      <c r="H623" t="s">
        <v>74</v>
      </c>
      <c r="I623" t="s">
        <v>12110</v>
      </c>
      <c r="J623" t="s">
        <v>3366</v>
      </c>
      <c r="K623" t="s">
        <v>74</v>
      </c>
      <c r="L623" t="s">
        <v>74</v>
      </c>
      <c r="M623" t="s">
        <v>78</v>
      </c>
      <c r="N623" t="s">
        <v>79</v>
      </c>
      <c r="O623" t="s">
        <v>74</v>
      </c>
      <c r="P623" t="s">
        <v>74</v>
      </c>
      <c r="Q623" t="s">
        <v>74</v>
      </c>
      <c r="R623" t="s">
        <v>74</v>
      </c>
      <c r="S623" t="s">
        <v>74</v>
      </c>
      <c r="T623" t="s">
        <v>74</v>
      </c>
      <c r="U623" t="s">
        <v>12111</v>
      </c>
      <c r="V623" t="s">
        <v>12112</v>
      </c>
      <c r="W623" t="s">
        <v>12113</v>
      </c>
      <c r="X623" t="s">
        <v>12114</v>
      </c>
      <c r="Y623" t="s">
        <v>12115</v>
      </c>
      <c r="Z623" t="s">
        <v>12116</v>
      </c>
      <c r="AA623" t="s">
        <v>12117</v>
      </c>
      <c r="AB623" t="s">
        <v>12118</v>
      </c>
      <c r="AC623" t="s">
        <v>12119</v>
      </c>
      <c r="AD623" t="s">
        <v>12120</v>
      </c>
      <c r="AE623" t="s">
        <v>12121</v>
      </c>
      <c r="AF623" t="s">
        <v>74</v>
      </c>
      <c r="AG623">
        <v>52</v>
      </c>
      <c r="AH623">
        <v>10</v>
      </c>
      <c r="AI623">
        <v>10</v>
      </c>
      <c r="AJ623">
        <v>0</v>
      </c>
      <c r="AK623">
        <v>6</v>
      </c>
      <c r="AL623" t="s">
        <v>3353</v>
      </c>
      <c r="AM623" t="s">
        <v>3354</v>
      </c>
      <c r="AN623" t="s">
        <v>3355</v>
      </c>
      <c r="AO623" t="s">
        <v>3377</v>
      </c>
      <c r="AP623" t="s">
        <v>3378</v>
      </c>
      <c r="AQ623" t="s">
        <v>74</v>
      </c>
      <c r="AR623" t="s">
        <v>3366</v>
      </c>
      <c r="AS623" t="s">
        <v>3379</v>
      </c>
      <c r="AT623" t="s">
        <v>12103</v>
      </c>
      <c r="AU623">
        <v>2018</v>
      </c>
      <c r="AV623">
        <v>12</v>
      </c>
      <c r="AW623">
        <v>7</v>
      </c>
      <c r="AX623" t="s">
        <v>74</v>
      </c>
      <c r="AY623" t="s">
        <v>74</v>
      </c>
      <c r="AZ623" t="s">
        <v>74</v>
      </c>
      <c r="BA623" t="s">
        <v>74</v>
      </c>
      <c r="BB623">
        <v>2383</v>
      </c>
      <c r="BC623">
        <v>2399</v>
      </c>
      <c r="BD623" t="s">
        <v>74</v>
      </c>
      <c r="BE623" t="s">
        <v>12122</v>
      </c>
      <c r="BF623" t="str">
        <f>HYPERLINK("http://dx.doi.org/10.5194/tc-12-2383-2018","http://dx.doi.org/10.5194/tc-12-2383-2018")</f>
        <v>http://dx.doi.org/10.5194/tc-12-2383-2018</v>
      </c>
      <c r="BG623" t="s">
        <v>74</v>
      </c>
      <c r="BH623" t="s">
        <v>74</v>
      </c>
      <c r="BI623">
        <v>17</v>
      </c>
      <c r="BJ623" t="s">
        <v>208</v>
      </c>
      <c r="BK623" t="s">
        <v>101</v>
      </c>
      <c r="BL623" t="s">
        <v>209</v>
      </c>
      <c r="BM623" t="s">
        <v>12123</v>
      </c>
      <c r="BN623" t="s">
        <v>74</v>
      </c>
      <c r="BO623" t="s">
        <v>11831</v>
      </c>
      <c r="BP623" t="s">
        <v>74</v>
      </c>
      <c r="BQ623" t="s">
        <v>74</v>
      </c>
      <c r="BR623" t="s">
        <v>104</v>
      </c>
      <c r="BS623" t="s">
        <v>12124</v>
      </c>
      <c r="BT623" t="str">
        <f>HYPERLINK("https%3A%2F%2Fwww.webofscience.com%2Fwos%2Fwoscc%2Ffull-record%2FWOS:000439386700002","View Full Record in Web of Science")</f>
        <v>View Full Record in Web of Science</v>
      </c>
    </row>
    <row r="624" spans="1:72" x14ac:dyDescent="0.15">
      <c r="A624" t="s">
        <v>72</v>
      </c>
      <c r="B624" t="s">
        <v>12125</v>
      </c>
      <c r="C624" t="s">
        <v>74</v>
      </c>
      <c r="D624" t="s">
        <v>74</v>
      </c>
      <c r="E624" t="s">
        <v>74</v>
      </c>
      <c r="F624" t="s">
        <v>12126</v>
      </c>
      <c r="G624" t="s">
        <v>74</v>
      </c>
      <c r="H624" t="s">
        <v>74</v>
      </c>
      <c r="I624" t="s">
        <v>12127</v>
      </c>
      <c r="J624" t="s">
        <v>3268</v>
      </c>
      <c r="K624" t="s">
        <v>74</v>
      </c>
      <c r="L624" t="s">
        <v>74</v>
      </c>
      <c r="M624" t="s">
        <v>78</v>
      </c>
      <c r="N624" t="s">
        <v>79</v>
      </c>
      <c r="O624" t="s">
        <v>74</v>
      </c>
      <c r="P624" t="s">
        <v>74</v>
      </c>
      <c r="Q624" t="s">
        <v>74</v>
      </c>
      <c r="R624" t="s">
        <v>74</v>
      </c>
      <c r="S624" t="s">
        <v>74</v>
      </c>
      <c r="T624" t="s">
        <v>74</v>
      </c>
      <c r="U624" t="s">
        <v>12128</v>
      </c>
      <c r="V624" t="s">
        <v>12129</v>
      </c>
      <c r="W624" t="s">
        <v>12130</v>
      </c>
      <c r="X624" t="s">
        <v>12131</v>
      </c>
      <c r="Y624" t="s">
        <v>12132</v>
      </c>
      <c r="Z624" t="s">
        <v>12133</v>
      </c>
      <c r="AA624" t="s">
        <v>12134</v>
      </c>
      <c r="AB624" t="s">
        <v>12135</v>
      </c>
      <c r="AC624" t="s">
        <v>12136</v>
      </c>
      <c r="AD624" t="s">
        <v>12137</v>
      </c>
      <c r="AE624" t="s">
        <v>12138</v>
      </c>
      <c r="AF624" t="s">
        <v>74</v>
      </c>
      <c r="AG624">
        <v>72</v>
      </c>
      <c r="AH624">
        <v>41</v>
      </c>
      <c r="AI624">
        <v>44</v>
      </c>
      <c r="AJ624">
        <v>1</v>
      </c>
      <c r="AK624">
        <v>20</v>
      </c>
      <c r="AL624" t="s">
        <v>1130</v>
      </c>
      <c r="AM624" t="s">
        <v>1131</v>
      </c>
      <c r="AN624" t="s">
        <v>1132</v>
      </c>
      <c r="AO624" t="s">
        <v>74</v>
      </c>
      <c r="AP624" t="s">
        <v>3280</v>
      </c>
      <c r="AQ624" t="s">
        <v>74</v>
      </c>
      <c r="AR624" t="s">
        <v>3281</v>
      </c>
      <c r="AS624" t="s">
        <v>3282</v>
      </c>
      <c r="AT624" t="s">
        <v>12103</v>
      </c>
      <c r="AU624">
        <v>2018</v>
      </c>
      <c r="AV624">
        <v>9</v>
      </c>
      <c r="AW624" t="s">
        <v>74</v>
      </c>
      <c r="AX624" t="s">
        <v>74</v>
      </c>
      <c r="AY624" t="s">
        <v>74</v>
      </c>
      <c r="AZ624" t="s">
        <v>74</v>
      </c>
      <c r="BA624" t="s">
        <v>74</v>
      </c>
      <c r="BB624" t="s">
        <v>74</v>
      </c>
      <c r="BC624" t="s">
        <v>74</v>
      </c>
      <c r="BD624">
        <v>2851</v>
      </c>
      <c r="BE624" t="s">
        <v>12139</v>
      </c>
      <c r="BF624" t="str">
        <f>HYPERLINK("http://dx.doi.org/10.1038/s41467-018-05314-1","http://dx.doi.org/10.1038/s41467-018-05314-1")</f>
        <v>http://dx.doi.org/10.1038/s41467-018-05314-1</v>
      </c>
      <c r="BG624" t="s">
        <v>74</v>
      </c>
      <c r="BH624" t="s">
        <v>74</v>
      </c>
      <c r="BI624">
        <v>10</v>
      </c>
      <c r="BJ624" t="s">
        <v>436</v>
      </c>
      <c r="BK624" t="s">
        <v>101</v>
      </c>
      <c r="BL624" t="s">
        <v>437</v>
      </c>
      <c r="BM624" t="s">
        <v>12140</v>
      </c>
      <c r="BN624">
        <v>30030443</v>
      </c>
      <c r="BO624" t="s">
        <v>439</v>
      </c>
      <c r="BP624" t="s">
        <v>74</v>
      </c>
      <c r="BQ624" t="s">
        <v>74</v>
      </c>
      <c r="BR624" t="s">
        <v>104</v>
      </c>
      <c r="BS624" t="s">
        <v>12141</v>
      </c>
      <c r="BT624" t="str">
        <f>HYPERLINK("https%3A%2F%2Fwww.webofscience.com%2Fwos%2Fwoscc%2Ffull-record%2FWOS:000439297100010","View Full Record in Web of Science")</f>
        <v>View Full Record in Web of Science</v>
      </c>
    </row>
    <row r="625" spans="1:72" x14ac:dyDescent="0.15">
      <c r="A625" t="s">
        <v>72</v>
      </c>
      <c r="B625" t="s">
        <v>12142</v>
      </c>
      <c r="C625" t="s">
        <v>74</v>
      </c>
      <c r="D625" t="s">
        <v>74</v>
      </c>
      <c r="E625" t="s">
        <v>74</v>
      </c>
      <c r="F625" t="s">
        <v>12143</v>
      </c>
      <c r="G625" t="s">
        <v>74</v>
      </c>
      <c r="H625" t="s">
        <v>74</v>
      </c>
      <c r="I625" t="s">
        <v>12144</v>
      </c>
      <c r="J625" t="s">
        <v>11795</v>
      </c>
      <c r="K625" t="s">
        <v>74</v>
      </c>
      <c r="L625" t="s">
        <v>74</v>
      </c>
      <c r="M625" t="s">
        <v>78</v>
      </c>
      <c r="N625" t="s">
        <v>79</v>
      </c>
      <c r="O625" t="s">
        <v>74</v>
      </c>
      <c r="P625" t="s">
        <v>74</v>
      </c>
      <c r="Q625" t="s">
        <v>74</v>
      </c>
      <c r="R625" t="s">
        <v>74</v>
      </c>
      <c r="S625" t="s">
        <v>74</v>
      </c>
      <c r="T625" t="s">
        <v>74</v>
      </c>
      <c r="U625" t="s">
        <v>12145</v>
      </c>
      <c r="V625" t="s">
        <v>12146</v>
      </c>
      <c r="W625" t="s">
        <v>12147</v>
      </c>
      <c r="X625" t="s">
        <v>12148</v>
      </c>
      <c r="Y625" t="s">
        <v>12149</v>
      </c>
      <c r="Z625" t="s">
        <v>12150</v>
      </c>
      <c r="AA625" t="s">
        <v>12151</v>
      </c>
      <c r="AB625" t="s">
        <v>12152</v>
      </c>
      <c r="AC625" t="s">
        <v>12153</v>
      </c>
      <c r="AD625" t="s">
        <v>12154</v>
      </c>
      <c r="AE625" t="s">
        <v>12155</v>
      </c>
      <c r="AF625" t="s">
        <v>74</v>
      </c>
      <c r="AG625">
        <v>115</v>
      </c>
      <c r="AH625">
        <v>82</v>
      </c>
      <c r="AI625">
        <v>93</v>
      </c>
      <c r="AJ625">
        <v>6</v>
      </c>
      <c r="AK625">
        <v>80</v>
      </c>
      <c r="AL625" t="s">
        <v>1270</v>
      </c>
      <c r="AM625" t="s">
        <v>504</v>
      </c>
      <c r="AN625" t="s">
        <v>1271</v>
      </c>
      <c r="AO625" t="s">
        <v>11797</v>
      </c>
      <c r="AP625" t="s">
        <v>11798</v>
      </c>
      <c r="AQ625" t="s">
        <v>74</v>
      </c>
      <c r="AR625" t="s">
        <v>11795</v>
      </c>
      <c r="AS625" t="s">
        <v>11799</v>
      </c>
      <c r="AT625" t="s">
        <v>12103</v>
      </c>
      <c r="AU625">
        <v>2018</v>
      </c>
      <c r="AV625">
        <v>361</v>
      </c>
      <c r="AW625">
        <v>6399</v>
      </c>
      <c r="AX625" t="s">
        <v>74</v>
      </c>
      <c r="AY625" t="s">
        <v>74</v>
      </c>
      <c r="AZ625" t="s">
        <v>74</v>
      </c>
      <c r="BA625" t="s">
        <v>74</v>
      </c>
      <c r="BB625" t="s">
        <v>74</v>
      </c>
      <c r="BC625" t="s">
        <v>74</v>
      </c>
      <c r="BD625" t="s">
        <v>12156</v>
      </c>
      <c r="BE625" t="s">
        <v>12157</v>
      </c>
      <c r="BF625" t="str">
        <f>HYPERLINK("http://dx.doi.org/10.1126/science.aas8806","http://dx.doi.org/10.1126/science.aas8806")</f>
        <v>http://dx.doi.org/10.1126/science.aas8806</v>
      </c>
      <c r="BG625" t="s">
        <v>74</v>
      </c>
      <c r="BH625" t="s">
        <v>74</v>
      </c>
      <c r="BI625">
        <v>11</v>
      </c>
      <c r="BJ625" t="s">
        <v>436</v>
      </c>
      <c r="BK625" t="s">
        <v>101</v>
      </c>
      <c r="BL625" t="s">
        <v>437</v>
      </c>
      <c r="BM625" t="s">
        <v>12158</v>
      </c>
      <c r="BN625">
        <v>30026201</v>
      </c>
      <c r="BO625" t="s">
        <v>712</v>
      </c>
      <c r="BP625" t="s">
        <v>74</v>
      </c>
      <c r="BQ625" t="s">
        <v>74</v>
      </c>
      <c r="BR625" t="s">
        <v>104</v>
      </c>
      <c r="BS625" t="s">
        <v>12159</v>
      </c>
      <c r="BT625" t="str">
        <f>HYPERLINK("https%3A%2F%2Fwww.webofscience.com%2Fwos%2Fwoscc%2Ffull-record%2FWOS:000439145800034","View Full Record in Web of Science")</f>
        <v>View Full Record in Web of Science</v>
      </c>
    </row>
    <row r="626" spans="1:72" x14ac:dyDescent="0.15">
      <c r="A626" t="s">
        <v>72</v>
      </c>
      <c r="B626" t="s">
        <v>12160</v>
      </c>
      <c r="C626" t="s">
        <v>74</v>
      </c>
      <c r="D626" t="s">
        <v>74</v>
      </c>
      <c r="E626" t="s">
        <v>74</v>
      </c>
      <c r="F626" t="s">
        <v>12161</v>
      </c>
      <c r="G626" t="s">
        <v>74</v>
      </c>
      <c r="H626" t="s">
        <v>74</v>
      </c>
      <c r="I626" t="s">
        <v>12162</v>
      </c>
      <c r="J626" t="s">
        <v>12163</v>
      </c>
      <c r="K626" t="s">
        <v>74</v>
      </c>
      <c r="L626" t="s">
        <v>74</v>
      </c>
      <c r="M626" t="s">
        <v>78</v>
      </c>
      <c r="N626" t="s">
        <v>79</v>
      </c>
      <c r="O626" t="s">
        <v>74</v>
      </c>
      <c r="P626" t="s">
        <v>74</v>
      </c>
      <c r="Q626" t="s">
        <v>74</v>
      </c>
      <c r="R626" t="s">
        <v>74</v>
      </c>
      <c r="S626" t="s">
        <v>74</v>
      </c>
      <c r="T626" t="s">
        <v>12164</v>
      </c>
      <c r="U626" t="s">
        <v>12165</v>
      </c>
      <c r="V626" t="s">
        <v>12166</v>
      </c>
      <c r="W626" t="s">
        <v>12167</v>
      </c>
      <c r="X626" t="s">
        <v>12168</v>
      </c>
      <c r="Y626" t="s">
        <v>12169</v>
      </c>
      <c r="Z626" t="s">
        <v>12170</v>
      </c>
      <c r="AA626" t="s">
        <v>12171</v>
      </c>
      <c r="AB626" t="s">
        <v>12172</v>
      </c>
      <c r="AC626" t="s">
        <v>12173</v>
      </c>
      <c r="AD626" t="s">
        <v>12174</v>
      </c>
      <c r="AE626" t="s">
        <v>12175</v>
      </c>
      <c r="AF626" t="s">
        <v>74</v>
      </c>
      <c r="AG626">
        <v>85</v>
      </c>
      <c r="AH626">
        <v>66</v>
      </c>
      <c r="AI626">
        <v>68</v>
      </c>
      <c r="AJ626">
        <v>1</v>
      </c>
      <c r="AK626">
        <v>35</v>
      </c>
      <c r="AL626" t="s">
        <v>12176</v>
      </c>
      <c r="AM626" t="s">
        <v>12177</v>
      </c>
      <c r="AN626" t="s">
        <v>12178</v>
      </c>
      <c r="AO626" t="s">
        <v>12179</v>
      </c>
      <c r="AP626" t="s">
        <v>12180</v>
      </c>
      <c r="AQ626" t="s">
        <v>74</v>
      </c>
      <c r="AR626" t="s">
        <v>12181</v>
      </c>
      <c r="AS626" t="s">
        <v>12182</v>
      </c>
      <c r="AT626" t="s">
        <v>12183</v>
      </c>
      <c r="AU626">
        <v>2018</v>
      </c>
      <c r="AV626">
        <v>615</v>
      </c>
      <c r="AW626" t="s">
        <v>74</v>
      </c>
      <c r="AX626" t="s">
        <v>74</v>
      </c>
      <c r="AY626" t="s">
        <v>74</v>
      </c>
      <c r="AZ626" t="s">
        <v>74</v>
      </c>
      <c r="BA626" t="s">
        <v>74</v>
      </c>
      <c r="BB626" t="s">
        <v>74</v>
      </c>
      <c r="BC626" t="s">
        <v>74</v>
      </c>
      <c r="BD626" t="s">
        <v>12184</v>
      </c>
      <c r="BE626" t="s">
        <v>12185</v>
      </c>
      <c r="BF626" t="str">
        <f>HYPERLINK("http://dx.doi.org/10.1051/0004-6361/201731892","http://dx.doi.org/10.1051/0004-6361/201731892")</f>
        <v>http://dx.doi.org/10.1051/0004-6361/201731892</v>
      </c>
      <c r="BG626" t="s">
        <v>74</v>
      </c>
      <c r="BH626" t="s">
        <v>74</v>
      </c>
      <c r="BI626">
        <v>13</v>
      </c>
      <c r="BJ626" t="s">
        <v>1301</v>
      </c>
      <c r="BK626" t="s">
        <v>101</v>
      </c>
      <c r="BL626" t="s">
        <v>1301</v>
      </c>
      <c r="BM626" t="s">
        <v>12186</v>
      </c>
      <c r="BN626" t="s">
        <v>74</v>
      </c>
      <c r="BO626" t="s">
        <v>3043</v>
      </c>
      <c r="BP626" t="s">
        <v>74</v>
      </c>
      <c r="BQ626" t="s">
        <v>74</v>
      </c>
      <c r="BR626" t="s">
        <v>104</v>
      </c>
      <c r="BS626" t="s">
        <v>12187</v>
      </c>
      <c r="BT626" t="str">
        <f>HYPERLINK("https%3A%2F%2Fwww.webofscience.com%2Fwos%2Fwoscc%2Ffull-record%2FWOS:000439526600002","View Full Record in Web of Science")</f>
        <v>View Full Record in Web of Science</v>
      </c>
    </row>
    <row r="627" spans="1:72" x14ac:dyDescent="0.15">
      <c r="A627" t="s">
        <v>72</v>
      </c>
      <c r="B627" t="s">
        <v>12188</v>
      </c>
      <c r="C627" t="s">
        <v>74</v>
      </c>
      <c r="D627" t="s">
        <v>74</v>
      </c>
      <c r="E627" t="s">
        <v>74</v>
      </c>
      <c r="F627" t="s">
        <v>12189</v>
      </c>
      <c r="G627" t="s">
        <v>74</v>
      </c>
      <c r="H627" t="s">
        <v>74</v>
      </c>
      <c r="I627" t="s">
        <v>12190</v>
      </c>
      <c r="J627" t="s">
        <v>3366</v>
      </c>
      <c r="K627" t="s">
        <v>74</v>
      </c>
      <c r="L627" t="s">
        <v>74</v>
      </c>
      <c r="M627" t="s">
        <v>78</v>
      </c>
      <c r="N627" t="s">
        <v>79</v>
      </c>
      <c r="O627" t="s">
        <v>74</v>
      </c>
      <c r="P627" t="s">
        <v>74</v>
      </c>
      <c r="Q627" t="s">
        <v>74</v>
      </c>
      <c r="R627" t="s">
        <v>74</v>
      </c>
      <c r="S627" t="s">
        <v>74</v>
      </c>
      <c r="T627" t="s">
        <v>74</v>
      </c>
      <c r="U627" t="s">
        <v>12191</v>
      </c>
      <c r="V627" t="s">
        <v>12192</v>
      </c>
      <c r="W627" t="s">
        <v>12193</v>
      </c>
      <c r="X627" t="s">
        <v>12194</v>
      </c>
      <c r="Y627" t="s">
        <v>12195</v>
      </c>
      <c r="Z627" t="s">
        <v>12196</v>
      </c>
      <c r="AA627" t="s">
        <v>74</v>
      </c>
      <c r="AB627" t="s">
        <v>12197</v>
      </c>
      <c r="AC627" t="s">
        <v>12198</v>
      </c>
      <c r="AD627" t="s">
        <v>12199</v>
      </c>
      <c r="AE627" t="s">
        <v>12200</v>
      </c>
      <c r="AF627" t="s">
        <v>74</v>
      </c>
      <c r="AG627">
        <v>51</v>
      </c>
      <c r="AH627">
        <v>18</v>
      </c>
      <c r="AI627">
        <v>18</v>
      </c>
      <c r="AJ627">
        <v>2</v>
      </c>
      <c r="AK627">
        <v>13</v>
      </c>
      <c r="AL627" t="s">
        <v>3353</v>
      </c>
      <c r="AM627" t="s">
        <v>3354</v>
      </c>
      <c r="AN627" t="s">
        <v>3355</v>
      </c>
      <c r="AO627" t="s">
        <v>3377</v>
      </c>
      <c r="AP627" t="s">
        <v>3378</v>
      </c>
      <c r="AQ627" t="s">
        <v>74</v>
      </c>
      <c r="AR627" t="s">
        <v>3366</v>
      </c>
      <c r="AS627" t="s">
        <v>3379</v>
      </c>
      <c r="AT627" t="s">
        <v>12183</v>
      </c>
      <c r="AU627">
        <v>2018</v>
      </c>
      <c r="AV627">
        <v>12</v>
      </c>
      <c r="AW627">
        <v>7</v>
      </c>
      <c r="AX627" t="s">
        <v>74</v>
      </c>
      <c r="AY627" t="s">
        <v>74</v>
      </c>
      <c r="AZ627" t="s">
        <v>74</v>
      </c>
      <c r="BA627" t="s">
        <v>74</v>
      </c>
      <c r="BB627">
        <v>2307</v>
      </c>
      <c r="BC627">
        <v>2326</v>
      </c>
      <c r="BD627" t="s">
        <v>74</v>
      </c>
      <c r="BE627" t="s">
        <v>12201</v>
      </c>
      <c r="BF627" t="str">
        <f>HYPERLINK("http://dx.doi.org/10.5194/tc-12-2307-2018","http://dx.doi.org/10.5194/tc-12-2307-2018")</f>
        <v>http://dx.doi.org/10.5194/tc-12-2307-2018</v>
      </c>
      <c r="BG627" t="s">
        <v>74</v>
      </c>
      <c r="BH627" t="s">
        <v>74</v>
      </c>
      <c r="BI627">
        <v>20</v>
      </c>
      <c r="BJ627" t="s">
        <v>208</v>
      </c>
      <c r="BK627" t="s">
        <v>101</v>
      </c>
      <c r="BL627" t="s">
        <v>209</v>
      </c>
      <c r="BM627" t="s">
        <v>12202</v>
      </c>
      <c r="BN627" t="s">
        <v>74</v>
      </c>
      <c r="BO627" t="s">
        <v>8220</v>
      </c>
      <c r="BP627" t="s">
        <v>74</v>
      </c>
      <c r="BQ627" t="s">
        <v>74</v>
      </c>
      <c r="BR627" t="s">
        <v>104</v>
      </c>
      <c r="BS627" t="s">
        <v>12203</v>
      </c>
      <c r="BT627" t="str">
        <f>HYPERLINK("https%3A%2F%2Fwww.webofscience.com%2Fwos%2Fwoscc%2Ffull-record%2FWOS:000439170100001","View Full Record in Web of Science")</f>
        <v>View Full Record in Web of Science</v>
      </c>
    </row>
    <row r="628" spans="1:72" x14ac:dyDescent="0.15">
      <c r="A628" t="s">
        <v>72</v>
      </c>
      <c r="B628" t="s">
        <v>12204</v>
      </c>
      <c r="C628" t="s">
        <v>74</v>
      </c>
      <c r="D628" t="s">
        <v>74</v>
      </c>
      <c r="E628" t="s">
        <v>74</v>
      </c>
      <c r="F628" t="s">
        <v>12205</v>
      </c>
      <c r="G628" t="s">
        <v>74</v>
      </c>
      <c r="H628" t="s">
        <v>74</v>
      </c>
      <c r="I628" t="s">
        <v>12206</v>
      </c>
      <c r="J628" t="s">
        <v>3268</v>
      </c>
      <c r="K628" t="s">
        <v>74</v>
      </c>
      <c r="L628" t="s">
        <v>74</v>
      </c>
      <c r="M628" t="s">
        <v>78</v>
      </c>
      <c r="N628" t="s">
        <v>79</v>
      </c>
      <c r="O628" t="s">
        <v>74</v>
      </c>
      <c r="P628" t="s">
        <v>74</v>
      </c>
      <c r="Q628" t="s">
        <v>74</v>
      </c>
      <c r="R628" t="s">
        <v>74</v>
      </c>
      <c r="S628" t="s">
        <v>74</v>
      </c>
      <c r="T628" t="s">
        <v>74</v>
      </c>
      <c r="U628" t="s">
        <v>12207</v>
      </c>
      <c r="V628" t="s">
        <v>12208</v>
      </c>
      <c r="W628" t="s">
        <v>12209</v>
      </c>
      <c r="X628" t="s">
        <v>12210</v>
      </c>
      <c r="Y628" t="s">
        <v>12211</v>
      </c>
      <c r="Z628" t="s">
        <v>12212</v>
      </c>
      <c r="AA628" t="s">
        <v>12213</v>
      </c>
      <c r="AB628" t="s">
        <v>12214</v>
      </c>
      <c r="AC628" t="s">
        <v>12215</v>
      </c>
      <c r="AD628" t="s">
        <v>12216</v>
      </c>
      <c r="AE628" t="s">
        <v>12217</v>
      </c>
      <c r="AF628" t="s">
        <v>74</v>
      </c>
      <c r="AG628">
        <v>70</v>
      </c>
      <c r="AH628">
        <v>16</v>
      </c>
      <c r="AI628">
        <v>18</v>
      </c>
      <c r="AJ628">
        <v>0</v>
      </c>
      <c r="AK628">
        <v>19</v>
      </c>
      <c r="AL628" t="s">
        <v>1130</v>
      </c>
      <c r="AM628" t="s">
        <v>1131</v>
      </c>
      <c r="AN628" t="s">
        <v>1132</v>
      </c>
      <c r="AO628" t="s">
        <v>74</v>
      </c>
      <c r="AP628" t="s">
        <v>3280</v>
      </c>
      <c r="AQ628" t="s">
        <v>74</v>
      </c>
      <c r="AR628" t="s">
        <v>3281</v>
      </c>
      <c r="AS628" t="s">
        <v>3282</v>
      </c>
      <c r="AT628" t="s">
        <v>12218</v>
      </c>
      <c r="AU628">
        <v>2018</v>
      </c>
      <c r="AV628">
        <v>9</v>
      </c>
      <c r="AW628" t="s">
        <v>74</v>
      </c>
      <c r="AX628" t="s">
        <v>74</v>
      </c>
      <c r="AY628" t="s">
        <v>74</v>
      </c>
      <c r="AZ628" t="s">
        <v>74</v>
      </c>
      <c r="BA628" t="s">
        <v>74</v>
      </c>
      <c r="BB628" t="s">
        <v>74</v>
      </c>
      <c r="BC628" t="s">
        <v>74</v>
      </c>
      <c r="BD628">
        <v>2799</v>
      </c>
      <c r="BE628" t="s">
        <v>12219</v>
      </c>
      <c r="BF628" t="str">
        <f>HYPERLINK("http://dx.doi.org/10.1038/s41467-018-05179-4","http://dx.doi.org/10.1038/s41467-018-05179-4")</f>
        <v>http://dx.doi.org/10.1038/s41467-018-05179-4</v>
      </c>
      <c r="BG628" t="s">
        <v>74</v>
      </c>
      <c r="BH628" t="s">
        <v>74</v>
      </c>
      <c r="BI628">
        <v>12</v>
      </c>
      <c r="BJ628" t="s">
        <v>436</v>
      </c>
      <c r="BK628" t="s">
        <v>101</v>
      </c>
      <c r="BL628" t="s">
        <v>437</v>
      </c>
      <c r="BM628" t="s">
        <v>12220</v>
      </c>
      <c r="BN628">
        <v>30022077</v>
      </c>
      <c r="BO628" t="s">
        <v>439</v>
      </c>
      <c r="BP628" t="s">
        <v>74</v>
      </c>
      <c r="BQ628" t="s">
        <v>74</v>
      </c>
      <c r="BR628" t="s">
        <v>104</v>
      </c>
      <c r="BS628" t="s">
        <v>12221</v>
      </c>
      <c r="BT628" t="str">
        <f>HYPERLINK("https%3A%2F%2Fwww.webofscience.com%2Fwos%2Fwoscc%2Ffull-record%2FWOS:000439030100009","View Full Record in Web of Science")</f>
        <v>View Full Record in Web of Science</v>
      </c>
    </row>
    <row r="629" spans="1:72" x14ac:dyDescent="0.15">
      <c r="A629" t="s">
        <v>72</v>
      </c>
      <c r="B629" t="s">
        <v>12222</v>
      </c>
      <c r="C629" t="s">
        <v>74</v>
      </c>
      <c r="D629" t="s">
        <v>74</v>
      </c>
      <c r="E629" t="s">
        <v>74</v>
      </c>
      <c r="F629" t="s">
        <v>12223</v>
      </c>
      <c r="G629" t="s">
        <v>74</v>
      </c>
      <c r="H629" t="s">
        <v>74</v>
      </c>
      <c r="I629" t="s">
        <v>12224</v>
      </c>
      <c r="J629" t="s">
        <v>4315</v>
      </c>
      <c r="K629" t="s">
        <v>74</v>
      </c>
      <c r="L629" t="s">
        <v>74</v>
      </c>
      <c r="M629" t="s">
        <v>78</v>
      </c>
      <c r="N629" t="s">
        <v>79</v>
      </c>
      <c r="O629" t="s">
        <v>74</v>
      </c>
      <c r="P629" t="s">
        <v>74</v>
      </c>
      <c r="Q629" t="s">
        <v>74</v>
      </c>
      <c r="R629" t="s">
        <v>74</v>
      </c>
      <c r="S629" t="s">
        <v>74</v>
      </c>
      <c r="T629" t="s">
        <v>12225</v>
      </c>
      <c r="U629" t="s">
        <v>12226</v>
      </c>
      <c r="V629" t="s">
        <v>12227</v>
      </c>
      <c r="W629" t="s">
        <v>12228</v>
      </c>
      <c r="X629" t="s">
        <v>12229</v>
      </c>
      <c r="Y629" t="s">
        <v>12230</v>
      </c>
      <c r="Z629" t="s">
        <v>12231</v>
      </c>
      <c r="AA629" t="s">
        <v>12232</v>
      </c>
      <c r="AB629" t="s">
        <v>12233</v>
      </c>
      <c r="AC629" t="s">
        <v>12234</v>
      </c>
      <c r="AD629" t="s">
        <v>12235</v>
      </c>
      <c r="AE629" t="s">
        <v>12236</v>
      </c>
      <c r="AF629" t="s">
        <v>74</v>
      </c>
      <c r="AG629">
        <v>70</v>
      </c>
      <c r="AH629">
        <v>24</v>
      </c>
      <c r="AI629">
        <v>24</v>
      </c>
      <c r="AJ629">
        <v>0</v>
      </c>
      <c r="AK629">
        <v>5</v>
      </c>
      <c r="AL629" t="s">
        <v>4328</v>
      </c>
      <c r="AM629" t="s">
        <v>4329</v>
      </c>
      <c r="AN629" t="s">
        <v>12237</v>
      </c>
      <c r="AO629" t="s">
        <v>4331</v>
      </c>
      <c r="AP629" t="s">
        <v>4332</v>
      </c>
      <c r="AQ629" t="s">
        <v>74</v>
      </c>
      <c r="AR629" t="s">
        <v>4315</v>
      </c>
      <c r="AS629" t="s">
        <v>4333</v>
      </c>
      <c r="AT629" t="s">
        <v>12238</v>
      </c>
      <c r="AU629">
        <v>2018</v>
      </c>
      <c r="AV629">
        <v>4446</v>
      </c>
      <c r="AW629">
        <v>2</v>
      </c>
      <c r="AX629" t="s">
        <v>74</v>
      </c>
      <c r="AY629" t="s">
        <v>74</v>
      </c>
      <c r="AZ629" t="s">
        <v>74</v>
      </c>
      <c r="BA629" t="s">
        <v>74</v>
      </c>
      <c r="BB629">
        <v>273</v>
      </c>
      <c r="BC629">
        <v>291</v>
      </c>
      <c r="BD629" t="s">
        <v>74</v>
      </c>
      <c r="BE629" t="s">
        <v>12239</v>
      </c>
      <c r="BF629" t="str">
        <f>HYPERLINK("http://dx.doi.org/10.11646/zootaxa.4446.2.7","http://dx.doi.org/10.11646/zootaxa.4446.2.7")</f>
        <v>http://dx.doi.org/10.11646/zootaxa.4446.2.7</v>
      </c>
      <c r="BG629" t="s">
        <v>74</v>
      </c>
      <c r="BH629" t="s">
        <v>74</v>
      </c>
      <c r="BI629">
        <v>19</v>
      </c>
      <c r="BJ629" t="s">
        <v>2343</v>
      </c>
      <c r="BK629" t="s">
        <v>101</v>
      </c>
      <c r="BL629" t="s">
        <v>2343</v>
      </c>
      <c r="BM629" t="s">
        <v>12240</v>
      </c>
      <c r="BN629">
        <v>30313891</v>
      </c>
      <c r="BO629" t="s">
        <v>74</v>
      </c>
      <c r="BP629" t="s">
        <v>74</v>
      </c>
      <c r="BQ629" t="s">
        <v>74</v>
      </c>
      <c r="BR629" t="s">
        <v>104</v>
      </c>
      <c r="BS629" t="s">
        <v>12241</v>
      </c>
      <c r="BT629" t="str">
        <f>HYPERLINK("https%3A%2F%2Fwww.webofscience.com%2Fwos%2Fwoscc%2Ffull-record%2FWOS:000438796200007","View Full Record in Web of Science")</f>
        <v>View Full Record in Web of Science</v>
      </c>
    </row>
    <row r="630" spans="1:72" x14ac:dyDescent="0.15">
      <c r="A630" t="s">
        <v>72</v>
      </c>
      <c r="B630" t="s">
        <v>12242</v>
      </c>
      <c r="C630" t="s">
        <v>74</v>
      </c>
      <c r="D630" t="s">
        <v>74</v>
      </c>
      <c r="E630" t="s">
        <v>74</v>
      </c>
      <c r="F630" t="s">
        <v>12243</v>
      </c>
      <c r="G630" t="s">
        <v>74</v>
      </c>
      <c r="H630" t="s">
        <v>74</v>
      </c>
      <c r="I630" t="s">
        <v>12244</v>
      </c>
      <c r="J630" t="s">
        <v>7645</v>
      </c>
      <c r="K630" t="s">
        <v>74</v>
      </c>
      <c r="L630" t="s">
        <v>74</v>
      </c>
      <c r="M630" t="s">
        <v>78</v>
      </c>
      <c r="N630" t="s">
        <v>79</v>
      </c>
      <c r="O630" t="s">
        <v>74</v>
      </c>
      <c r="P630" t="s">
        <v>74</v>
      </c>
      <c r="Q630" t="s">
        <v>74</v>
      </c>
      <c r="R630" t="s">
        <v>74</v>
      </c>
      <c r="S630" t="s">
        <v>74</v>
      </c>
      <c r="T630" t="s">
        <v>12245</v>
      </c>
      <c r="U630" t="s">
        <v>12246</v>
      </c>
      <c r="V630" t="s">
        <v>12247</v>
      </c>
      <c r="W630" t="s">
        <v>12248</v>
      </c>
      <c r="X630" t="s">
        <v>12249</v>
      </c>
      <c r="Y630" t="s">
        <v>12250</v>
      </c>
      <c r="Z630" t="s">
        <v>12251</v>
      </c>
      <c r="AA630" t="s">
        <v>12252</v>
      </c>
      <c r="AB630" t="s">
        <v>12253</v>
      </c>
      <c r="AC630" t="s">
        <v>12254</v>
      </c>
      <c r="AD630" t="s">
        <v>12255</v>
      </c>
      <c r="AE630" t="s">
        <v>12256</v>
      </c>
      <c r="AF630" t="s">
        <v>74</v>
      </c>
      <c r="AG630">
        <v>98</v>
      </c>
      <c r="AH630">
        <v>18</v>
      </c>
      <c r="AI630">
        <v>20</v>
      </c>
      <c r="AJ630">
        <v>5</v>
      </c>
      <c r="AK630">
        <v>31</v>
      </c>
      <c r="AL630" t="s">
        <v>3174</v>
      </c>
      <c r="AM630" t="s">
        <v>3175</v>
      </c>
      <c r="AN630" t="s">
        <v>3176</v>
      </c>
      <c r="AO630" t="s">
        <v>7658</v>
      </c>
      <c r="AP630" t="s">
        <v>74</v>
      </c>
      <c r="AQ630" t="s">
        <v>74</v>
      </c>
      <c r="AR630" t="s">
        <v>7659</v>
      </c>
      <c r="AS630" t="s">
        <v>7660</v>
      </c>
      <c r="AT630" t="s">
        <v>12238</v>
      </c>
      <c r="AU630">
        <v>2018</v>
      </c>
      <c r="AV630">
        <v>9</v>
      </c>
      <c r="AW630" t="s">
        <v>74</v>
      </c>
      <c r="AX630" t="s">
        <v>74</v>
      </c>
      <c r="AY630" t="s">
        <v>74</v>
      </c>
      <c r="AZ630" t="s">
        <v>74</v>
      </c>
      <c r="BA630" t="s">
        <v>74</v>
      </c>
      <c r="BB630" t="s">
        <v>74</v>
      </c>
      <c r="BC630" t="s">
        <v>74</v>
      </c>
      <c r="BD630">
        <v>1474</v>
      </c>
      <c r="BE630" t="s">
        <v>12257</v>
      </c>
      <c r="BF630" t="str">
        <f>HYPERLINK("http://dx.doi.org/10.3389/fmicb.2018.01474","http://dx.doi.org/10.3389/fmicb.2018.01474")</f>
        <v>http://dx.doi.org/10.3389/fmicb.2018.01474</v>
      </c>
      <c r="BG630" t="s">
        <v>74</v>
      </c>
      <c r="BH630" t="s">
        <v>74</v>
      </c>
      <c r="BI630">
        <v>17</v>
      </c>
      <c r="BJ630" t="s">
        <v>344</v>
      </c>
      <c r="BK630" t="s">
        <v>101</v>
      </c>
      <c r="BL630" t="s">
        <v>344</v>
      </c>
      <c r="BM630" t="s">
        <v>12258</v>
      </c>
      <c r="BN630">
        <v>30065704</v>
      </c>
      <c r="BO630" t="s">
        <v>9552</v>
      </c>
      <c r="BP630" t="s">
        <v>74</v>
      </c>
      <c r="BQ630" t="s">
        <v>74</v>
      </c>
      <c r="BR630" t="s">
        <v>104</v>
      </c>
      <c r="BS630" t="s">
        <v>12259</v>
      </c>
      <c r="BT630" t="str">
        <f>HYPERLINK("https%3A%2F%2Fwww.webofscience.com%2Fwos%2Fwoscc%2Ffull-record%2FWOS:000438921400001","View Full Record in Web of Science")</f>
        <v>View Full Record in Web of Science</v>
      </c>
    </row>
    <row r="631" spans="1:72" x14ac:dyDescent="0.15">
      <c r="A631" t="s">
        <v>72</v>
      </c>
      <c r="B631" t="s">
        <v>12260</v>
      </c>
      <c r="C631" t="s">
        <v>74</v>
      </c>
      <c r="D631" t="s">
        <v>74</v>
      </c>
      <c r="E631" t="s">
        <v>74</v>
      </c>
      <c r="F631" t="s">
        <v>12261</v>
      </c>
      <c r="G631" t="s">
        <v>74</v>
      </c>
      <c r="H631" t="s">
        <v>74</v>
      </c>
      <c r="I631" t="s">
        <v>12262</v>
      </c>
      <c r="J631" t="s">
        <v>3268</v>
      </c>
      <c r="K631" t="s">
        <v>74</v>
      </c>
      <c r="L631" t="s">
        <v>74</v>
      </c>
      <c r="M631" t="s">
        <v>78</v>
      </c>
      <c r="N631" t="s">
        <v>79</v>
      </c>
      <c r="O631" t="s">
        <v>74</v>
      </c>
      <c r="P631" t="s">
        <v>74</v>
      </c>
      <c r="Q631" t="s">
        <v>74</v>
      </c>
      <c r="R631" t="s">
        <v>74</v>
      </c>
      <c r="S631" t="s">
        <v>74</v>
      </c>
      <c r="T631" t="s">
        <v>74</v>
      </c>
      <c r="U631" t="s">
        <v>12263</v>
      </c>
      <c r="V631" t="s">
        <v>12264</v>
      </c>
      <c r="W631" t="s">
        <v>12265</v>
      </c>
      <c r="X631" t="s">
        <v>12266</v>
      </c>
      <c r="Y631" t="s">
        <v>12267</v>
      </c>
      <c r="Z631" t="s">
        <v>12268</v>
      </c>
      <c r="AA631" t="s">
        <v>74</v>
      </c>
      <c r="AB631" t="s">
        <v>12269</v>
      </c>
      <c r="AC631" t="s">
        <v>12270</v>
      </c>
      <c r="AD631" t="s">
        <v>12271</v>
      </c>
      <c r="AE631" t="s">
        <v>12272</v>
      </c>
      <c r="AF631" t="s">
        <v>74</v>
      </c>
      <c r="AG631">
        <v>47</v>
      </c>
      <c r="AH631">
        <v>48</v>
      </c>
      <c r="AI631">
        <v>54</v>
      </c>
      <c r="AJ631">
        <v>3</v>
      </c>
      <c r="AK631">
        <v>18</v>
      </c>
      <c r="AL631" t="s">
        <v>1159</v>
      </c>
      <c r="AM631" t="s">
        <v>704</v>
      </c>
      <c r="AN631" t="s">
        <v>2728</v>
      </c>
      <c r="AO631" t="s">
        <v>3280</v>
      </c>
      <c r="AP631" t="s">
        <v>74</v>
      </c>
      <c r="AQ631" t="s">
        <v>74</v>
      </c>
      <c r="AR631" t="s">
        <v>3281</v>
      </c>
      <c r="AS631" t="s">
        <v>3282</v>
      </c>
      <c r="AT631" t="s">
        <v>12238</v>
      </c>
      <c r="AU631">
        <v>2018</v>
      </c>
      <c r="AV631">
        <v>9</v>
      </c>
      <c r="AW631" t="s">
        <v>74</v>
      </c>
      <c r="AX631" t="s">
        <v>74</v>
      </c>
      <c r="AY631" t="s">
        <v>74</v>
      </c>
      <c r="AZ631" t="s">
        <v>74</v>
      </c>
      <c r="BA631" t="s">
        <v>74</v>
      </c>
      <c r="BB631" t="s">
        <v>74</v>
      </c>
      <c r="BC631" t="s">
        <v>74</v>
      </c>
      <c r="BD631">
        <v>2768</v>
      </c>
      <c r="BE631" t="s">
        <v>12273</v>
      </c>
      <c r="BF631" t="str">
        <f>HYPERLINK("http://dx.doi.org/10.1038/s41467-018-05180-x","http://dx.doi.org/10.1038/s41467-018-05180-x")</f>
        <v>http://dx.doi.org/10.1038/s41467-018-05180-x</v>
      </c>
      <c r="BG631" t="s">
        <v>74</v>
      </c>
      <c r="BH631" t="s">
        <v>74</v>
      </c>
      <c r="BI631">
        <v>11</v>
      </c>
      <c r="BJ631" t="s">
        <v>436</v>
      </c>
      <c r="BK631" t="s">
        <v>101</v>
      </c>
      <c r="BL631" t="s">
        <v>437</v>
      </c>
      <c r="BM631" t="s">
        <v>12274</v>
      </c>
      <c r="BN631">
        <v>30018326</v>
      </c>
      <c r="BO631" t="s">
        <v>103</v>
      </c>
      <c r="BP631" t="s">
        <v>74</v>
      </c>
      <c r="BQ631" t="s">
        <v>74</v>
      </c>
      <c r="BR631" t="s">
        <v>104</v>
      </c>
      <c r="BS631" t="s">
        <v>12275</v>
      </c>
      <c r="BT631" t="str">
        <f>HYPERLINK("https%3A%2F%2Fwww.webofscience.com%2Fwos%2Fwoscc%2Ffull-record%2FWOS:000438856900008","View Full Record in Web of Science")</f>
        <v>View Full Record in Web of Science</v>
      </c>
    </row>
    <row r="632" spans="1:72" x14ac:dyDescent="0.15">
      <c r="A632" t="s">
        <v>72</v>
      </c>
      <c r="B632" t="s">
        <v>12276</v>
      </c>
      <c r="C632" t="s">
        <v>74</v>
      </c>
      <c r="D632" t="s">
        <v>74</v>
      </c>
      <c r="E632" t="s">
        <v>74</v>
      </c>
      <c r="F632" t="s">
        <v>12277</v>
      </c>
      <c r="G632" t="s">
        <v>74</v>
      </c>
      <c r="H632" t="s">
        <v>74</v>
      </c>
      <c r="I632" t="s">
        <v>12278</v>
      </c>
      <c r="J632" t="s">
        <v>3089</v>
      </c>
      <c r="K632" t="s">
        <v>74</v>
      </c>
      <c r="L632" t="s">
        <v>74</v>
      </c>
      <c r="M632" t="s">
        <v>78</v>
      </c>
      <c r="N632" t="s">
        <v>79</v>
      </c>
      <c r="O632" t="s">
        <v>74</v>
      </c>
      <c r="P632" t="s">
        <v>74</v>
      </c>
      <c r="Q632" t="s">
        <v>74</v>
      </c>
      <c r="R632" t="s">
        <v>74</v>
      </c>
      <c r="S632" t="s">
        <v>74</v>
      </c>
      <c r="T632" t="s">
        <v>74</v>
      </c>
      <c r="U632" t="s">
        <v>12279</v>
      </c>
      <c r="V632" t="s">
        <v>12280</v>
      </c>
      <c r="W632" t="s">
        <v>12281</v>
      </c>
      <c r="X632" t="s">
        <v>12282</v>
      </c>
      <c r="Y632" t="s">
        <v>12283</v>
      </c>
      <c r="Z632" t="s">
        <v>12284</v>
      </c>
      <c r="AA632" t="s">
        <v>12285</v>
      </c>
      <c r="AB632" t="s">
        <v>12286</v>
      </c>
      <c r="AC632" t="s">
        <v>12287</v>
      </c>
      <c r="AD632" t="s">
        <v>12288</v>
      </c>
      <c r="AE632" t="s">
        <v>12289</v>
      </c>
      <c r="AF632" t="s">
        <v>74</v>
      </c>
      <c r="AG632">
        <v>110</v>
      </c>
      <c r="AH632">
        <v>70</v>
      </c>
      <c r="AI632">
        <v>73</v>
      </c>
      <c r="AJ632">
        <v>1</v>
      </c>
      <c r="AK632">
        <v>30</v>
      </c>
      <c r="AL632" t="s">
        <v>503</v>
      </c>
      <c r="AM632" t="s">
        <v>504</v>
      </c>
      <c r="AN632" t="s">
        <v>505</v>
      </c>
      <c r="AO632" t="s">
        <v>3100</v>
      </c>
      <c r="AP632" t="s">
        <v>3101</v>
      </c>
      <c r="AQ632" t="s">
        <v>74</v>
      </c>
      <c r="AR632" t="s">
        <v>3102</v>
      </c>
      <c r="AS632" t="s">
        <v>3103</v>
      </c>
      <c r="AT632" t="s">
        <v>12290</v>
      </c>
      <c r="AU632">
        <v>2018</v>
      </c>
      <c r="AV632">
        <v>45</v>
      </c>
      <c r="AW632">
        <v>13</v>
      </c>
      <c r="AX632" t="s">
        <v>74</v>
      </c>
      <c r="AY632" t="s">
        <v>74</v>
      </c>
      <c r="AZ632" t="s">
        <v>74</v>
      </c>
      <c r="BA632" t="s">
        <v>74</v>
      </c>
      <c r="BB632">
        <v>6437</v>
      </c>
      <c r="BC632">
        <v>6449</v>
      </c>
      <c r="BD632" t="s">
        <v>74</v>
      </c>
      <c r="BE632" t="s">
        <v>12291</v>
      </c>
      <c r="BF632" t="str">
        <f>HYPERLINK("http://dx.doi.org/10.1029/2018GL078153","http://dx.doi.org/10.1029/2018GL078153")</f>
        <v>http://dx.doi.org/10.1029/2018GL078153</v>
      </c>
      <c r="BG632" t="s">
        <v>74</v>
      </c>
      <c r="BH632" t="s">
        <v>74</v>
      </c>
      <c r="BI632">
        <v>13</v>
      </c>
      <c r="BJ632" t="s">
        <v>182</v>
      </c>
      <c r="BK632" t="s">
        <v>101</v>
      </c>
      <c r="BL632" t="s">
        <v>183</v>
      </c>
      <c r="BM632" t="s">
        <v>12292</v>
      </c>
      <c r="BN632" t="s">
        <v>74</v>
      </c>
      <c r="BO632" t="s">
        <v>944</v>
      </c>
      <c r="BP632" t="s">
        <v>74</v>
      </c>
      <c r="BQ632" t="s">
        <v>74</v>
      </c>
      <c r="BR632" t="s">
        <v>104</v>
      </c>
      <c r="BS632" t="s">
        <v>12293</v>
      </c>
      <c r="BT632" t="str">
        <f>HYPERLINK("https%3A%2F%2Fwww.webofscience.com%2Fwos%2Fwoscc%2Ffull-record%2FWOS:000439784300013","View Full Record in Web of Science")</f>
        <v>View Full Record in Web of Science</v>
      </c>
    </row>
    <row r="633" spans="1:72" x14ac:dyDescent="0.15">
      <c r="A633" t="s">
        <v>72</v>
      </c>
      <c r="B633" t="s">
        <v>12294</v>
      </c>
      <c r="C633" t="s">
        <v>74</v>
      </c>
      <c r="D633" t="s">
        <v>74</v>
      </c>
      <c r="E633" t="s">
        <v>74</v>
      </c>
      <c r="F633" t="s">
        <v>12295</v>
      </c>
      <c r="G633" t="s">
        <v>74</v>
      </c>
      <c r="H633" t="s">
        <v>74</v>
      </c>
      <c r="I633" t="s">
        <v>12296</v>
      </c>
      <c r="J633" t="s">
        <v>3089</v>
      </c>
      <c r="K633" t="s">
        <v>74</v>
      </c>
      <c r="L633" t="s">
        <v>74</v>
      </c>
      <c r="M633" t="s">
        <v>78</v>
      </c>
      <c r="N633" t="s">
        <v>79</v>
      </c>
      <c r="O633" t="s">
        <v>74</v>
      </c>
      <c r="P633" t="s">
        <v>74</v>
      </c>
      <c r="Q633" t="s">
        <v>74</v>
      </c>
      <c r="R633" t="s">
        <v>74</v>
      </c>
      <c r="S633" t="s">
        <v>74</v>
      </c>
      <c r="T633" t="s">
        <v>12297</v>
      </c>
      <c r="U633" t="s">
        <v>12298</v>
      </c>
      <c r="V633" t="s">
        <v>12299</v>
      </c>
      <c r="W633" t="s">
        <v>12300</v>
      </c>
      <c r="X633" t="s">
        <v>12301</v>
      </c>
      <c r="Y633" t="s">
        <v>12302</v>
      </c>
      <c r="Z633" t="s">
        <v>12303</v>
      </c>
      <c r="AA633" t="s">
        <v>12304</v>
      </c>
      <c r="AB633" t="s">
        <v>12305</v>
      </c>
      <c r="AC633" t="s">
        <v>12306</v>
      </c>
      <c r="AD633" t="s">
        <v>12307</v>
      </c>
      <c r="AE633" t="s">
        <v>12308</v>
      </c>
      <c r="AF633" t="s">
        <v>74</v>
      </c>
      <c r="AG633">
        <v>26</v>
      </c>
      <c r="AH633">
        <v>13</v>
      </c>
      <c r="AI633">
        <v>13</v>
      </c>
      <c r="AJ633">
        <v>5</v>
      </c>
      <c r="AK633">
        <v>39</v>
      </c>
      <c r="AL633" t="s">
        <v>503</v>
      </c>
      <c r="AM633" t="s">
        <v>504</v>
      </c>
      <c r="AN633" t="s">
        <v>505</v>
      </c>
      <c r="AO633" t="s">
        <v>3100</v>
      </c>
      <c r="AP633" t="s">
        <v>3101</v>
      </c>
      <c r="AQ633" t="s">
        <v>74</v>
      </c>
      <c r="AR633" t="s">
        <v>3102</v>
      </c>
      <c r="AS633" t="s">
        <v>3103</v>
      </c>
      <c r="AT633" t="s">
        <v>12290</v>
      </c>
      <c r="AU633">
        <v>2018</v>
      </c>
      <c r="AV633">
        <v>45</v>
      </c>
      <c r="AW633">
        <v>13</v>
      </c>
      <c r="AX633" t="s">
        <v>74</v>
      </c>
      <c r="AY633" t="s">
        <v>74</v>
      </c>
      <c r="AZ633" t="s">
        <v>74</v>
      </c>
      <c r="BA633" t="s">
        <v>74</v>
      </c>
      <c r="BB633">
        <v>6726</v>
      </c>
      <c r="BC633">
        <v>6733</v>
      </c>
      <c r="BD633" t="s">
        <v>74</v>
      </c>
      <c r="BE633" t="s">
        <v>12309</v>
      </c>
      <c r="BF633" t="str">
        <f>HYPERLINK("http://dx.doi.org/10.1029/2018GL078480","http://dx.doi.org/10.1029/2018GL078480")</f>
        <v>http://dx.doi.org/10.1029/2018GL078480</v>
      </c>
      <c r="BG633" t="s">
        <v>74</v>
      </c>
      <c r="BH633" t="s">
        <v>74</v>
      </c>
      <c r="BI633">
        <v>8</v>
      </c>
      <c r="BJ633" t="s">
        <v>182</v>
      </c>
      <c r="BK633" t="s">
        <v>101</v>
      </c>
      <c r="BL633" t="s">
        <v>183</v>
      </c>
      <c r="BM633" t="s">
        <v>12292</v>
      </c>
      <c r="BN633" t="s">
        <v>74</v>
      </c>
      <c r="BO633" t="s">
        <v>712</v>
      </c>
      <c r="BP633" t="s">
        <v>74</v>
      </c>
      <c r="BQ633" t="s">
        <v>74</v>
      </c>
      <c r="BR633" t="s">
        <v>104</v>
      </c>
      <c r="BS633" t="s">
        <v>12310</v>
      </c>
      <c r="BT633" t="str">
        <f>HYPERLINK("https%3A%2F%2Fwww.webofscience.com%2Fwos%2Fwoscc%2Ffull-record%2FWOS:000439784300045","View Full Record in Web of Science")</f>
        <v>View Full Record in Web of Science</v>
      </c>
    </row>
    <row r="634" spans="1:72" x14ac:dyDescent="0.15">
      <c r="A634" t="s">
        <v>72</v>
      </c>
      <c r="B634" t="s">
        <v>12311</v>
      </c>
      <c r="C634" t="s">
        <v>74</v>
      </c>
      <c r="D634" t="s">
        <v>74</v>
      </c>
      <c r="E634" t="s">
        <v>74</v>
      </c>
      <c r="F634" t="s">
        <v>12312</v>
      </c>
      <c r="G634" t="s">
        <v>74</v>
      </c>
      <c r="H634" t="s">
        <v>74</v>
      </c>
      <c r="I634" t="s">
        <v>12313</v>
      </c>
      <c r="J634" t="s">
        <v>3226</v>
      </c>
      <c r="K634" t="s">
        <v>74</v>
      </c>
      <c r="L634" t="s">
        <v>74</v>
      </c>
      <c r="M634" t="s">
        <v>78</v>
      </c>
      <c r="N634" t="s">
        <v>79</v>
      </c>
      <c r="O634" t="s">
        <v>74</v>
      </c>
      <c r="P634" t="s">
        <v>74</v>
      </c>
      <c r="Q634" t="s">
        <v>74</v>
      </c>
      <c r="R634" t="s">
        <v>74</v>
      </c>
      <c r="S634" t="s">
        <v>74</v>
      </c>
      <c r="T634" t="s">
        <v>12314</v>
      </c>
      <c r="U634" t="s">
        <v>12315</v>
      </c>
      <c r="V634" t="s">
        <v>12316</v>
      </c>
      <c r="W634" t="s">
        <v>12317</v>
      </c>
      <c r="X634" t="s">
        <v>12318</v>
      </c>
      <c r="Y634" t="s">
        <v>12319</v>
      </c>
      <c r="Z634" t="s">
        <v>12320</v>
      </c>
      <c r="AA634" t="s">
        <v>12321</v>
      </c>
      <c r="AB634" t="s">
        <v>12322</v>
      </c>
      <c r="AC634" t="s">
        <v>12323</v>
      </c>
      <c r="AD634" t="s">
        <v>12324</v>
      </c>
      <c r="AE634" t="s">
        <v>12325</v>
      </c>
      <c r="AF634" t="s">
        <v>74</v>
      </c>
      <c r="AG634">
        <v>41</v>
      </c>
      <c r="AH634">
        <v>14</v>
      </c>
      <c r="AI634">
        <v>15</v>
      </c>
      <c r="AJ634">
        <v>1</v>
      </c>
      <c r="AK634">
        <v>11</v>
      </c>
      <c r="AL634" t="s">
        <v>503</v>
      </c>
      <c r="AM634" t="s">
        <v>504</v>
      </c>
      <c r="AN634" t="s">
        <v>505</v>
      </c>
      <c r="AO634" t="s">
        <v>3239</v>
      </c>
      <c r="AP634" t="s">
        <v>3240</v>
      </c>
      <c r="AQ634" t="s">
        <v>74</v>
      </c>
      <c r="AR634" t="s">
        <v>3241</v>
      </c>
      <c r="AS634" t="s">
        <v>3242</v>
      </c>
      <c r="AT634" t="s">
        <v>12290</v>
      </c>
      <c r="AU634">
        <v>2018</v>
      </c>
      <c r="AV634">
        <v>123</v>
      </c>
      <c r="AW634">
        <v>13</v>
      </c>
      <c r="AX634" t="s">
        <v>74</v>
      </c>
      <c r="AY634" t="s">
        <v>74</v>
      </c>
      <c r="AZ634" t="s">
        <v>74</v>
      </c>
      <c r="BA634" t="s">
        <v>74</v>
      </c>
      <c r="BB634">
        <v>6984</v>
      </c>
      <c r="BC634">
        <v>6998</v>
      </c>
      <c r="BD634" t="s">
        <v>74</v>
      </c>
      <c r="BE634" t="s">
        <v>12326</v>
      </c>
      <c r="BF634" t="str">
        <f>HYPERLINK("http://dx.doi.org/10.1029/2017JD028211","http://dx.doi.org/10.1029/2017JD028211")</f>
        <v>http://dx.doi.org/10.1029/2017JD028211</v>
      </c>
      <c r="BG634" t="s">
        <v>74</v>
      </c>
      <c r="BH634" t="s">
        <v>74</v>
      </c>
      <c r="BI634">
        <v>15</v>
      </c>
      <c r="BJ634" t="s">
        <v>369</v>
      </c>
      <c r="BK634" t="s">
        <v>101</v>
      </c>
      <c r="BL634" t="s">
        <v>369</v>
      </c>
      <c r="BM634" t="s">
        <v>12327</v>
      </c>
      <c r="BN634" t="s">
        <v>74</v>
      </c>
      <c r="BO634" t="s">
        <v>1884</v>
      </c>
      <c r="BP634" t="s">
        <v>74</v>
      </c>
      <c r="BQ634" t="s">
        <v>74</v>
      </c>
      <c r="BR634" t="s">
        <v>104</v>
      </c>
      <c r="BS634" t="s">
        <v>12328</v>
      </c>
      <c r="BT634" t="str">
        <f>HYPERLINK("https%3A%2F%2Fwww.webofscience.com%2Fwos%2Fwoscc%2Ffull-record%2FWOS:000439799300018","View Full Record in Web of Science")</f>
        <v>View Full Record in Web of Science</v>
      </c>
    </row>
    <row r="635" spans="1:72" x14ac:dyDescent="0.15">
      <c r="A635" t="s">
        <v>72</v>
      </c>
      <c r="B635" t="s">
        <v>12329</v>
      </c>
      <c r="C635" t="s">
        <v>74</v>
      </c>
      <c r="D635" t="s">
        <v>74</v>
      </c>
      <c r="E635" t="s">
        <v>74</v>
      </c>
      <c r="F635" t="s">
        <v>12330</v>
      </c>
      <c r="G635" t="s">
        <v>74</v>
      </c>
      <c r="H635" t="s">
        <v>74</v>
      </c>
      <c r="I635" t="s">
        <v>12331</v>
      </c>
      <c r="J635" t="s">
        <v>3089</v>
      </c>
      <c r="K635" t="s">
        <v>74</v>
      </c>
      <c r="L635" t="s">
        <v>74</v>
      </c>
      <c r="M635" t="s">
        <v>78</v>
      </c>
      <c r="N635" t="s">
        <v>79</v>
      </c>
      <c r="O635" t="s">
        <v>74</v>
      </c>
      <c r="P635" t="s">
        <v>74</v>
      </c>
      <c r="Q635" t="s">
        <v>74</v>
      </c>
      <c r="R635" t="s">
        <v>74</v>
      </c>
      <c r="S635" t="s">
        <v>74</v>
      </c>
      <c r="T635" t="s">
        <v>12332</v>
      </c>
      <c r="U635" t="s">
        <v>12333</v>
      </c>
      <c r="V635" t="s">
        <v>12334</v>
      </c>
      <c r="W635" t="s">
        <v>12335</v>
      </c>
      <c r="X635" t="s">
        <v>12336</v>
      </c>
      <c r="Y635" t="s">
        <v>12337</v>
      </c>
      <c r="Z635" t="s">
        <v>12338</v>
      </c>
      <c r="AA635" t="s">
        <v>12339</v>
      </c>
      <c r="AB635" t="s">
        <v>12340</v>
      </c>
      <c r="AC635" t="s">
        <v>12341</v>
      </c>
      <c r="AD635" t="s">
        <v>12342</v>
      </c>
      <c r="AE635" t="s">
        <v>12343</v>
      </c>
      <c r="AF635" t="s">
        <v>74</v>
      </c>
      <c r="AG635">
        <v>38</v>
      </c>
      <c r="AH635">
        <v>21</v>
      </c>
      <c r="AI635">
        <v>25</v>
      </c>
      <c r="AJ635">
        <v>1</v>
      </c>
      <c r="AK635">
        <v>14</v>
      </c>
      <c r="AL635" t="s">
        <v>503</v>
      </c>
      <c r="AM635" t="s">
        <v>504</v>
      </c>
      <c r="AN635" t="s">
        <v>505</v>
      </c>
      <c r="AO635" t="s">
        <v>3100</v>
      </c>
      <c r="AP635" t="s">
        <v>3101</v>
      </c>
      <c r="AQ635" t="s">
        <v>74</v>
      </c>
      <c r="AR635" t="s">
        <v>3102</v>
      </c>
      <c r="AS635" t="s">
        <v>3103</v>
      </c>
      <c r="AT635" t="s">
        <v>12290</v>
      </c>
      <c r="AU635">
        <v>2018</v>
      </c>
      <c r="AV635">
        <v>45</v>
      </c>
      <c r="AW635">
        <v>13</v>
      </c>
      <c r="AX635" t="s">
        <v>74</v>
      </c>
      <c r="AY635" t="s">
        <v>74</v>
      </c>
      <c r="AZ635" t="s">
        <v>74</v>
      </c>
      <c r="BA635" t="s">
        <v>74</v>
      </c>
      <c r="BB635">
        <v>6557</v>
      </c>
      <c r="BC635">
        <v>6565</v>
      </c>
      <c r="BD635" t="s">
        <v>74</v>
      </c>
      <c r="BE635" t="s">
        <v>12344</v>
      </c>
      <c r="BF635" t="str">
        <f>HYPERLINK("http://dx.doi.org/10.1029/2018GL078253","http://dx.doi.org/10.1029/2018GL078253")</f>
        <v>http://dx.doi.org/10.1029/2018GL078253</v>
      </c>
      <c r="BG635" t="s">
        <v>74</v>
      </c>
      <c r="BH635" t="s">
        <v>74</v>
      </c>
      <c r="BI635">
        <v>9</v>
      </c>
      <c r="BJ635" t="s">
        <v>182</v>
      </c>
      <c r="BK635" t="s">
        <v>101</v>
      </c>
      <c r="BL635" t="s">
        <v>183</v>
      </c>
      <c r="BM635" t="s">
        <v>12292</v>
      </c>
      <c r="BN635" t="s">
        <v>74</v>
      </c>
      <c r="BO635" t="s">
        <v>712</v>
      </c>
      <c r="BP635" t="s">
        <v>74</v>
      </c>
      <c r="BQ635" t="s">
        <v>74</v>
      </c>
      <c r="BR635" t="s">
        <v>104</v>
      </c>
      <c r="BS635" t="s">
        <v>12345</v>
      </c>
      <c r="BT635" t="str">
        <f>HYPERLINK("https%3A%2F%2Fwww.webofscience.com%2Fwos%2Fwoscc%2Ffull-record%2FWOS:000439784300026","View Full Record in Web of Science")</f>
        <v>View Full Record in Web of Science</v>
      </c>
    </row>
    <row r="636" spans="1:72" x14ac:dyDescent="0.15">
      <c r="A636" t="s">
        <v>72</v>
      </c>
      <c r="B636" t="s">
        <v>12346</v>
      </c>
      <c r="C636" t="s">
        <v>74</v>
      </c>
      <c r="D636" t="s">
        <v>74</v>
      </c>
      <c r="E636" t="s">
        <v>74</v>
      </c>
      <c r="F636" t="s">
        <v>12347</v>
      </c>
      <c r="G636" t="s">
        <v>74</v>
      </c>
      <c r="H636" t="s">
        <v>74</v>
      </c>
      <c r="I636" t="s">
        <v>12348</v>
      </c>
      <c r="J636" t="s">
        <v>3089</v>
      </c>
      <c r="K636" t="s">
        <v>74</v>
      </c>
      <c r="L636" t="s">
        <v>74</v>
      </c>
      <c r="M636" t="s">
        <v>78</v>
      </c>
      <c r="N636" t="s">
        <v>79</v>
      </c>
      <c r="O636" t="s">
        <v>74</v>
      </c>
      <c r="P636" t="s">
        <v>74</v>
      </c>
      <c r="Q636" t="s">
        <v>74</v>
      </c>
      <c r="R636" t="s">
        <v>74</v>
      </c>
      <c r="S636" t="s">
        <v>74</v>
      </c>
      <c r="T636" t="s">
        <v>12349</v>
      </c>
      <c r="U636" t="s">
        <v>12350</v>
      </c>
      <c r="V636" t="s">
        <v>12351</v>
      </c>
      <c r="W636" t="s">
        <v>12352</v>
      </c>
      <c r="X636" t="s">
        <v>12353</v>
      </c>
      <c r="Y636" t="s">
        <v>12354</v>
      </c>
      <c r="Z636" t="s">
        <v>12355</v>
      </c>
      <c r="AA636" t="s">
        <v>12356</v>
      </c>
      <c r="AB636" t="s">
        <v>12357</v>
      </c>
      <c r="AC636" t="s">
        <v>12358</v>
      </c>
      <c r="AD636" t="s">
        <v>12359</v>
      </c>
      <c r="AE636" t="s">
        <v>12360</v>
      </c>
      <c r="AF636" t="s">
        <v>74</v>
      </c>
      <c r="AG636">
        <v>39</v>
      </c>
      <c r="AH636">
        <v>8</v>
      </c>
      <c r="AI636">
        <v>10</v>
      </c>
      <c r="AJ636">
        <v>1</v>
      </c>
      <c r="AK636">
        <v>14</v>
      </c>
      <c r="AL636" t="s">
        <v>503</v>
      </c>
      <c r="AM636" t="s">
        <v>504</v>
      </c>
      <c r="AN636" t="s">
        <v>505</v>
      </c>
      <c r="AO636" t="s">
        <v>3100</v>
      </c>
      <c r="AP636" t="s">
        <v>3101</v>
      </c>
      <c r="AQ636" t="s">
        <v>74</v>
      </c>
      <c r="AR636" t="s">
        <v>3102</v>
      </c>
      <c r="AS636" t="s">
        <v>3103</v>
      </c>
      <c r="AT636" t="s">
        <v>12290</v>
      </c>
      <c r="AU636">
        <v>2018</v>
      </c>
      <c r="AV636">
        <v>45</v>
      </c>
      <c r="AW636">
        <v>13</v>
      </c>
      <c r="AX636" t="s">
        <v>74</v>
      </c>
      <c r="AY636" t="s">
        <v>74</v>
      </c>
      <c r="AZ636" t="s">
        <v>74</v>
      </c>
      <c r="BA636" t="s">
        <v>74</v>
      </c>
      <c r="BB636">
        <v>6661</v>
      </c>
      <c r="BC636">
        <v>6671</v>
      </c>
      <c r="BD636" t="s">
        <v>74</v>
      </c>
      <c r="BE636" t="s">
        <v>12361</v>
      </c>
      <c r="BF636" t="str">
        <f>HYPERLINK("http://dx.doi.org/10.1029/2018GL077717","http://dx.doi.org/10.1029/2018GL077717")</f>
        <v>http://dx.doi.org/10.1029/2018GL077717</v>
      </c>
      <c r="BG636" t="s">
        <v>74</v>
      </c>
      <c r="BH636" t="s">
        <v>74</v>
      </c>
      <c r="BI636">
        <v>11</v>
      </c>
      <c r="BJ636" t="s">
        <v>182</v>
      </c>
      <c r="BK636" t="s">
        <v>101</v>
      </c>
      <c r="BL636" t="s">
        <v>183</v>
      </c>
      <c r="BM636" t="s">
        <v>12292</v>
      </c>
      <c r="BN636" t="s">
        <v>74</v>
      </c>
      <c r="BO636" t="s">
        <v>944</v>
      </c>
      <c r="BP636" t="s">
        <v>74</v>
      </c>
      <c r="BQ636" t="s">
        <v>74</v>
      </c>
      <c r="BR636" t="s">
        <v>104</v>
      </c>
      <c r="BS636" t="s">
        <v>12362</v>
      </c>
      <c r="BT636" t="str">
        <f>HYPERLINK("https%3A%2F%2Fwww.webofscience.com%2Fwos%2Fwoscc%2Ffull-record%2FWOS:000439784300038","View Full Record in Web of Science")</f>
        <v>View Full Record in Web of Science</v>
      </c>
    </row>
    <row r="637" spans="1:72" x14ac:dyDescent="0.15">
      <c r="A637" t="s">
        <v>72</v>
      </c>
      <c r="B637" t="s">
        <v>12363</v>
      </c>
      <c r="C637" t="s">
        <v>74</v>
      </c>
      <c r="D637" t="s">
        <v>74</v>
      </c>
      <c r="E637" t="s">
        <v>74</v>
      </c>
      <c r="F637" t="s">
        <v>12364</v>
      </c>
      <c r="G637" t="s">
        <v>74</v>
      </c>
      <c r="H637" t="s">
        <v>74</v>
      </c>
      <c r="I637" t="s">
        <v>12365</v>
      </c>
      <c r="J637" t="s">
        <v>3089</v>
      </c>
      <c r="K637" t="s">
        <v>74</v>
      </c>
      <c r="L637" t="s">
        <v>74</v>
      </c>
      <c r="M637" t="s">
        <v>78</v>
      </c>
      <c r="N637" t="s">
        <v>79</v>
      </c>
      <c r="O637" t="s">
        <v>74</v>
      </c>
      <c r="P637" t="s">
        <v>74</v>
      </c>
      <c r="Q637" t="s">
        <v>74</v>
      </c>
      <c r="R637" t="s">
        <v>74</v>
      </c>
      <c r="S637" t="s">
        <v>74</v>
      </c>
      <c r="T637" t="s">
        <v>12366</v>
      </c>
      <c r="U637" t="s">
        <v>12367</v>
      </c>
      <c r="V637" t="s">
        <v>12368</v>
      </c>
      <c r="W637" t="s">
        <v>12369</v>
      </c>
      <c r="X637" t="s">
        <v>12370</v>
      </c>
      <c r="Y637" t="s">
        <v>12371</v>
      </c>
      <c r="Z637" t="s">
        <v>12372</v>
      </c>
      <c r="AA637" t="s">
        <v>74</v>
      </c>
      <c r="AB637" t="s">
        <v>12373</v>
      </c>
      <c r="AC637" t="s">
        <v>12374</v>
      </c>
      <c r="AD637" t="s">
        <v>12375</v>
      </c>
      <c r="AE637" t="s">
        <v>12376</v>
      </c>
      <c r="AF637" t="s">
        <v>74</v>
      </c>
      <c r="AG637">
        <v>34</v>
      </c>
      <c r="AH637">
        <v>6</v>
      </c>
      <c r="AI637">
        <v>6</v>
      </c>
      <c r="AJ637">
        <v>0</v>
      </c>
      <c r="AK637">
        <v>15</v>
      </c>
      <c r="AL637" t="s">
        <v>503</v>
      </c>
      <c r="AM637" t="s">
        <v>504</v>
      </c>
      <c r="AN637" t="s">
        <v>505</v>
      </c>
      <c r="AO637" t="s">
        <v>3100</v>
      </c>
      <c r="AP637" t="s">
        <v>3101</v>
      </c>
      <c r="AQ637" t="s">
        <v>74</v>
      </c>
      <c r="AR637" t="s">
        <v>3102</v>
      </c>
      <c r="AS637" t="s">
        <v>3103</v>
      </c>
      <c r="AT637" t="s">
        <v>12290</v>
      </c>
      <c r="AU637">
        <v>2018</v>
      </c>
      <c r="AV637">
        <v>45</v>
      </c>
      <c r="AW637">
        <v>13</v>
      </c>
      <c r="AX637" t="s">
        <v>74</v>
      </c>
      <c r="AY637" t="s">
        <v>74</v>
      </c>
      <c r="AZ637" t="s">
        <v>74</v>
      </c>
      <c r="BA637" t="s">
        <v>74</v>
      </c>
      <c r="BB637">
        <v>6719</v>
      </c>
      <c r="BC637">
        <v>6725</v>
      </c>
      <c r="BD637" t="s">
        <v>74</v>
      </c>
      <c r="BE637" t="s">
        <v>12377</v>
      </c>
      <c r="BF637" t="str">
        <f>HYPERLINK("http://dx.doi.org/10.1029/2018GL077993","http://dx.doi.org/10.1029/2018GL077993")</f>
        <v>http://dx.doi.org/10.1029/2018GL077993</v>
      </c>
      <c r="BG637" t="s">
        <v>74</v>
      </c>
      <c r="BH637" t="s">
        <v>74</v>
      </c>
      <c r="BI637">
        <v>7</v>
      </c>
      <c r="BJ637" t="s">
        <v>182</v>
      </c>
      <c r="BK637" t="s">
        <v>101</v>
      </c>
      <c r="BL637" t="s">
        <v>183</v>
      </c>
      <c r="BM637" t="s">
        <v>12292</v>
      </c>
      <c r="BN637" t="s">
        <v>74</v>
      </c>
      <c r="BO637" t="s">
        <v>2909</v>
      </c>
      <c r="BP637" t="s">
        <v>74</v>
      </c>
      <c r="BQ637" t="s">
        <v>74</v>
      </c>
      <c r="BR637" t="s">
        <v>104</v>
      </c>
      <c r="BS637" t="s">
        <v>12378</v>
      </c>
      <c r="BT637" t="str">
        <f>HYPERLINK("https%3A%2F%2Fwww.webofscience.com%2Fwos%2Fwoscc%2Ffull-record%2FWOS:000439784300044","View Full Record in Web of Science")</f>
        <v>View Full Record in Web of Science</v>
      </c>
    </row>
    <row r="638" spans="1:72" x14ac:dyDescent="0.15">
      <c r="A638" t="s">
        <v>72</v>
      </c>
      <c r="B638" t="s">
        <v>12379</v>
      </c>
      <c r="C638" t="s">
        <v>74</v>
      </c>
      <c r="D638" t="s">
        <v>74</v>
      </c>
      <c r="E638" t="s">
        <v>74</v>
      </c>
      <c r="F638" t="s">
        <v>12380</v>
      </c>
      <c r="G638" t="s">
        <v>74</v>
      </c>
      <c r="H638" t="s">
        <v>74</v>
      </c>
      <c r="I638" t="s">
        <v>12381</v>
      </c>
      <c r="J638" t="s">
        <v>3268</v>
      </c>
      <c r="K638" t="s">
        <v>74</v>
      </c>
      <c r="L638" t="s">
        <v>74</v>
      </c>
      <c r="M638" t="s">
        <v>78</v>
      </c>
      <c r="N638" t="s">
        <v>2499</v>
      </c>
      <c r="O638" t="s">
        <v>74</v>
      </c>
      <c r="P638" t="s">
        <v>74</v>
      </c>
      <c r="Q638" t="s">
        <v>74</v>
      </c>
      <c r="R638" t="s">
        <v>74</v>
      </c>
      <c r="S638" t="s">
        <v>74</v>
      </c>
      <c r="T638" t="s">
        <v>74</v>
      </c>
      <c r="U638" t="s">
        <v>12382</v>
      </c>
      <c r="V638" t="s">
        <v>12383</v>
      </c>
      <c r="W638" t="s">
        <v>12384</v>
      </c>
      <c r="X638" t="s">
        <v>12385</v>
      </c>
      <c r="Y638" t="s">
        <v>12386</v>
      </c>
      <c r="Z638" t="s">
        <v>12387</v>
      </c>
      <c r="AA638" t="s">
        <v>12388</v>
      </c>
      <c r="AB638" t="s">
        <v>12389</v>
      </c>
      <c r="AC638" t="s">
        <v>12390</v>
      </c>
      <c r="AD638" t="s">
        <v>12391</v>
      </c>
      <c r="AE638" t="s">
        <v>12392</v>
      </c>
      <c r="AF638" t="s">
        <v>74</v>
      </c>
      <c r="AG638">
        <v>15</v>
      </c>
      <c r="AH638">
        <v>41</v>
      </c>
      <c r="AI638">
        <v>46</v>
      </c>
      <c r="AJ638">
        <v>3</v>
      </c>
      <c r="AK638">
        <v>17</v>
      </c>
      <c r="AL638" t="s">
        <v>1159</v>
      </c>
      <c r="AM638" t="s">
        <v>704</v>
      </c>
      <c r="AN638" t="s">
        <v>2728</v>
      </c>
      <c r="AO638" t="s">
        <v>3280</v>
      </c>
      <c r="AP638" t="s">
        <v>74</v>
      </c>
      <c r="AQ638" t="s">
        <v>74</v>
      </c>
      <c r="AR638" t="s">
        <v>3281</v>
      </c>
      <c r="AS638" t="s">
        <v>3282</v>
      </c>
      <c r="AT638" t="s">
        <v>12290</v>
      </c>
      <c r="AU638">
        <v>2018</v>
      </c>
      <c r="AV638">
        <v>9</v>
      </c>
      <c r="AW638" t="s">
        <v>74</v>
      </c>
      <c r="AX638" t="s">
        <v>74</v>
      </c>
      <c r="AY638" t="s">
        <v>74</v>
      </c>
      <c r="AZ638" t="s">
        <v>74</v>
      </c>
      <c r="BA638" t="s">
        <v>74</v>
      </c>
      <c r="BB638" t="s">
        <v>74</v>
      </c>
      <c r="BC638" t="s">
        <v>74</v>
      </c>
      <c r="BD638">
        <v>2728</v>
      </c>
      <c r="BE638" t="s">
        <v>12393</v>
      </c>
      <c r="BF638" t="str">
        <f>HYPERLINK("http://dx.doi.org/10.1038/s41467-018-05003-z","http://dx.doi.org/10.1038/s41467-018-05003-z")</f>
        <v>http://dx.doi.org/10.1038/s41467-018-05003-z</v>
      </c>
      <c r="BG638" t="s">
        <v>74</v>
      </c>
      <c r="BH638" t="s">
        <v>74</v>
      </c>
      <c r="BI638">
        <v>3</v>
      </c>
      <c r="BJ638" t="s">
        <v>436</v>
      </c>
      <c r="BK638" t="s">
        <v>101</v>
      </c>
      <c r="BL638" t="s">
        <v>437</v>
      </c>
      <c r="BM638" t="s">
        <v>12394</v>
      </c>
      <c r="BN638">
        <v>30013142</v>
      </c>
      <c r="BO638" t="s">
        <v>439</v>
      </c>
      <c r="BP638" t="s">
        <v>74</v>
      </c>
      <c r="BQ638" t="s">
        <v>74</v>
      </c>
      <c r="BR638" t="s">
        <v>104</v>
      </c>
      <c r="BS638" t="s">
        <v>12395</v>
      </c>
      <c r="BT638" t="str">
        <f>HYPERLINK("https%3A%2F%2Fwww.webofscience.com%2Fwos%2Fwoscc%2Ffull-record%2FWOS:000438683100001","View Full Record in Web of Science")</f>
        <v>View Full Record in Web of Science</v>
      </c>
    </row>
    <row r="639" spans="1:72" x14ac:dyDescent="0.15">
      <c r="A639" t="s">
        <v>72</v>
      </c>
      <c r="B639" t="s">
        <v>12396</v>
      </c>
      <c r="C639" t="s">
        <v>74</v>
      </c>
      <c r="D639" t="s">
        <v>74</v>
      </c>
      <c r="E639" t="s">
        <v>74</v>
      </c>
      <c r="F639" t="s">
        <v>12397</v>
      </c>
      <c r="G639" t="s">
        <v>74</v>
      </c>
      <c r="H639" t="s">
        <v>74</v>
      </c>
      <c r="I639" t="s">
        <v>12398</v>
      </c>
      <c r="J639" t="s">
        <v>3268</v>
      </c>
      <c r="K639" t="s">
        <v>74</v>
      </c>
      <c r="L639" t="s">
        <v>74</v>
      </c>
      <c r="M639" t="s">
        <v>78</v>
      </c>
      <c r="N639" t="s">
        <v>2499</v>
      </c>
      <c r="O639" t="s">
        <v>74</v>
      </c>
      <c r="P639" t="s">
        <v>74</v>
      </c>
      <c r="Q639" t="s">
        <v>74</v>
      </c>
      <c r="R639" t="s">
        <v>74</v>
      </c>
      <c r="S639" t="s">
        <v>74</v>
      </c>
      <c r="T639" t="s">
        <v>74</v>
      </c>
      <c r="U639" t="s">
        <v>12399</v>
      </c>
      <c r="V639" t="s">
        <v>12400</v>
      </c>
      <c r="W639" t="s">
        <v>12401</v>
      </c>
      <c r="X639" t="s">
        <v>9943</v>
      </c>
      <c r="Y639" t="s">
        <v>12402</v>
      </c>
      <c r="Z639" t="s">
        <v>12403</v>
      </c>
      <c r="AA639" t="s">
        <v>12404</v>
      </c>
      <c r="AB639" t="s">
        <v>12405</v>
      </c>
      <c r="AC639" t="s">
        <v>74</v>
      </c>
      <c r="AD639" t="s">
        <v>74</v>
      </c>
      <c r="AE639" t="s">
        <v>74</v>
      </c>
      <c r="AF639" t="s">
        <v>74</v>
      </c>
      <c r="AG639">
        <v>27</v>
      </c>
      <c r="AH639">
        <v>10</v>
      </c>
      <c r="AI639">
        <v>11</v>
      </c>
      <c r="AJ639">
        <v>0</v>
      </c>
      <c r="AK639">
        <v>16</v>
      </c>
      <c r="AL639" t="s">
        <v>1159</v>
      </c>
      <c r="AM639" t="s">
        <v>704</v>
      </c>
      <c r="AN639" t="s">
        <v>2728</v>
      </c>
      <c r="AO639" t="s">
        <v>3280</v>
      </c>
      <c r="AP639" t="s">
        <v>74</v>
      </c>
      <c r="AQ639" t="s">
        <v>74</v>
      </c>
      <c r="AR639" t="s">
        <v>3281</v>
      </c>
      <c r="AS639" t="s">
        <v>3282</v>
      </c>
      <c r="AT639" t="s">
        <v>12290</v>
      </c>
      <c r="AU639">
        <v>2018</v>
      </c>
      <c r="AV639">
        <v>9</v>
      </c>
      <c r="AW639" t="s">
        <v>74</v>
      </c>
      <c r="AX639" t="s">
        <v>74</v>
      </c>
      <c r="AY639" t="s">
        <v>74</v>
      </c>
      <c r="AZ639" t="s">
        <v>74</v>
      </c>
      <c r="BA639" t="s">
        <v>74</v>
      </c>
      <c r="BB639" t="s">
        <v>74</v>
      </c>
      <c r="BC639" t="s">
        <v>74</v>
      </c>
      <c r="BD639">
        <v>2730</v>
      </c>
      <c r="BE639" t="s">
        <v>12406</v>
      </c>
      <c r="BF639" t="str">
        <f>HYPERLINK("http://dx.doi.org/10.1038/s41467-018-05001-1","http://dx.doi.org/10.1038/s41467-018-05001-1")</f>
        <v>http://dx.doi.org/10.1038/s41467-018-05001-1</v>
      </c>
      <c r="BG639" t="s">
        <v>74</v>
      </c>
      <c r="BH639" t="s">
        <v>74</v>
      </c>
      <c r="BI639">
        <v>3</v>
      </c>
      <c r="BJ639" t="s">
        <v>436</v>
      </c>
      <c r="BK639" t="s">
        <v>101</v>
      </c>
      <c r="BL639" t="s">
        <v>437</v>
      </c>
      <c r="BM639" t="s">
        <v>12394</v>
      </c>
      <c r="BN639">
        <v>30013232</v>
      </c>
      <c r="BO639" t="s">
        <v>1566</v>
      </c>
      <c r="BP639" t="s">
        <v>74</v>
      </c>
      <c r="BQ639" t="s">
        <v>74</v>
      </c>
      <c r="BR639" t="s">
        <v>104</v>
      </c>
      <c r="BS639" t="s">
        <v>12407</v>
      </c>
      <c r="BT639" t="str">
        <f>HYPERLINK("https%3A%2F%2Fwww.webofscience.com%2Fwos%2Fwoscc%2Ffull-record%2FWOS:000438683100003","View Full Record in Web of Science")</f>
        <v>View Full Record in Web of Science</v>
      </c>
    </row>
    <row r="640" spans="1:72" x14ac:dyDescent="0.15">
      <c r="A640" t="s">
        <v>72</v>
      </c>
      <c r="B640" t="s">
        <v>12408</v>
      </c>
      <c r="C640" t="s">
        <v>74</v>
      </c>
      <c r="D640" t="s">
        <v>74</v>
      </c>
      <c r="E640" t="s">
        <v>74</v>
      </c>
      <c r="F640" t="s">
        <v>12409</v>
      </c>
      <c r="G640" t="s">
        <v>74</v>
      </c>
      <c r="H640" t="s">
        <v>74</v>
      </c>
      <c r="I640" t="s">
        <v>12410</v>
      </c>
      <c r="J640" t="s">
        <v>1866</v>
      </c>
      <c r="K640" t="s">
        <v>74</v>
      </c>
      <c r="L640" t="s">
        <v>74</v>
      </c>
      <c r="M640" t="s">
        <v>78</v>
      </c>
      <c r="N640" t="s">
        <v>79</v>
      </c>
      <c r="O640" t="s">
        <v>74</v>
      </c>
      <c r="P640" t="s">
        <v>74</v>
      </c>
      <c r="Q640" t="s">
        <v>74</v>
      </c>
      <c r="R640" t="s">
        <v>74</v>
      </c>
      <c r="S640" t="s">
        <v>74</v>
      </c>
      <c r="T640" t="s">
        <v>12411</v>
      </c>
      <c r="U640" t="s">
        <v>12412</v>
      </c>
      <c r="V640" t="s">
        <v>12413</v>
      </c>
      <c r="W640" t="s">
        <v>12414</v>
      </c>
      <c r="X640" t="s">
        <v>12415</v>
      </c>
      <c r="Y640" t="s">
        <v>12416</v>
      </c>
      <c r="Z640" t="s">
        <v>12417</v>
      </c>
      <c r="AA640" t="s">
        <v>12418</v>
      </c>
      <c r="AB640" t="s">
        <v>12419</v>
      </c>
      <c r="AC640" t="s">
        <v>12420</v>
      </c>
      <c r="AD640" t="s">
        <v>12421</v>
      </c>
      <c r="AE640" t="s">
        <v>12422</v>
      </c>
      <c r="AF640" t="s">
        <v>74</v>
      </c>
      <c r="AG640">
        <v>75</v>
      </c>
      <c r="AH640">
        <v>6</v>
      </c>
      <c r="AI640">
        <v>7</v>
      </c>
      <c r="AJ640">
        <v>4</v>
      </c>
      <c r="AK640">
        <v>25</v>
      </c>
      <c r="AL640" t="s">
        <v>149</v>
      </c>
      <c r="AM640" t="s">
        <v>93</v>
      </c>
      <c r="AN640" t="s">
        <v>150</v>
      </c>
      <c r="AO640" t="s">
        <v>1879</v>
      </c>
      <c r="AP640" t="s">
        <v>74</v>
      </c>
      <c r="AQ640" t="s">
        <v>74</v>
      </c>
      <c r="AR640" t="s">
        <v>1880</v>
      </c>
      <c r="AS640" t="s">
        <v>1881</v>
      </c>
      <c r="AT640" t="s">
        <v>12423</v>
      </c>
      <c r="AU640">
        <v>2018</v>
      </c>
      <c r="AV640">
        <v>192</v>
      </c>
      <c r="AW640" t="s">
        <v>74</v>
      </c>
      <c r="AX640" t="s">
        <v>74</v>
      </c>
      <c r="AY640" t="s">
        <v>74</v>
      </c>
      <c r="AZ640" t="s">
        <v>74</v>
      </c>
      <c r="BA640" t="s">
        <v>74</v>
      </c>
      <c r="BB640">
        <v>282</v>
      </c>
      <c r="BC640">
        <v>299</v>
      </c>
      <c r="BD640" t="s">
        <v>74</v>
      </c>
      <c r="BE640" t="s">
        <v>12424</v>
      </c>
      <c r="BF640" t="str">
        <f>HYPERLINK("http://dx.doi.org/10.1016/j.quascirev.2018.05.019","http://dx.doi.org/10.1016/j.quascirev.2018.05.019")</f>
        <v>http://dx.doi.org/10.1016/j.quascirev.2018.05.019</v>
      </c>
      <c r="BG640" t="s">
        <v>74</v>
      </c>
      <c r="BH640" t="s">
        <v>74</v>
      </c>
      <c r="BI640">
        <v>18</v>
      </c>
      <c r="BJ640" t="s">
        <v>208</v>
      </c>
      <c r="BK640" t="s">
        <v>101</v>
      </c>
      <c r="BL640" t="s">
        <v>209</v>
      </c>
      <c r="BM640" t="s">
        <v>12425</v>
      </c>
      <c r="BN640" t="s">
        <v>74</v>
      </c>
      <c r="BO640" t="s">
        <v>486</v>
      </c>
      <c r="BP640" t="s">
        <v>74</v>
      </c>
      <c r="BQ640" t="s">
        <v>74</v>
      </c>
      <c r="BR640" t="s">
        <v>104</v>
      </c>
      <c r="BS640" t="s">
        <v>12426</v>
      </c>
      <c r="BT640" t="str">
        <f>HYPERLINK("https%3A%2F%2Fwww.webofscience.com%2Fwos%2Fwoscc%2Ffull-record%2FWOS:000438179800020","View Full Record in Web of Science")</f>
        <v>View Full Record in Web of Science</v>
      </c>
    </row>
    <row r="641" spans="1:72" x14ac:dyDescent="0.15">
      <c r="A641" t="s">
        <v>72</v>
      </c>
      <c r="B641" t="s">
        <v>12427</v>
      </c>
      <c r="C641" t="s">
        <v>74</v>
      </c>
      <c r="D641" t="s">
        <v>74</v>
      </c>
      <c r="E641" t="s">
        <v>74</v>
      </c>
      <c r="F641" t="s">
        <v>12428</v>
      </c>
      <c r="G641" t="s">
        <v>74</v>
      </c>
      <c r="H641" t="s">
        <v>74</v>
      </c>
      <c r="I641" t="s">
        <v>12429</v>
      </c>
      <c r="J641" t="s">
        <v>1866</v>
      </c>
      <c r="K641" t="s">
        <v>74</v>
      </c>
      <c r="L641" t="s">
        <v>74</v>
      </c>
      <c r="M641" t="s">
        <v>78</v>
      </c>
      <c r="N641" t="s">
        <v>273</v>
      </c>
      <c r="O641" t="s">
        <v>74</v>
      </c>
      <c r="P641" t="s">
        <v>74</v>
      </c>
      <c r="Q641" t="s">
        <v>74</v>
      </c>
      <c r="R641" t="s">
        <v>74</v>
      </c>
      <c r="S641" t="s">
        <v>74</v>
      </c>
      <c r="T641" t="s">
        <v>12430</v>
      </c>
      <c r="U641" t="s">
        <v>12431</v>
      </c>
      <c r="V641" t="s">
        <v>12432</v>
      </c>
      <c r="W641" t="s">
        <v>12433</v>
      </c>
      <c r="X641" t="s">
        <v>12434</v>
      </c>
      <c r="Y641" t="s">
        <v>12435</v>
      </c>
      <c r="Z641" t="s">
        <v>12436</v>
      </c>
      <c r="AA641" t="s">
        <v>12437</v>
      </c>
      <c r="AB641" t="s">
        <v>12438</v>
      </c>
      <c r="AC641" t="s">
        <v>12439</v>
      </c>
      <c r="AD641" t="s">
        <v>12440</v>
      </c>
      <c r="AE641" t="s">
        <v>12441</v>
      </c>
      <c r="AF641" t="s">
        <v>74</v>
      </c>
      <c r="AG641">
        <v>152</v>
      </c>
      <c r="AH641">
        <v>138</v>
      </c>
      <c r="AI641">
        <v>154</v>
      </c>
      <c r="AJ641">
        <v>6</v>
      </c>
      <c r="AK641">
        <v>66</v>
      </c>
      <c r="AL641" t="s">
        <v>149</v>
      </c>
      <c r="AM641" t="s">
        <v>93</v>
      </c>
      <c r="AN641" t="s">
        <v>150</v>
      </c>
      <c r="AO641" t="s">
        <v>1879</v>
      </c>
      <c r="AP641" t="s">
        <v>74</v>
      </c>
      <c r="AQ641" t="s">
        <v>74</v>
      </c>
      <c r="AR641" t="s">
        <v>1880</v>
      </c>
      <c r="AS641" t="s">
        <v>1881</v>
      </c>
      <c r="AT641" t="s">
        <v>12423</v>
      </c>
      <c r="AU641">
        <v>2018</v>
      </c>
      <c r="AV641">
        <v>192</v>
      </c>
      <c r="AW641" t="s">
        <v>74</v>
      </c>
      <c r="AX641" t="s">
        <v>74</v>
      </c>
      <c r="AY641" t="s">
        <v>74</v>
      </c>
      <c r="AZ641" t="s">
        <v>74</v>
      </c>
      <c r="BA641" t="s">
        <v>74</v>
      </c>
      <c r="BB641">
        <v>27</v>
      </c>
      <c r="BC641">
        <v>46</v>
      </c>
      <c r="BD641" t="s">
        <v>74</v>
      </c>
      <c r="BE641" t="s">
        <v>12442</v>
      </c>
      <c r="BF641" t="str">
        <f>HYPERLINK("http://dx.doi.org/10.1016/j.quascirev.2018.05.005","http://dx.doi.org/10.1016/j.quascirev.2018.05.005")</f>
        <v>http://dx.doi.org/10.1016/j.quascirev.2018.05.005</v>
      </c>
      <c r="BG641" t="s">
        <v>74</v>
      </c>
      <c r="BH641" t="s">
        <v>74</v>
      </c>
      <c r="BI641">
        <v>20</v>
      </c>
      <c r="BJ641" t="s">
        <v>208</v>
      </c>
      <c r="BK641" t="s">
        <v>101</v>
      </c>
      <c r="BL641" t="s">
        <v>209</v>
      </c>
      <c r="BM641" t="s">
        <v>12425</v>
      </c>
      <c r="BN641" t="s">
        <v>74</v>
      </c>
      <c r="BO641" t="s">
        <v>3263</v>
      </c>
      <c r="BP641" t="s">
        <v>74</v>
      </c>
      <c r="BQ641" t="s">
        <v>74</v>
      </c>
      <c r="BR641" t="s">
        <v>104</v>
      </c>
      <c r="BS641" t="s">
        <v>12443</v>
      </c>
      <c r="BT641" t="str">
        <f>HYPERLINK("https%3A%2F%2Fwww.webofscience.com%2Fwos%2Fwoscc%2Ffull-record%2FWOS:000438179800002","View Full Record in Web of Science")</f>
        <v>View Full Record in Web of Science</v>
      </c>
    </row>
    <row r="642" spans="1:72" x14ac:dyDescent="0.15">
      <c r="A642" t="s">
        <v>72</v>
      </c>
      <c r="B642" t="s">
        <v>12444</v>
      </c>
      <c r="C642" t="s">
        <v>74</v>
      </c>
      <c r="D642" t="s">
        <v>74</v>
      </c>
      <c r="E642" t="s">
        <v>74</v>
      </c>
      <c r="F642" t="s">
        <v>12445</v>
      </c>
      <c r="G642" t="s">
        <v>74</v>
      </c>
      <c r="H642" t="s">
        <v>74</v>
      </c>
      <c r="I642" t="s">
        <v>12446</v>
      </c>
      <c r="J642" t="s">
        <v>1866</v>
      </c>
      <c r="K642" t="s">
        <v>74</v>
      </c>
      <c r="L642" t="s">
        <v>74</v>
      </c>
      <c r="M642" t="s">
        <v>78</v>
      </c>
      <c r="N642" t="s">
        <v>79</v>
      </c>
      <c r="O642" t="s">
        <v>74</v>
      </c>
      <c r="P642" t="s">
        <v>74</v>
      </c>
      <c r="Q642" t="s">
        <v>74</v>
      </c>
      <c r="R642" t="s">
        <v>74</v>
      </c>
      <c r="S642" t="s">
        <v>74</v>
      </c>
      <c r="T642" t="s">
        <v>12447</v>
      </c>
      <c r="U642" t="s">
        <v>12448</v>
      </c>
      <c r="V642" t="s">
        <v>12449</v>
      </c>
      <c r="W642" t="s">
        <v>12450</v>
      </c>
      <c r="X642" t="s">
        <v>12451</v>
      </c>
      <c r="Y642" t="s">
        <v>12452</v>
      </c>
      <c r="Z642" t="s">
        <v>12453</v>
      </c>
      <c r="AA642" t="s">
        <v>12454</v>
      </c>
      <c r="AB642" t="s">
        <v>12455</v>
      </c>
      <c r="AC642" t="s">
        <v>12456</v>
      </c>
      <c r="AD642" t="s">
        <v>12457</v>
      </c>
      <c r="AE642" t="s">
        <v>12458</v>
      </c>
      <c r="AF642" t="s">
        <v>74</v>
      </c>
      <c r="AG642">
        <v>82</v>
      </c>
      <c r="AH642">
        <v>17</v>
      </c>
      <c r="AI642">
        <v>18</v>
      </c>
      <c r="AJ642">
        <v>2</v>
      </c>
      <c r="AK642">
        <v>16</v>
      </c>
      <c r="AL642" t="s">
        <v>149</v>
      </c>
      <c r="AM642" t="s">
        <v>93</v>
      </c>
      <c r="AN642" t="s">
        <v>150</v>
      </c>
      <c r="AO642" t="s">
        <v>1879</v>
      </c>
      <c r="AP642" t="s">
        <v>74</v>
      </c>
      <c r="AQ642" t="s">
        <v>74</v>
      </c>
      <c r="AR642" t="s">
        <v>1880</v>
      </c>
      <c r="AS642" t="s">
        <v>1881</v>
      </c>
      <c r="AT642" t="s">
        <v>12423</v>
      </c>
      <c r="AU642">
        <v>2018</v>
      </c>
      <c r="AV642">
        <v>192</v>
      </c>
      <c r="AW642" t="s">
        <v>74</v>
      </c>
      <c r="AX642" t="s">
        <v>74</v>
      </c>
      <c r="AY642" t="s">
        <v>74</v>
      </c>
      <c r="AZ642" t="s">
        <v>74</v>
      </c>
      <c r="BA642" t="s">
        <v>74</v>
      </c>
      <c r="BB642">
        <v>59</v>
      </c>
      <c r="BC642">
        <v>70</v>
      </c>
      <c r="BD642" t="s">
        <v>74</v>
      </c>
      <c r="BE642" t="s">
        <v>12459</v>
      </c>
      <c r="BF642" t="str">
        <f>HYPERLINK("http://dx.doi.org/10.1016/j.quascirev.2018.05.028","http://dx.doi.org/10.1016/j.quascirev.2018.05.028")</f>
        <v>http://dx.doi.org/10.1016/j.quascirev.2018.05.028</v>
      </c>
      <c r="BG642" t="s">
        <v>74</v>
      </c>
      <c r="BH642" t="s">
        <v>74</v>
      </c>
      <c r="BI642">
        <v>12</v>
      </c>
      <c r="BJ642" t="s">
        <v>208</v>
      </c>
      <c r="BK642" t="s">
        <v>101</v>
      </c>
      <c r="BL642" t="s">
        <v>209</v>
      </c>
      <c r="BM642" t="s">
        <v>12425</v>
      </c>
      <c r="BN642" t="s">
        <v>74</v>
      </c>
      <c r="BO642" t="s">
        <v>74</v>
      </c>
      <c r="BP642" t="s">
        <v>74</v>
      </c>
      <c r="BQ642" t="s">
        <v>74</v>
      </c>
      <c r="BR642" t="s">
        <v>104</v>
      </c>
      <c r="BS642" t="s">
        <v>12460</v>
      </c>
      <c r="BT642" t="str">
        <f>HYPERLINK("https%3A%2F%2Fwww.webofscience.com%2Fwos%2Fwoscc%2Ffull-record%2FWOS:000438179800004","View Full Record in Web of Science")</f>
        <v>View Full Record in Web of Science</v>
      </c>
    </row>
    <row r="643" spans="1:72" x14ac:dyDescent="0.15">
      <c r="A643" t="s">
        <v>72</v>
      </c>
      <c r="B643" t="s">
        <v>12461</v>
      </c>
      <c r="C643" t="s">
        <v>74</v>
      </c>
      <c r="D643" t="s">
        <v>74</v>
      </c>
      <c r="E643" t="s">
        <v>74</v>
      </c>
      <c r="F643" t="s">
        <v>12462</v>
      </c>
      <c r="G643" t="s">
        <v>74</v>
      </c>
      <c r="H643" t="s">
        <v>74</v>
      </c>
      <c r="I643" t="s">
        <v>12463</v>
      </c>
      <c r="J643" t="s">
        <v>1866</v>
      </c>
      <c r="K643" t="s">
        <v>74</v>
      </c>
      <c r="L643" t="s">
        <v>74</v>
      </c>
      <c r="M643" t="s">
        <v>78</v>
      </c>
      <c r="N643" t="s">
        <v>79</v>
      </c>
      <c r="O643" t="s">
        <v>74</v>
      </c>
      <c r="P643" t="s">
        <v>74</v>
      </c>
      <c r="Q643" t="s">
        <v>74</v>
      </c>
      <c r="R643" t="s">
        <v>74</v>
      </c>
      <c r="S643" t="s">
        <v>74</v>
      </c>
      <c r="T643" t="s">
        <v>12464</v>
      </c>
      <c r="U643" t="s">
        <v>12465</v>
      </c>
      <c r="V643" t="s">
        <v>12466</v>
      </c>
      <c r="W643" t="s">
        <v>12467</v>
      </c>
      <c r="X643" t="s">
        <v>12468</v>
      </c>
      <c r="Y643" t="s">
        <v>12469</v>
      </c>
      <c r="Z643" t="s">
        <v>12470</v>
      </c>
      <c r="AA643" t="s">
        <v>74</v>
      </c>
      <c r="AB643" t="s">
        <v>12471</v>
      </c>
      <c r="AC643" t="s">
        <v>12472</v>
      </c>
      <c r="AD643" t="s">
        <v>12472</v>
      </c>
      <c r="AE643" t="s">
        <v>12473</v>
      </c>
      <c r="AF643" t="s">
        <v>74</v>
      </c>
      <c r="AG643">
        <v>126</v>
      </c>
      <c r="AH643">
        <v>9</v>
      </c>
      <c r="AI643">
        <v>9</v>
      </c>
      <c r="AJ643">
        <v>1</v>
      </c>
      <c r="AK643">
        <v>4</v>
      </c>
      <c r="AL643" t="s">
        <v>149</v>
      </c>
      <c r="AM643" t="s">
        <v>93</v>
      </c>
      <c r="AN643" t="s">
        <v>150</v>
      </c>
      <c r="AO643" t="s">
        <v>1879</v>
      </c>
      <c r="AP643" t="s">
        <v>74</v>
      </c>
      <c r="AQ643" t="s">
        <v>74</v>
      </c>
      <c r="AR643" t="s">
        <v>1880</v>
      </c>
      <c r="AS643" t="s">
        <v>1881</v>
      </c>
      <c r="AT643" t="s">
        <v>12423</v>
      </c>
      <c r="AU643">
        <v>2018</v>
      </c>
      <c r="AV643">
        <v>192</v>
      </c>
      <c r="AW643" t="s">
        <v>74</v>
      </c>
      <c r="AX643" t="s">
        <v>74</v>
      </c>
      <c r="AY643" t="s">
        <v>74</v>
      </c>
      <c r="AZ643" t="s">
        <v>74</v>
      </c>
      <c r="BA643" t="s">
        <v>74</v>
      </c>
      <c r="BB643">
        <v>185</v>
      </c>
      <c r="BC643">
        <v>207</v>
      </c>
      <c r="BD643" t="s">
        <v>74</v>
      </c>
      <c r="BE643" t="s">
        <v>12474</v>
      </c>
      <c r="BF643" t="str">
        <f>HYPERLINK("http://dx.doi.org/10.1016/j.quascirev.2018.05.034","http://dx.doi.org/10.1016/j.quascirev.2018.05.034")</f>
        <v>http://dx.doi.org/10.1016/j.quascirev.2018.05.034</v>
      </c>
      <c r="BG643" t="s">
        <v>74</v>
      </c>
      <c r="BH643" t="s">
        <v>74</v>
      </c>
      <c r="BI643">
        <v>23</v>
      </c>
      <c r="BJ643" t="s">
        <v>208</v>
      </c>
      <c r="BK643" t="s">
        <v>101</v>
      </c>
      <c r="BL643" t="s">
        <v>209</v>
      </c>
      <c r="BM643" t="s">
        <v>12425</v>
      </c>
      <c r="BN643" t="s">
        <v>74</v>
      </c>
      <c r="BO643" t="s">
        <v>74</v>
      </c>
      <c r="BP643" t="s">
        <v>74</v>
      </c>
      <c r="BQ643" t="s">
        <v>74</v>
      </c>
      <c r="BR643" t="s">
        <v>104</v>
      </c>
      <c r="BS643" t="s">
        <v>12475</v>
      </c>
      <c r="BT643" t="str">
        <f>HYPERLINK("https%3A%2F%2Fwww.webofscience.com%2Fwos%2Fwoscc%2Ffull-record%2FWOS:000438179800013","View Full Record in Web of Science")</f>
        <v>View Full Record in Web of Science</v>
      </c>
    </row>
    <row r="644" spans="1:72" x14ac:dyDescent="0.15">
      <c r="A644" t="s">
        <v>72</v>
      </c>
      <c r="B644" t="s">
        <v>12476</v>
      </c>
      <c r="C644" t="s">
        <v>74</v>
      </c>
      <c r="D644" t="s">
        <v>74</v>
      </c>
      <c r="E644" t="s">
        <v>74</v>
      </c>
      <c r="F644" t="s">
        <v>12477</v>
      </c>
      <c r="G644" t="s">
        <v>74</v>
      </c>
      <c r="H644" t="s">
        <v>74</v>
      </c>
      <c r="I644" t="s">
        <v>12478</v>
      </c>
      <c r="J644" t="s">
        <v>7327</v>
      </c>
      <c r="K644" t="s">
        <v>74</v>
      </c>
      <c r="L644" t="s">
        <v>74</v>
      </c>
      <c r="M644" t="s">
        <v>78</v>
      </c>
      <c r="N644" t="s">
        <v>79</v>
      </c>
      <c r="O644" t="s">
        <v>74</v>
      </c>
      <c r="P644" t="s">
        <v>74</v>
      </c>
      <c r="Q644" t="s">
        <v>74</v>
      </c>
      <c r="R644" t="s">
        <v>74</v>
      </c>
      <c r="S644" t="s">
        <v>74</v>
      </c>
      <c r="T644" t="s">
        <v>12479</v>
      </c>
      <c r="U644" t="s">
        <v>12480</v>
      </c>
      <c r="V644" t="s">
        <v>12481</v>
      </c>
      <c r="W644" t="s">
        <v>12482</v>
      </c>
      <c r="X644" t="s">
        <v>12483</v>
      </c>
      <c r="Y644" t="s">
        <v>12484</v>
      </c>
      <c r="Z644" t="s">
        <v>12485</v>
      </c>
      <c r="AA644" t="s">
        <v>4075</v>
      </c>
      <c r="AB644" t="s">
        <v>12486</v>
      </c>
      <c r="AC644" t="s">
        <v>12487</v>
      </c>
      <c r="AD644" t="s">
        <v>12488</v>
      </c>
      <c r="AE644" t="s">
        <v>12489</v>
      </c>
      <c r="AF644" t="s">
        <v>74</v>
      </c>
      <c r="AG644">
        <v>26</v>
      </c>
      <c r="AH644">
        <v>12</v>
      </c>
      <c r="AI644">
        <v>14</v>
      </c>
      <c r="AJ644">
        <v>3</v>
      </c>
      <c r="AK644">
        <v>47</v>
      </c>
      <c r="AL644" t="s">
        <v>430</v>
      </c>
      <c r="AM644" t="s">
        <v>286</v>
      </c>
      <c r="AN644" t="s">
        <v>431</v>
      </c>
      <c r="AO644" t="s">
        <v>7339</v>
      </c>
      <c r="AP644" t="s">
        <v>7340</v>
      </c>
      <c r="AQ644" t="s">
        <v>74</v>
      </c>
      <c r="AR644" t="s">
        <v>7341</v>
      </c>
      <c r="AS644" t="s">
        <v>7342</v>
      </c>
      <c r="AT644" t="s">
        <v>12423</v>
      </c>
      <c r="AU644">
        <v>2018</v>
      </c>
      <c r="AV644">
        <v>114</v>
      </c>
      <c r="AW644" t="s">
        <v>74</v>
      </c>
      <c r="AX644" t="s">
        <v>74</v>
      </c>
      <c r="AY644" t="s">
        <v>74</v>
      </c>
      <c r="AZ644" t="s">
        <v>74</v>
      </c>
      <c r="BA644" t="s">
        <v>74</v>
      </c>
      <c r="BB644">
        <v>334</v>
      </c>
      <c r="BC644">
        <v>340</v>
      </c>
      <c r="BD644" t="s">
        <v>74</v>
      </c>
      <c r="BE644" t="s">
        <v>12490</v>
      </c>
      <c r="BF644" t="str">
        <f>HYPERLINK("http://dx.doi.org/10.1016/j.ijbiomac.2018.03.118","http://dx.doi.org/10.1016/j.ijbiomac.2018.03.118")</f>
        <v>http://dx.doi.org/10.1016/j.ijbiomac.2018.03.118</v>
      </c>
      <c r="BG644" t="s">
        <v>74</v>
      </c>
      <c r="BH644" t="s">
        <v>74</v>
      </c>
      <c r="BI644">
        <v>7</v>
      </c>
      <c r="BJ644" t="s">
        <v>7344</v>
      </c>
      <c r="BK644" t="s">
        <v>101</v>
      </c>
      <c r="BL644" t="s">
        <v>7345</v>
      </c>
      <c r="BM644" t="s">
        <v>12491</v>
      </c>
      <c r="BN644">
        <v>29578013</v>
      </c>
      <c r="BO644" t="s">
        <v>74</v>
      </c>
      <c r="BP644" t="s">
        <v>74</v>
      </c>
      <c r="BQ644" t="s">
        <v>74</v>
      </c>
      <c r="BR644" t="s">
        <v>104</v>
      </c>
      <c r="BS644" t="s">
        <v>12492</v>
      </c>
      <c r="BT644" t="str">
        <f>HYPERLINK("https%3A%2F%2Fwww.webofscience.com%2Fwos%2Fwoscc%2Ffull-record%2FWOS:000435056900038","View Full Record in Web of Science")</f>
        <v>View Full Record in Web of Science</v>
      </c>
    </row>
    <row r="645" spans="1:72" x14ac:dyDescent="0.15">
      <c r="A645" t="s">
        <v>72</v>
      </c>
      <c r="B645" t="s">
        <v>12493</v>
      </c>
      <c r="C645" t="s">
        <v>74</v>
      </c>
      <c r="D645" t="s">
        <v>74</v>
      </c>
      <c r="E645" t="s">
        <v>74</v>
      </c>
      <c r="F645" t="s">
        <v>12494</v>
      </c>
      <c r="G645" t="s">
        <v>74</v>
      </c>
      <c r="H645" t="s">
        <v>74</v>
      </c>
      <c r="I645" t="s">
        <v>12495</v>
      </c>
      <c r="J645" t="s">
        <v>4011</v>
      </c>
      <c r="K645" t="s">
        <v>74</v>
      </c>
      <c r="L645" t="s">
        <v>74</v>
      </c>
      <c r="M645" t="s">
        <v>78</v>
      </c>
      <c r="N645" t="s">
        <v>79</v>
      </c>
      <c r="O645" t="s">
        <v>74</v>
      </c>
      <c r="P645" t="s">
        <v>74</v>
      </c>
      <c r="Q645" t="s">
        <v>74</v>
      </c>
      <c r="R645" t="s">
        <v>74</v>
      </c>
      <c r="S645" t="s">
        <v>74</v>
      </c>
      <c r="T645" t="s">
        <v>12496</v>
      </c>
      <c r="U645" t="s">
        <v>12497</v>
      </c>
      <c r="V645" t="s">
        <v>12498</v>
      </c>
      <c r="W645" t="s">
        <v>12499</v>
      </c>
      <c r="X645" t="s">
        <v>12500</v>
      </c>
      <c r="Y645" t="s">
        <v>12501</v>
      </c>
      <c r="Z645" t="s">
        <v>12502</v>
      </c>
      <c r="AA645" t="s">
        <v>12503</v>
      </c>
      <c r="AB645" t="s">
        <v>12504</v>
      </c>
      <c r="AC645" t="s">
        <v>12505</v>
      </c>
      <c r="AD645" t="s">
        <v>12506</v>
      </c>
      <c r="AE645" t="s">
        <v>12507</v>
      </c>
      <c r="AF645" t="s">
        <v>74</v>
      </c>
      <c r="AG645">
        <v>95</v>
      </c>
      <c r="AH645">
        <v>12</v>
      </c>
      <c r="AI645">
        <v>14</v>
      </c>
      <c r="AJ645">
        <v>2</v>
      </c>
      <c r="AK645">
        <v>25</v>
      </c>
      <c r="AL645" t="s">
        <v>149</v>
      </c>
      <c r="AM645" t="s">
        <v>93</v>
      </c>
      <c r="AN645" t="s">
        <v>150</v>
      </c>
      <c r="AO645" t="s">
        <v>4022</v>
      </c>
      <c r="AP645" t="s">
        <v>4023</v>
      </c>
      <c r="AQ645" t="s">
        <v>74</v>
      </c>
      <c r="AR645" t="s">
        <v>4024</v>
      </c>
      <c r="AS645" t="s">
        <v>4025</v>
      </c>
      <c r="AT645" t="s">
        <v>12423</v>
      </c>
      <c r="AU645">
        <v>2018</v>
      </c>
      <c r="AV645">
        <v>233</v>
      </c>
      <c r="AW645" t="s">
        <v>74</v>
      </c>
      <c r="AX645" t="s">
        <v>74</v>
      </c>
      <c r="AY645" t="s">
        <v>74</v>
      </c>
      <c r="AZ645" t="s">
        <v>74</v>
      </c>
      <c r="BA645" t="s">
        <v>74</v>
      </c>
      <c r="BB645">
        <v>1</v>
      </c>
      <c r="BC645">
        <v>13</v>
      </c>
      <c r="BD645" t="s">
        <v>74</v>
      </c>
      <c r="BE645" t="s">
        <v>12508</v>
      </c>
      <c r="BF645" t="str">
        <f>HYPERLINK("http://dx.doi.org/10.1016/j.gca.2018.05.002","http://dx.doi.org/10.1016/j.gca.2018.05.002")</f>
        <v>http://dx.doi.org/10.1016/j.gca.2018.05.002</v>
      </c>
      <c r="BG645" t="s">
        <v>74</v>
      </c>
      <c r="BH645" t="s">
        <v>74</v>
      </c>
      <c r="BI645">
        <v>13</v>
      </c>
      <c r="BJ645" t="s">
        <v>484</v>
      </c>
      <c r="BK645" t="s">
        <v>101</v>
      </c>
      <c r="BL645" t="s">
        <v>484</v>
      </c>
      <c r="BM645" t="s">
        <v>12509</v>
      </c>
      <c r="BN645" t="s">
        <v>74</v>
      </c>
      <c r="BO645" t="s">
        <v>74</v>
      </c>
      <c r="BP645" t="s">
        <v>74</v>
      </c>
      <c r="BQ645" t="s">
        <v>74</v>
      </c>
      <c r="BR645" t="s">
        <v>104</v>
      </c>
      <c r="BS645" t="s">
        <v>12510</v>
      </c>
      <c r="BT645" t="str">
        <f>HYPERLINK("https%3A%2F%2Fwww.webofscience.com%2Fwos%2Fwoscc%2Ffull-record%2FWOS:000433900000001","View Full Record in Web of Science")</f>
        <v>View Full Record in Web of Science</v>
      </c>
    </row>
    <row r="646" spans="1:72" x14ac:dyDescent="0.15">
      <c r="A646" t="s">
        <v>72</v>
      </c>
      <c r="B646" t="s">
        <v>12511</v>
      </c>
      <c r="C646" t="s">
        <v>74</v>
      </c>
      <c r="D646" t="s">
        <v>74</v>
      </c>
      <c r="E646" t="s">
        <v>74</v>
      </c>
      <c r="F646" t="s">
        <v>12512</v>
      </c>
      <c r="G646" t="s">
        <v>74</v>
      </c>
      <c r="H646" t="s">
        <v>74</v>
      </c>
      <c r="I646" t="s">
        <v>12513</v>
      </c>
      <c r="J646" t="s">
        <v>4011</v>
      </c>
      <c r="K646" t="s">
        <v>74</v>
      </c>
      <c r="L646" t="s">
        <v>74</v>
      </c>
      <c r="M646" t="s">
        <v>78</v>
      </c>
      <c r="N646" t="s">
        <v>79</v>
      </c>
      <c r="O646" t="s">
        <v>74</v>
      </c>
      <c r="P646" t="s">
        <v>74</v>
      </c>
      <c r="Q646" t="s">
        <v>74</v>
      </c>
      <c r="R646" t="s">
        <v>74</v>
      </c>
      <c r="S646" t="s">
        <v>74</v>
      </c>
      <c r="T646" t="s">
        <v>12514</v>
      </c>
      <c r="U646" t="s">
        <v>12515</v>
      </c>
      <c r="V646" t="s">
        <v>12516</v>
      </c>
      <c r="W646" t="s">
        <v>12517</v>
      </c>
      <c r="X646" t="s">
        <v>12518</v>
      </c>
      <c r="Y646" t="s">
        <v>12519</v>
      </c>
      <c r="Z646" t="s">
        <v>12520</v>
      </c>
      <c r="AA646" t="s">
        <v>12521</v>
      </c>
      <c r="AB646" t="s">
        <v>12522</v>
      </c>
      <c r="AC646" t="s">
        <v>12523</v>
      </c>
      <c r="AD646" t="s">
        <v>12524</v>
      </c>
      <c r="AE646" t="s">
        <v>12525</v>
      </c>
      <c r="AF646" t="s">
        <v>74</v>
      </c>
      <c r="AG646">
        <v>96</v>
      </c>
      <c r="AH646">
        <v>13</v>
      </c>
      <c r="AI646">
        <v>14</v>
      </c>
      <c r="AJ646">
        <v>0</v>
      </c>
      <c r="AK646">
        <v>2</v>
      </c>
      <c r="AL646" t="s">
        <v>149</v>
      </c>
      <c r="AM646" t="s">
        <v>93</v>
      </c>
      <c r="AN646" t="s">
        <v>150</v>
      </c>
      <c r="AO646" t="s">
        <v>4022</v>
      </c>
      <c r="AP646" t="s">
        <v>4023</v>
      </c>
      <c r="AQ646" t="s">
        <v>74</v>
      </c>
      <c r="AR646" t="s">
        <v>4024</v>
      </c>
      <c r="AS646" t="s">
        <v>4025</v>
      </c>
      <c r="AT646" t="s">
        <v>12423</v>
      </c>
      <c r="AU646">
        <v>2018</v>
      </c>
      <c r="AV646">
        <v>233</v>
      </c>
      <c r="AW646" t="s">
        <v>74</v>
      </c>
      <c r="AX646" t="s">
        <v>74</v>
      </c>
      <c r="AY646" t="s">
        <v>74</v>
      </c>
      <c r="AZ646" t="s">
        <v>74</v>
      </c>
      <c r="BA646" t="s">
        <v>74</v>
      </c>
      <c r="BB646">
        <v>135</v>
      </c>
      <c r="BC646">
        <v>158</v>
      </c>
      <c r="BD646" t="s">
        <v>74</v>
      </c>
      <c r="BE646" t="s">
        <v>12526</v>
      </c>
      <c r="BF646" t="str">
        <f>HYPERLINK("http://dx.doi.org/10.1016/j.gca.2018.04.010","http://dx.doi.org/10.1016/j.gca.2018.04.010")</f>
        <v>http://dx.doi.org/10.1016/j.gca.2018.04.010</v>
      </c>
      <c r="BG646" t="s">
        <v>74</v>
      </c>
      <c r="BH646" t="s">
        <v>74</v>
      </c>
      <c r="BI646">
        <v>24</v>
      </c>
      <c r="BJ646" t="s">
        <v>484</v>
      </c>
      <c r="BK646" t="s">
        <v>101</v>
      </c>
      <c r="BL646" t="s">
        <v>484</v>
      </c>
      <c r="BM646" t="s">
        <v>12509</v>
      </c>
      <c r="BN646" t="s">
        <v>74</v>
      </c>
      <c r="BO646" t="s">
        <v>74</v>
      </c>
      <c r="BP646" t="s">
        <v>74</v>
      </c>
      <c r="BQ646" t="s">
        <v>74</v>
      </c>
      <c r="BR646" t="s">
        <v>104</v>
      </c>
      <c r="BS646" t="s">
        <v>12527</v>
      </c>
      <c r="BT646" t="str">
        <f>HYPERLINK("https%3A%2F%2Fwww.webofscience.com%2Fwos%2Fwoscc%2Ffull-record%2FWOS:000433900000009","View Full Record in Web of Science")</f>
        <v>View Full Record in Web of Science</v>
      </c>
    </row>
    <row r="647" spans="1:72" x14ac:dyDescent="0.15">
      <c r="A647" t="s">
        <v>72</v>
      </c>
      <c r="B647" t="s">
        <v>12528</v>
      </c>
      <c r="C647" t="s">
        <v>74</v>
      </c>
      <c r="D647" t="s">
        <v>74</v>
      </c>
      <c r="E647" t="s">
        <v>74</v>
      </c>
      <c r="F647" t="s">
        <v>12529</v>
      </c>
      <c r="G647" t="s">
        <v>74</v>
      </c>
      <c r="H647" t="s">
        <v>74</v>
      </c>
      <c r="I647" t="s">
        <v>12530</v>
      </c>
      <c r="J647" t="s">
        <v>1173</v>
      </c>
      <c r="K647" t="s">
        <v>74</v>
      </c>
      <c r="L647" t="s">
        <v>74</v>
      </c>
      <c r="M647" t="s">
        <v>78</v>
      </c>
      <c r="N647" t="s">
        <v>79</v>
      </c>
      <c r="O647" t="s">
        <v>74</v>
      </c>
      <c r="P647" t="s">
        <v>74</v>
      </c>
      <c r="Q647" t="s">
        <v>74</v>
      </c>
      <c r="R647" t="s">
        <v>74</v>
      </c>
      <c r="S647" t="s">
        <v>74</v>
      </c>
      <c r="T647" t="s">
        <v>12531</v>
      </c>
      <c r="U647" t="s">
        <v>12532</v>
      </c>
      <c r="V647" t="s">
        <v>12533</v>
      </c>
      <c r="W647" t="s">
        <v>12534</v>
      </c>
      <c r="X647" t="s">
        <v>12535</v>
      </c>
      <c r="Y647" t="s">
        <v>12536</v>
      </c>
      <c r="Z647" t="s">
        <v>12537</v>
      </c>
      <c r="AA647" t="s">
        <v>12538</v>
      </c>
      <c r="AB647" t="s">
        <v>12539</v>
      </c>
      <c r="AC647" t="s">
        <v>12540</v>
      </c>
      <c r="AD647" t="s">
        <v>12541</v>
      </c>
      <c r="AE647" t="s">
        <v>12542</v>
      </c>
      <c r="AF647" t="s">
        <v>74</v>
      </c>
      <c r="AG647">
        <v>78</v>
      </c>
      <c r="AH647">
        <v>2</v>
      </c>
      <c r="AI647">
        <v>3</v>
      </c>
      <c r="AJ647">
        <v>0</v>
      </c>
      <c r="AK647">
        <v>15</v>
      </c>
      <c r="AL647" t="s">
        <v>430</v>
      </c>
      <c r="AM647" t="s">
        <v>286</v>
      </c>
      <c r="AN647" t="s">
        <v>431</v>
      </c>
      <c r="AO647" t="s">
        <v>1180</v>
      </c>
      <c r="AP647" t="s">
        <v>1181</v>
      </c>
      <c r="AQ647" t="s">
        <v>74</v>
      </c>
      <c r="AR647" t="s">
        <v>1182</v>
      </c>
      <c r="AS647" t="s">
        <v>1183</v>
      </c>
      <c r="AT647" t="s">
        <v>12423</v>
      </c>
      <c r="AU647">
        <v>2018</v>
      </c>
      <c r="AV647">
        <v>501</v>
      </c>
      <c r="AW647" t="s">
        <v>74</v>
      </c>
      <c r="AX647" t="s">
        <v>74</v>
      </c>
      <c r="AY647" t="s">
        <v>74</v>
      </c>
      <c r="AZ647" t="s">
        <v>74</v>
      </c>
      <c r="BA647" t="s">
        <v>74</v>
      </c>
      <c r="BB647">
        <v>58</v>
      </c>
      <c r="BC647">
        <v>69</v>
      </c>
      <c r="BD647" t="s">
        <v>74</v>
      </c>
      <c r="BE647" t="s">
        <v>12543</v>
      </c>
      <c r="BF647" t="str">
        <f>HYPERLINK("http://dx.doi.org/10.1016/j.palaeo.2018.04.010","http://dx.doi.org/10.1016/j.palaeo.2018.04.010")</f>
        <v>http://dx.doi.org/10.1016/j.palaeo.2018.04.010</v>
      </c>
      <c r="BG647" t="s">
        <v>74</v>
      </c>
      <c r="BH647" t="s">
        <v>74</v>
      </c>
      <c r="BI647">
        <v>12</v>
      </c>
      <c r="BJ647" t="s">
        <v>1185</v>
      </c>
      <c r="BK647" t="s">
        <v>101</v>
      </c>
      <c r="BL647" t="s">
        <v>1186</v>
      </c>
      <c r="BM647" t="s">
        <v>12544</v>
      </c>
      <c r="BN647" t="s">
        <v>74</v>
      </c>
      <c r="BO647" t="s">
        <v>74</v>
      </c>
      <c r="BP647" t="s">
        <v>74</v>
      </c>
      <c r="BQ647" t="s">
        <v>74</v>
      </c>
      <c r="BR647" t="s">
        <v>104</v>
      </c>
      <c r="BS647" t="s">
        <v>12545</v>
      </c>
      <c r="BT647" t="str">
        <f>HYPERLINK("https%3A%2F%2Fwww.webofscience.com%2Fwos%2Fwoscc%2Ffull-record%2FWOS:000434906000005","View Full Record in Web of Science")</f>
        <v>View Full Record in Web of Science</v>
      </c>
    </row>
    <row r="648" spans="1:72" x14ac:dyDescent="0.15">
      <c r="A648" t="s">
        <v>72</v>
      </c>
      <c r="B648" t="s">
        <v>12546</v>
      </c>
      <c r="C648" t="s">
        <v>74</v>
      </c>
      <c r="D648" t="s">
        <v>74</v>
      </c>
      <c r="E648" t="s">
        <v>74</v>
      </c>
      <c r="F648" t="s">
        <v>12547</v>
      </c>
      <c r="G648" t="s">
        <v>74</v>
      </c>
      <c r="H648" t="s">
        <v>74</v>
      </c>
      <c r="I648" t="s">
        <v>12548</v>
      </c>
      <c r="J648" t="s">
        <v>466</v>
      </c>
      <c r="K648" t="s">
        <v>74</v>
      </c>
      <c r="L648" t="s">
        <v>74</v>
      </c>
      <c r="M648" t="s">
        <v>78</v>
      </c>
      <c r="N648" t="s">
        <v>79</v>
      </c>
      <c r="O648" t="s">
        <v>74</v>
      </c>
      <c r="P648" t="s">
        <v>74</v>
      </c>
      <c r="Q648" t="s">
        <v>74</v>
      </c>
      <c r="R648" t="s">
        <v>74</v>
      </c>
      <c r="S648" t="s">
        <v>74</v>
      </c>
      <c r="T648" t="s">
        <v>12549</v>
      </c>
      <c r="U648" t="s">
        <v>12550</v>
      </c>
      <c r="V648" t="s">
        <v>12551</v>
      </c>
      <c r="W648" t="s">
        <v>12552</v>
      </c>
      <c r="X648" t="s">
        <v>12553</v>
      </c>
      <c r="Y648" t="s">
        <v>12554</v>
      </c>
      <c r="Z648" t="s">
        <v>12555</v>
      </c>
      <c r="AA648" t="s">
        <v>12556</v>
      </c>
      <c r="AB648" t="s">
        <v>12557</v>
      </c>
      <c r="AC648" t="s">
        <v>12558</v>
      </c>
      <c r="AD648" t="s">
        <v>12559</v>
      </c>
      <c r="AE648" t="s">
        <v>12560</v>
      </c>
      <c r="AF648" t="s">
        <v>74</v>
      </c>
      <c r="AG648">
        <v>39</v>
      </c>
      <c r="AH648">
        <v>16</v>
      </c>
      <c r="AI648">
        <v>17</v>
      </c>
      <c r="AJ648">
        <v>0</v>
      </c>
      <c r="AK648">
        <v>16</v>
      </c>
      <c r="AL648" t="s">
        <v>430</v>
      </c>
      <c r="AM648" t="s">
        <v>286</v>
      </c>
      <c r="AN648" t="s">
        <v>431</v>
      </c>
      <c r="AO648" t="s">
        <v>479</v>
      </c>
      <c r="AP648" t="s">
        <v>480</v>
      </c>
      <c r="AQ648" t="s">
        <v>74</v>
      </c>
      <c r="AR648" t="s">
        <v>481</v>
      </c>
      <c r="AS648" t="s">
        <v>482</v>
      </c>
      <c r="AT648" t="s">
        <v>12423</v>
      </c>
      <c r="AU648">
        <v>2018</v>
      </c>
      <c r="AV648">
        <v>494</v>
      </c>
      <c r="AW648" t="s">
        <v>74</v>
      </c>
      <c r="AX648" t="s">
        <v>74</v>
      </c>
      <c r="AY648" t="s">
        <v>74</v>
      </c>
      <c r="AZ648" t="s">
        <v>74</v>
      </c>
      <c r="BA648" t="s">
        <v>74</v>
      </c>
      <c r="BB648">
        <v>50</v>
      </c>
      <c r="BC648">
        <v>59</v>
      </c>
      <c r="BD648" t="s">
        <v>74</v>
      </c>
      <c r="BE648" t="s">
        <v>12561</v>
      </c>
      <c r="BF648" t="str">
        <f>HYPERLINK("http://dx.doi.org/10.1016/j.epsl.2018.04.058","http://dx.doi.org/10.1016/j.epsl.2018.04.058")</f>
        <v>http://dx.doi.org/10.1016/j.epsl.2018.04.058</v>
      </c>
      <c r="BG648" t="s">
        <v>74</v>
      </c>
      <c r="BH648" t="s">
        <v>74</v>
      </c>
      <c r="BI648">
        <v>10</v>
      </c>
      <c r="BJ648" t="s">
        <v>484</v>
      </c>
      <c r="BK648" t="s">
        <v>101</v>
      </c>
      <c r="BL648" t="s">
        <v>484</v>
      </c>
      <c r="BM648" t="s">
        <v>12562</v>
      </c>
      <c r="BN648" t="s">
        <v>74</v>
      </c>
      <c r="BO648" t="s">
        <v>486</v>
      </c>
      <c r="BP648" t="s">
        <v>74</v>
      </c>
      <c r="BQ648" t="s">
        <v>74</v>
      </c>
      <c r="BR648" t="s">
        <v>104</v>
      </c>
      <c r="BS648" t="s">
        <v>12563</v>
      </c>
      <c r="BT648" t="str">
        <f>HYPERLINK("https%3A%2F%2Fwww.webofscience.com%2Fwos%2Fwoscc%2Ffull-record%2FWOS:000434903500006","View Full Record in Web of Science")</f>
        <v>View Full Record in Web of Science</v>
      </c>
    </row>
    <row r="649" spans="1:72" x14ac:dyDescent="0.15">
      <c r="A649" t="s">
        <v>72</v>
      </c>
      <c r="B649" t="s">
        <v>12564</v>
      </c>
      <c r="C649" t="s">
        <v>74</v>
      </c>
      <c r="D649" t="s">
        <v>74</v>
      </c>
      <c r="E649" t="s">
        <v>74</v>
      </c>
      <c r="F649" t="s">
        <v>12565</v>
      </c>
      <c r="G649" t="s">
        <v>74</v>
      </c>
      <c r="H649" t="s">
        <v>74</v>
      </c>
      <c r="I649" t="s">
        <v>12566</v>
      </c>
      <c r="J649" t="s">
        <v>466</v>
      </c>
      <c r="K649" t="s">
        <v>74</v>
      </c>
      <c r="L649" t="s">
        <v>74</v>
      </c>
      <c r="M649" t="s">
        <v>78</v>
      </c>
      <c r="N649" t="s">
        <v>79</v>
      </c>
      <c r="O649" t="s">
        <v>74</v>
      </c>
      <c r="P649" t="s">
        <v>74</v>
      </c>
      <c r="Q649" t="s">
        <v>74</v>
      </c>
      <c r="R649" t="s">
        <v>74</v>
      </c>
      <c r="S649" t="s">
        <v>74</v>
      </c>
      <c r="T649" t="s">
        <v>12567</v>
      </c>
      <c r="U649" t="s">
        <v>12568</v>
      </c>
      <c r="V649" t="s">
        <v>12569</v>
      </c>
      <c r="W649" t="s">
        <v>12570</v>
      </c>
      <c r="X649" t="s">
        <v>12571</v>
      </c>
      <c r="Y649" t="s">
        <v>12572</v>
      </c>
      <c r="Z649" t="s">
        <v>12573</v>
      </c>
      <c r="AA649" t="s">
        <v>12574</v>
      </c>
      <c r="AB649" t="s">
        <v>12575</v>
      </c>
      <c r="AC649" t="s">
        <v>12576</v>
      </c>
      <c r="AD649" t="s">
        <v>12577</v>
      </c>
      <c r="AE649" t="s">
        <v>12578</v>
      </c>
      <c r="AF649" t="s">
        <v>74</v>
      </c>
      <c r="AG649">
        <v>56</v>
      </c>
      <c r="AH649">
        <v>20</v>
      </c>
      <c r="AI649">
        <v>23</v>
      </c>
      <c r="AJ649">
        <v>0</v>
      </c>
      <c r="AK649">
        <v>22</v>
      </c>
      <c r="AL649" t="s">
        <v>285</v>
      </c>
      <c r="AM649" t="s">
        <v>286</v>
      </c>
      <c r="AN649" t="s">
        <v>287</v>
      </c>
      <c r="AO649" t="s">
        <v>479</v>
      </c>
      <c r="AP649" t="s">
        <v>480</v>
      </c>
      <c r="AQ649" t="s">
        <v>74</v>
      </c>
      <c r="AR649" t="s">
        <v>481</v>
      </c>
      <c r="AS649" t="s">
        <v>482</v>
      </c>
      <c r="AT649" t="s">
        <v>12423</v>
      </c>
      <c r="AU649">
        <v>2018</v>
      </c>
      <c r="AV649">
        <v>494</v>
      </c>
      <c r="AW649" t="s">
        <v>74</v>
      </c>
      <c r="AX649" t="s">
        <v>74</v>
      </c>
      <c r="AY649" t="s">
        <v>74</v>
      </c>
      <c r="AZ649" t="s">
        <v>74</v>
      </c>
      <c r="BA649" t="s">
        <v>74</v>
      </c>
      <c r="BB649">
        <v>109</v>
      </c>
      <c r="BC649">
        <v>116</v>
      </c>
      <c r="BD649" t="s">
        <v>74</v>
      </c>
      <c r="BE649" t="s">
        <v>12579</v>
      </c>
      <c r="BF649" t="str">
        <f>HYPERLINK("http://dx.doi.org/10.1016/j.epsl.2018.04.054","http://dx.doi.org/10.1016/j.epsl.2018.04.054")</f>
        <v>http://dx.doi.org/10.1016/j.epsl.2018.04.054</v>
      </c>
      <c r="BG649" t="s">
        <v>74</v>
      </c>
      <c r="BH649" t="s">
        <v>74</v>
      </c>
      <c r="BI649">
        <v>8</v>
      </c>
      <c r="BJ649" t="s">
        <v>484</v>
      </c>
      <c r="BK649" t="s">
        <v>101</v>
      </c>
      <c r="BL649" t="s">
        <v>484</v>
      </c>
      <c r="BM649" t="s">
        <v>12562</v>
      </c>
      <c r="BN649" t="s">
        <v>74</v>
      </c>
      <c r="BO649" t="s">
        <v>661</v>
      </c>
      <c r="BP649" t="s">
        <v>74</v>
      </c>
      <c r="BQ649" t="s">
        <v>74</v>
      </c>
      <c r="BR649" t="s">
        <v>104</v>
      </c>
      <c r="BS649" t="s">
        <v>12580</v>
      </c>
      <c r="BT649" t="str">
        <f>HYPERLINK("https%3A%2F%2Fwww.webofscience.com%2Fwos%2Fwoscc%2Ffull-record%2FWOS:000434903500012","View Full Record in Web of Science")</f>
        <v>View Full Record in Web of Science</v>
      </c>
    </row>
    <row r="650" spans="1:72" x14ac:dyDescent="0.15">
      <c r="A650" t="s">
        <v>72</v>
      </c>
      <c r="B650" t="s">
        <v>12581</v>
      </c>
      <c r="C650" t="s">
        <v>74</v>
      </c>
      <c r="D650" t="s">
        <v>74</v>
      </c>
      <c r="E650" t="s">
        <v>74</v>
      </c>
      <c r="F650" t="s">
        <v>12582</v>
      </c>
      <c r="G650" t="s">
        <v>74</v>
      </c>
      <c r="H650" t="s">
        <v>74</v>
      </c>
      <c r="I650" t="s">
        <v>12583</v>
      </c>
      <c r="J650" t="s">
        <v>3387</v>
      </c>
      <c r="K650" t="s">
        <v>74</v>
      </c>
      <c r="L650" t="s">
        <v>74</v>
      </c>
      <c r="M650" t="s">
        <v>78</v>
      </c>
      <c r="N650" t="s">
        <v>79</v>
      </c>
      <c r="O650" t="s">
        <v>74</v>
      </c>
      <c r="P650" t="s">
        <v>74</v>
      </c>
      <c r="Q650" t="s">
        <v>74</v>
      </c>
      <c r="R650" t="s">
        <v>74</v>
      </c>
      <c r="S650" t="s">
        <v>74</v>
      </c>
      <c r="T650" t="s">
        <v>74</v>
      </c>
      <c r="U650" t="s">
        <v>12584</v>
      </c>
      <c r="V650" t="s">
        <v>12585</v>
      </c>
      <c r="W650" t="s">
        <v>12586</v>
      </c>
      <c r="X650" t="s">
        <v>12587</v>
      </c>
      <c r="Y650" t="s">
        <v>12588</v>
      </c>
      <c r="Z650" t="s">
        <v>12589</v>
      </c>
      <c r="AA650" t="s">
        <v>12590</v>
      </c>
      <c r="AB650" t="s">
        <v>12591</v>
      </c>
      <c r="AC650" t="s">
        <v>12592</v>
      </c>
      <c r="AD650" t="s">
        <v>12593</v>
      </c>
      <c r="AE650" t="s">
        <v>12594</v>
      </c>
      <c r="AF650" t="s">
        <v>74</v>
      </c>
      <c r="AG650">
        <v>52</v>
      </c>
      <c r="AH650">
        <v>27</v>
      </c>
      <c r="AI650">
        <v>28</v>
      </c>
      <c r="AJ650">
        <v>1</v>
      </c>
      <c r="AK650">
        <v>12</v>
      </c>
      <c r="AL650" t="s">
        <v>3353</v>
      </c>
      <c r="AM650" t="s">
        <v>3354</v>
      </c>
      <c r="AN650" t="s">
        <v>3355</v>
      </c>
      <c r="AO650" t="s">
        <v>3399</v>
      </c>
      <c r="AP650" t="s">
        <v>3400</v>
      </c>
      <c r="AQ650" t="s">
        <v>74</v>
      </c>
      <c r="AR650" t="s">
        <v>3401</v>
      </c>
      <c r="AS650" t="s">
        <v>3402</v>
      </c>
      <c r="AT650" t="s">
        <v>12595</v>
      </c>
      <c r="AU650">
        <v>2018</v>
      </c>
      <c r="AV650">
        <v>18</v>
      </c>
      <c r="AW650">
        <v>13</v>
      </c>
      <c r="AX650" t="s">
        <v>74</v>
      </c>
      <c r="AY650" t="s">
        <v>74</v>
      </c>
      <c r="AZ650" t="s">
        <v>74</v>
      </c>
      <c r="BA650" t="s">
        <v>74</v>
      </c>
      <c r="BB650">
        <v>9831</v>
      </c>
      <c r="BC650">
        <v>9843</v>
      </c>
      <c r="BD650" t="s">
        <v>74</v>
      </c>
      <c r="BE650" t="s">
        <v>12596</v>
      </c>
      <c r="BF650" t="str">
        <f>HYPERLINK("http://dx.doi.org/10.5194/acp-18-9831-2018","http://dx.doi.org/10.5194/acp-18-9831-2018")</f>
        <v>http://dx.doi.org/10.5194/acp-18-9831-2018</v>
      </c>
      <c r="BG650" t="s">
        <v>74</v>
      </c>
      <c r="BH650" t="s">
        <v>74</v>
      </c>
      <c r="BI650">
        <v>13</v>
      </c>
      <c r="BJ650" t="s">
        <v>317</v>
      </c>
      <c r="BK650" t="s">
        <v>101</v>
      </c>
      <c r="BL650" t="s">
        <v>318</v>
      </c>
      <c r="BM650" t="s">
        <v>12597</v>
      </c>
      <c r="BN650" t="s">
        <v>74</v>
      </c>
      <c r="BO650" t="s">
        <v>3406</v>
      </c>
      <c r="BP650" t="s">
        <v>74</v>
      </c>
      <c r="BQ650" t="s">
        <v>74</v>
      </c>
      <c r="BR650" t="s">
        <v>104</v>
      </c>
      <c r="BS650" t="s">
        <v>12598</v>
      </c>
      <c r="BT650" t="str">
        <f>HYPERLINK("https%3A%2F%2Fwww.webofscience.com%2Fwos%2Fwoscc%2Ffull-record%2FWOS:000438465500003","View Full Record in Web of Science")</f>
        <v>View Full Record in Web of Science</v>
      </c>
    </row>
    <row r="651" spans="1:72" x14ac:dyDescent="0.15">
      <c r="A651" t="s">
        <v>72</v>
      </c>
      <c r="B651" t="s">
        <v>12599</v>
      </c>
      <c r="C651" t="s">
        <v>74</v>
      </c>
      <c r="D651" t="s">
        <v>74</v>
      </c>
      <c r="E651" t="s">
        <v>74</v>
      </c>
      <c r="F651" t="s">
        <v>12600</v>
      </c>
      <c r="G651" t="s">
        <v>74</v>
      </c>
      <c r="H651" t="s">
        <v>74</v>
      </c>
      <c r="I651" t="s">
        <v>12601</v>
      </c>
      <c r="J651" t="s">
        <v>3588</v>
      </c>
      <c r="K651" t="s">
        <v>74</v>
      </c>
      <c r="L651" t="s">
        <v>74</v>
      </c>
      <c r="M651" t="s">
        <v>78</v>
      </c>
      <c r="N651" t="s">
        <v>79</v>
      </c>
      <c r="O651" t="s">
        <v>74</v>
      </c>
      <c r="P651" t="s">
        <v>74</v>
      </c>
      <c r="Q651" t="s">
        <v>74</v>
      </c>
      <c r="R651" t="s">
        <v>74</v>
      </c>
      <c r="S651" t="s">
        <v>74</v>
      </c>
      <c r="T651" t="s">
        <v>74</v>
      </c>
      <c r="U651" t="s">
        <v>12602</v>
      </c>
      <c r="V651" t="s">
        <v>12603</v>
      </c>
      <c r="W651" t="s">
        <v>12604</v>
      </c>
      <c r="X651" t="s">
        <v>12605</v>
      </c>
      <c r="Y651" t="s">
        <v>12606</v>
      </c>
      <c r="Z651" t="s">
        <v>12607</v>
      </c>
      <c r="AA651" t="s">
        <v>74</v>
      </c>
      <c r="AB651" t="s">
        <v>12608</v>
      </c>
      <c r="AC651" t="s">
        <v>12609</v>
      </c>
      <c r="AD651" t="s">
        <v>12610</v>
      </c>
      <c r="AE651" t="s">
        <v>12611</v>
      </c>
      <c r="AF651" t="s">
        <v>74</v>
      </c>
      <c r="AG651">
        <v>72</v>
      </c>
      <c r="AH651">
        <v>23</v>
      </c>
      <c r="AI651">
        <v>26</v>
      </c>
      <c r="AJ651">
        <v>0</v>
      </c>
      <c r="AK651">
        <v>11</v>
      </c>
      <c r="AL651" t="s">
        <v>3599</v>
      </c>
      <c r="AM651" t="s">
        <v>3600</v>
      </c>
      <c r="AN651" t="s">
        <v>3601</v>
      </c>
      <c r="AO651" t="s">
        <v>3602</v>
      </c>
      <c r="AP651" t="s">
        <v>74</v>
      </c>
      <c r="AQ651" t="s">
        <v>74</v>
      </c>
      <c r="AR651" t="s">
        <v>3588</v>
      </c>
      <c r="AS651" t="s">
        <v>3603</v>
      </c>
      <c r="AT651" t="s">
        <v>12595</v>
      </c>
      <c r="AU651">
        <v>2018</v>
      </c>
      <c r="AV651">
        <v>13</v>
      </c>
      <c r="AW651">
        <v>7</v>
      </c>
      <c r="AX651" t="s">
        <v>74</v>
      </c>
      <c r="AY651" t="s">
        <v>74</v>
      </c>
      <c r="AZ651" t="s">
        <v>74</v>
      </c>
      <c r="BA651" t="s">
        <v>74</v>
      </c>
      <c r="BB651" t="s">
        <v>74</v>
      </c>
      <c r="BC651" t="s">
        <v>74</v>
      </c>
      <c r="BD651" t="s">
        <v>12612</v>
      </c>
      <c r="BE651" t="s">
        <v>12613</v>
      </c>
      <c r="BF651" t="str">
        <f>HYPERLINK("http://dx.doi.org/10.1371/journal.pone.0200287","http://dx.doi.org/10.1371/journal.pone.0200287")</f>
        <v>http://dx.doi.org/10.1371/journal.pone.0200287</v>
      </c>
      <c r="BG651" t="s">
        <v>74</v>
      </c>
      <c r="BH651" t="s">
        <v>74</v>
      </c>
      <c r="BI651">
        <v>23</v>
      </c>
      <c r="BJ651" t="s">
        <v>436</v>
      </c>
      <c r="BK651" t="s">
        <v>101</v>
      </c>
      <c r="BL651" t="s">
        <v>437</v>
      </c>
      <c r="BM651" t="s">
        <v>12614</v>
      </c>
      <c r="BN651">
        <v>30001369</v>
      </c>
      <c r="BO651" t="s">
        <v>1502</v>
      </c>
      <c r="BP651" t="s">
        <v>74</v>
      </c>
      <c r="BQ651" t="s">
        <v>74</v>
      </c>
      <c r="BR651" t="s">
        <v>104</v>
      </c>
      <c r="BS651" t="s">
        <v>12615</v>
      </c>
      <c r="BT651" t="str">
        <f>HYPERLINK("https%3A%2F%2Fwww.webofscience.com%2Fwos%2Fwoscc%2Ffull-record%2FWOS:000438457400042","View Full Record in Web of Science")</f>
        <v>View Full Record in Web of Science</v>
      </c>
    </row>
    <row r="652" spans="1:72" x14ac:dyDescent="0.15">
      <c r="A652" t="s">
        <v>72</v>
      </c>
      <c r="B652" t="s">
        <v>12616</v>
      </c>
      <c r="C652" t="s">
        <v>74</v>
      </c>
      <c r="D652" t="s">
        <v>74</v>
      </c>
      <c r="E652" t="s">
        <v>74</v>
      </c>
      <c r="F652" t="s">
        <v>12617</v>
      </c>
      <c r="G652" t="s">
        <v>74</v>
      </c>
      <c r="H652" t="s">
        <v>74</v>
      </c>
      <c r="I652" t="s">
        <v>12618</v>
      </c>
      <c r="J652" t="s">
        <v>3628</v>
      </c>
      <c r="K652" t="s">
        <v>74</v>
      </c>
      <c r="L652" t="s">
        <v>74</v>
      </c>
      <c r="M652" t="s">
        <v>78</v>
      </c>
      <c r="N652" t="s">
        <v>79</v>
      </c>
      <c r="O652" t="s">
        <v>74</v>
      </c>
      <c r="P652" t="s">
        <v>74</v>
      </c>
      <c r="Q652" t="s">
        <v>74</v>
      </c>
      <c r="R652" t="s">
        <v>74</v>
      </c>
      <c r="S652" t="s">
        <v>74</v>
      </c>
      <c r="T652" t="s">
        <v>12619</v>
      </c>
      <c r="U652" t="s">
        <v>12620</v>
      </c>
      <c r="V652" t="s">
        <v>12621</v>
      </c>
      <c r="W652" t="s">
        <v>12622</v>
      </c>
      <c r="X652" t="s">
        <v>12623</v>
      </c>
      <c r="Y652" t="s">
        <v>12624</v>
      </c>
      <c r="Z652" t="s">
        <v>12625</v>
      </c>
      <c r="AA652" t="s">
        <v>12626</v>
      </c>
      <c r="AB652" t="s">
        <v>12627</v>
      </c>
      <c r="AC652" t="s">
        <v>12628</v>
      </c>
      <c r="AD652" t="s">
        <v>12629</v>
      </c>
      <c r="AE652" t="s">
        <v>12630</v>
      </c>
      <c r="AF652" t="s">
        <v>74</v>
      </c>
      <c r="AG652">
        <v>60</v>
      </c>
      <c r="AH652">
        <v>10</v>
      </c>
      <c r="AI652">
        <v>12</v>
      </c>
      <c r="AJ652">
        <v>0</v>
      </c>
      <c r="AK652">
        <v>24</v>
      </c>
      <c r="AL652" t="s">
        <v>3641</v>
      </c>
      <c r="AM652" t="s">
        <v>3642</v>
      </c>
      <c r="AN652" t="s">
        <v>3643</v>
      </c>
      <c r="AO652" t="s">
        <v>3644</v>
      </c>
      <c r="AP652" t="s">
        <v>3645</v>
      </c>
      <c r="AQ652" t="s">
        <v>74</v>
      </c>
      <c r="AR652" t="s">
        <v>3646</v>
      </c>
      <c r="AS652" t="s">
        <v>3647</v>
      </c>
      <c r="AT652" t="s">
        <v>12595</v>
      </c>
      <c r="AU652">
        <v>2018</v>
      </c>
      <c r="AV652">
        <v>599</v>
      </c>
      <c r="AW652" t="s">
        <v>74</v>
      </c>
      <c r="AX652" t="s">
        <v>74</v>
      </c>
      <c r="AY652" t="s">
        <v>74</v>
      </c>
      <c r="AZ652" t="s">
        <v>74</v>
      </c>
      <c r="BA652" t="s">
        <v>74</v>
      </c>
      <c r="BB652">
        <v>147</v>
      </c>
      <c r="BC652">
        <v>156</v>
      </c>
      <c r="BD652" t="s">
        <v>74</v>
      </c>
      <c r="BE652" t="s">
        <v>12631</v>
      </c>
      <c r="BF652" t="str">
        <f>HYPERLINK("http://dx.doi.org/10.3354/meps12626","http://dx.doi.org/10.3354/meps12626")</f>
        <v>http://dx.doi.org/10.3354/meps12626</v>
      </c>
      <c r="BG652" t="s">
        <v>74</v>
      </c>
      <c r="BH652" t="s">
        <v>74</v>
      </c>
      <c r="BI652">
        <v>10</v>
      </c>
      <c r="BJ652" t="s">
        <v>3650</v>
      </c>
      <c r="BK652" t="s">
        <v>101</v>
      </c>
      <c r="BL652" t="s">
        <v>3651</v>
      </c>
      <c r="BM652" t="s">
        <v>12632</v>
      </c>
      <c r="BN652" t="s">
        <v>74</v>
      </c>
      <c r="BO652" t="s">
        <v>740</v>
      </c>
      <c r="BP652" t="s">
        <v>74</v>
      </c>
      <c r="BQ652" t="s">
        <v>74</v>
      </c>
      <c r="BR652" t="s">
        <v>104</v>
      </c>
      <c r="BS652" t="s">
        <v>12633</v>
      </c>
      <c r="BT652" t="str">
        <f>HYPERLINK("https%3A%2F%2Fwww.webofscience.com%2Fwos%2Fwoscc%2Ffull-record%2FWOS:000440371600010","View Full Record in Web of Science")</f>
        <v>View Full Record in Web of Science</v>
      </c>
    </row>
    <row r="653" spans="1:72" x14ac:dyDescent="0.15">
      <c r="A653" t="s">
        <v>72</v>
      </c>
      <c r="B653" t="s">
        <v>12634</v>
      </c>
      <c r="C653" t="s">
        <v>74</v>
      </c>
      <c r="D653" t="s">
        <v>74</v>
      </c>
      <c r="E653" t="s">
        <v>74</v>
      </c>
      <c r="F653" t="s">
        <v>12635</v>
      </c>
      <c r="G653" t="s">
        <v>74</v>
      </c>
      <c r="H653" t="s">
        <v>74</v>
      </c>
      <c r="I653" t="s">
        <v>12636</v>
      </c>
      <c r="J653" t="s">
        <v>3366</v>
      </c>
      <c r="K653" t="s">
        <v>74</v>
      </c>
      <c r="L653" t="s">
        <v>74</v>
      </c>
      <c r="M653" t="s">
        <v>78</v>
      </c>
      <c r="N653" t="s">
        <v>79</v>
      </c>
      <c r="O653" t="s">
        <v>74</v>
      </c>
      <c r="P653" t="s">
        <v>74</v>
      </c>
      <c r="Q653" t="s">
        <v>74</v>
      </c>
      <c r="R653" t="s">
        <v>74</v>
      </c>
      <c r="S653" t="s">
        <v>74</v>
      </c>
      <c r="T653" t="s">
        <v>74</v>
      </c>
      <c r="U653" t="s">
        <v>12637</v>
      </c>
      <c r="V653" t="s">
        <v>12638</v>
      </c>
      <c r="W653" t="s">
        <v>12639</v>
      </c>
      <c r="X653" t="s">
        <v>12640</v>
      </c>
      <c r="Y653" t="s">
        <v>12641</v>
      </c>
      <c r="Z653" t="s">
        <v>12642</v>
      </c>
      <c r="AA653" t="s">
        <v>12643</v>
      </c>
      <c r="AB653" t="s">
        <v>12644</v>
      </c>
      <c r="AC653" t="s">
        <v>12645</v>
      </c>
      <c r="AD653" t="s">
        <v>12645</v>
      </c>
      <c r="AE653" t="s">
        <v>12646</v>
      </c>
      <c r="AF653" t="s">
        <v>74</v>
      </c>
      <c r="AG653">
        <v>52</v>
      </c>
      <c r="AH653">
        <v>16</v>
      </c>
      <c r="AI653">
        <v>17</v>
      </c>
      <c r="AJ653">
        <v>0</v>
      </c>
      <c r="AK653">
        <v>5</v>
      </c>
      <c r="AL653" t="s">
        <v>3353</v>
      </c>
      <c r="AM653" t="s">
        <v>3354</v>
      </c>
      <c r="AN653" t="s">
        <v>3355</v>
      </c>
      <c r="AO653" t="s">
        <v>3377</v>
      </c>
      <c r="AP653" t="s">
        <v>3378</v>
      </c>
      <c r="AQ653" t="s">
        <v>74</v>
      </c>
      <c r="AR653" t="s">
        <v>3366</v>
      </c>
      <c r="AS653" t="s">
        <v>3379</v>
      </c>
      <c r="AT653" t="s">
        <v>12595</v>
      </c>
      <c r="AU653">
        <v>2018</v>
      </c>
      <c r="AV653">
        <v>12</v>
      </c>
      <c r="AW653">
        <v>7</v>
      </c>
      <c r="AX653" t="s">
        <v>74</v>
      </c>
      <c r="AY653" t="s">
        <v>74</v>
      </c>
      <c r="AZ653" t="s">
        <v>74</v>
      </c>
      <c r="BA653" t="s">
        <v>74</v>
      </c>
      <c r="BB653">
        <v>2267</v>
      </c>
      <c r="BC653">
        <v>2285</v>
      </c>
      <c r="BD653" t="s">
        <v>74</v>
      </c>
      <c r="BE653" t="s">
        <v>12647</v>
      </c>
      <c r="BF653" t="str">
        <f>HYPERLINK("http://dx.doi.org/10.5194/tc-12-2267-2018","http://dx.doi.org/10.5194/tc-12-2267-2018")</f>
        <v>http://dx.doi.org/10.5194/tc-12-2267-2018</v>
      </c>
      <c r="BG653" t="s">
        <v>74</v>
      </c>
      <c r="BH653" t="s">
        <v>74</v>
      </c>
      <c r="BI653">
        <v>19</v>
      </c>
      <c r="BJ653" t="s">
        <v>208</v>
      </c>
      <c r="BK653" t="s">
        <v>101</v>
      </c>
      <c r="BL653" t="s">
        <v>209</v>
      </c>
      <c r="BM653" t="s">
        <v>12648</v>
      </c>
      <c r="BN653" t="s">
        <v>74</v>
      </c>
      <c r="BO653" t="s">
        <v>1524</v>
      </c>
      <c r="BP653" t="s">
        <v>74</v>
      </c>
      <c r="BQ653" t="s">
        <v>74</v>
      </c>
      <c r="BR653" t="s">
        <v>104</v>
      </c>
      <c r="BS653" t="s">
        <v>12649</v>
      </c>
      <c r="BT653" t="str">
        <f>HYPERLINK("https%3A%2F%2Fwww.webofscience.com%2Fwos%2Fwoscc%2Ffull-record%2FWOS:000438402000002","View Full Record in Web of Science")</f>
        <v>View Full Record in Web of Science</v>
      </c>
    </row>
    <row r="654" spans="1:72" x14ac:dyDescent="0.15">
      <c r="A654" t="s">
        <v>72</v>
      </c>
      <c r="B654" t="s">
        <v>12650</v>
      </c>
      <c r="C654" t="s">
        <v>74</v>
      </c>
      <c r="D654" t="s">
        <v>74</v>
      </c>
      <c r="E654" t="s">
        <v>74</v>
      </c>
      <c r="F654" t="s">
        <v>12651</v>
      </c>
      <c r="G654" t="s">
        <v>74</v>
      </c>
      <c r="H654" t="s">
        <v>74</v>
      </c>
      <c r="I654" t="s">
        <v>12652</v>
      </c>
      <c r="J654" t="s">
        <v>12653</v>
      </c>
      <c r="K654" t="s">
        <v>74</v>
      </c>
      <c r="L654" t="s">
        <v>74</v>
      </c>
      <c r="M654" t="s">
        <v>78</v>
      </c>
      <c r="N654" t="s">
        <v>2499</v>
      </c>
      <c r="O654" t="s">
        <v>74</v>
      </c>
      <c r="P654" t="s">
        <v>74</v>
      </c>
      <c r="Q654" t="s">
        <v>74</v>
      </c>
      <c r="R654" t="s">
        <v>74</v>
      </c>
      <c r="S654" t="s">
        <v>74</v>
      </c>
      <c r="T654" t="s">
        <v>12654</v>
      </c>
      <c r="U654" t="s">
        <v>12655</v>
      </c>
      <c r="V654" t="s">
        <v>74</v>
      </c>
      <c r="W654" t="s">
        <v>12656</v>
      </c>
      <c r="X654" t="s">
        <v>12657</v>
      </c>
      <c r="Y654" t="s">
        <v>12658</v>
      </c>
      <c r="Z654" t="s">
        <v>12659</v>
      </c>
      <c r="AA654" t="s">
        <v>12660</v>
      </c>
      <c r="AB654" t="s">
        <v>12661</v>
      </c>
      <c r="AC654" t="s">
        <v>74</v>
      </c>
      <c r="AD654" t="s">
        <v>74</v>
      </c>
      <c r="AE654" t="s">
        <v>74</v>
      </c>
      <c r="AF654" t="s">
        <v>74</v>
      </c>
      <c r="AG654">
        <v>20</v>
      </c>
      <c r="AH654">
        <v>10</v>
      </c>
      <c r="AI654">
        <v>11</v>
      </c>
      <c r="AJ654">
        <v>2</v>
      </c>
      <c r="AK654">
        <v>23</v>
      </c>
      <c r="AL654" t="s">
        <v>3174</v>
      </c>
      <c r="AM654" t="s">
        <v>3175</v>
      </c>
      <c r="AN654" t="s">
        <v>3176</v>
      </c>
      <c r="AO654" t="s">
        <v>12662</v>
      </c>
      <c r="AP654" t="s">
        <v>74</v>
      </c>
      <c r="AQ654" t="s">
        <v>74</v>
      </c>
      <c r="AR654" t="s">
        <v>12663</v>
      </c>
      <c r="AS654" t="s">
        <v>12664</v>
      </c>
      <c r="AT654" t="s">
        <v>12595</v>
      </c>
      <c r="AU654">
        <v>2018</v>
      </c>
      <c r="AV654">
        <v>9</v>
      </c>
      <c r="AW654" t="s">
        <v>74</v>
      </c>
      <c r="AX654" t="s">
        <v>74</v>
      </c>
      <c r="AY654" t="s">
        <v>74</v>
      </c>
      <c r="AZ654" t="s">
        <v>74</v>
      </c>
      <c r="BA654" t="s">
        <v>74</v>
      </c>
      <c r="BB654" t="s">
        <v>74</v>
      </c>
      <c r="BC654" t="s">
        <v>74</v>
      </c>
      <c r="BD654">
        <v>891</v>
      </c>
      <c r="BE654" t="s">
        <v>12665</v>
      </c>
      <c r="BF654" t="str">
        <f>HYPERLINK("http://dx.doi.org/10.3389/fphys.2018.00891","http://dx.doi.org/10.3389/fphys.2018.00891")</f>
        <v>http://dx.doi.org/10.3389/fphys.2018.00891</v>
      </c>
      <c r="BG654" t="s">
        <v>74</v>
      </c>
      <c r="BH654" t="s">
        <v>74</v>
      </c>
      <c r="BI654">
        <v>3</v>
      </c>
      <c r="BJ654" t="s">
        <v>12666</v>
      </c>
      <c r="BK654" t="s">
        <v>101</v>
      </c>
      <c r="BL654" t="s">
        <v>12666</v>
      </c>
      <c r="BM654" t="s">
        <v>12667</v>
      </c>
      <c r="BN654">
        <v>30050460</v>
      </c>
      <c r="BO654" t="s">
        <v>439</v>
      </c>
      <c r="BP654" t="s">
        <v>74</v>
      </c>
      <c r="BQ654" t="s">
        <v>74</v>
      </c>
      <c r="BR654" t="s">
        <v>104</v>
      </c>
      <c r="BS654" t="s">
        <v>12668</v>
      </c>
      <c r="BT654" t="str">
        <f>HYPERLINK("https%3A%2F%2Fwww.webofscience.com%2Fwos%2Fwoscc%2Ffull-record%2FWOS:000438395800001","View Full Record in Web of Science")</f>
        <v>View Full Record in Web of Science</v>
      </c>
    </row>
    <row r="655" spans="1:72" x14ac:dyDescent="0.15">
      <c r="A655" t="s">
        <v>72</v>
      </c>
      <c r="B655" t="s">
        <v>12669</v>
      </c>
      <c r="C655" t="s">
        <v>74</v>
      </c>
      <c r="D655" t="s">
        <v>74</v>
      </c>
      <c r="E655" t="s">
        <v>74</v>
      </c>
      <c r="F655" t="s">
        <v>12670</v>
      </c>
      <c r="G655" t="s">
        <v>74</v>
      </c>
      <c r="H655" t="s">
        <v>74</v>
      </c>
      <c r="I655" t="s">
        <v>12671</v>
      </c>
      <c r="J655" t="s">
        <v>4109</v>
      </c>
      <c r="K655" t="s">
        <v>74</v>
      </c>
      <c r="L655" t="s">
        <v>74</v>
      </c>
      <c r="M655" t="s">
        <v>78</v>
      </c>
      <c r="N655" t="s">
        <v>79</v>
      </c>
      <c r="O655" t="s">
        <v>74</v>
      </c>
      <c r="P655" t="s">
        <v>74</v>
      </c>
      <c r="Q655" t="s">
        <v>74</v>
      </c>
      <c r="R655" t="s">
        <v>74</v>
      </c>
      <c r="S655" t="s">
        <v>74</v>
      </c>
      <c r="T655" t="s">
        <v>74</v>
      </c>
      <c r="U655" t="s">
        <v>12672</v>
      </c>
      <c r="V655" t="s">
        <v>12673</v>
      </c>
      <c r="W655" t="s">
        <v>12674</v>
      </c>
      <c r="X655" t="s">
        <v>12675</v>
      </c>
      <c r="Y655" t="s">
        <v>12676</v>
      </c>
      <c r="Z655" t="s">
        <v>12677</v>
      </c>
      <c r="AA655" t="s">
        <v>12678</v>
      </c>
      <c r="AB655" t="s">
        <v>12679</v>
      </c>
      <c r="AC655" t="s">
        <v>12680</v>
      </c>
      <c r="AD655" t="s">
        <v>12681</v>
      </c>
      <c r="AE655" t="s">
        <v>12682</v>
      </c>
      <c r="AF655" t="s">
        <v>74</v>
      </c>
      <c r="AG655">
        <v>65</v>
      </c>
      <c r="AH655">
        <v>5</v>
      </c>
      <c r="AI655">
        <v>5</v>
      </c>
      <c r="AJ655">
        <v>0</v>
      </c>
      <c r="AK655">
        <v>20</v>
      </c>
      <c r="AL655" t="s">
        <v>1130</v>
      </c>
      <c r="AM655" t="s">
        <v>1131</v>
      </c>
      <c r="AN655" t="s">
        <v>1132</v>
      </c>
      <c r="AO655" t="s">
        <v>4121</v>
      </c>
      <c r="AP655" t="s">
        <v>74</v>
      </c>
      <c r="AQ655" t="s">
        <v>74</v>
      </c>
      <c r="AR655" t="s">
        <v>4122</v>
      </c>
      <c r="AS655" t="s">
        <v>4123</v>
      </c>
      <c r="AT655" t="s">
        <v>12595</v>
      </c>
      <c r="AU655">
        <v>2018</v>
      </c>
      <c r="AV655">
        <v>8</v>
      </c>
      <c r="AW655" t="s">
        <v>74</v>
      </c>
      <c r="AX655" t="s">
        <v>74</v>
      </c>
      <c r="AY655" t="s">
        <v>74</v>
      </c>
      <c r="AZ655" t="s">
        <v>74</v>
      </c>
      <c r="BA655" t="s">
        <v>74</v>
      </c>
      <c r="BB655" t="s">
        <v>74</v>
      </c>
      <c r="BC655" t="s">
        <v>74</v>
      </c>
      <c r="BD655">
        <v>10572</v>
      </c>
      <c r="BE655" t="s">
        <v>12683</v>
      </c>
      <c r="BF655" t="str">
        <f>HYPERLINK("http://dx.doi.org/10.1038/s41598-018-28805-z","http://dx.doi.org/10.1038/s41598-018-28805-z")</f>
        <v>http://dx.doi.org/10.1038/s41598-018-28805-z</v>
      </c>
      <c r="BG655" t="s">
        <v>74</v>
      </c>
      <c r="BH655" t="s">
        <v>74</v>
      </c>
      <c r="BI655">
        <v>12</v>
      </c>
      <c r="BJ655" t="s">
        <v>436</v>
      </c>
      <c r="BK655" t="s">
        <v>1140</v>
      </c>
      <c r="BL655" t="s">
        <v>437</v>
      </c>
      <c r="BM655" t="s">
        <v>12684</v>
      </c>
      <c r="BN655">
        <v>30002457</v>
      </c>
      <c r="BO655" t="s">
        <v>439</v>
      </c>
      <c r="BP655" t="s">
        <v>74</v>
      </c>
      <c r="BQ655" t="s">
        <v>74</v>
      </c>
      <c r="BR655" t="s">
        <v>104</v>
      </c>
      <c r="BS655" t="s">
        <v>12685</v>
      </c>
      <c r="BT655" t="str">
        <f>HYPERLINK("https%3A%2F%2Fwww.webofscience.com%2Fwos%2Fwoscc%2Ffull-record%2FWOS:000438343600082","View Full Record in Web of Science")</f>
        <v>View Full Record in Web of Science</v>
      </c>
    </row>
    <row r="656" spans="1:72" x14ac:dyDescent="0.15">
      <c r="A656" t="s">
        <v>72</v>
      </c>
      <c r="B656" t="s">
        <v>12686</v>
      </c>
      <c r="C656" t="s">
        <v>74</v>
      </c>
      <c r="D656" t="s">
        <v>74</v>
      </c>
      <c r="E656" t="s">
        <v>74</v>
      </c>
      <c r="F656" t="s">
        <v>12687</v>
      </c>
      <c r="G656" t="s">
        <v>74</v>
      </c>
      <c r="H656" t="s">
        <v>74</v>
      </c>
      <c r="I656" t="s">
        <v>12688</v>
      </c>
      <c r="J656" t="s">
        <v>3268</v>
      </c>
      <c r="K656" t="s">
        <v>74</v>
      </c>
      <c r="L656" t="s">
        <v>74</v>
      </c>
      <c r="M656" t="s">
        <v>78</v>
      </c>
      <c r="N656" t="s">
        <v>4341</v>
      </c>
      <c r="O656" t="s">
        <v>74</v>
      </c>
      <c r="P656" t="s">
        <v>74</v>
      </c>
      <c r="Q656" t="s">
        <v>74</v>
      </c>
      <c r="R656" t="s">
        <v>74</v>
      </c>
      <c r="S656" t="s">
        <v>74</v>
      </c>
      <c r="T656" t="s">
        <v>74</v>
      </c>
      <c r="U656" t="s">
        <v>74</v>
      </c>
      <c r="V656" t="s">
        <v>74</v>
      </c>
      <c r="W656" t="s">
        <v>12689</v>
      </c>
      <c r="X656" t="s">
        <v>12690</v>
      </c>
      <c r="Y656" t="s">
        <v>12691</v>
      </c>
      <c r="Z656" t="s">
        <v>11751</v>
      </c>
      <c r="AA656" t="s">
        <v>12692</v>
      </c>
      <c r="AB656" t="s">
        <v>12693</v>
      </c>
      <c r="AC656" t="s">
        <v>74</v>
      </c>
      <c r="AD656" t="s">
        <v>74</v>
      </c>
      <c r="AE656" t="s">
        <v>74</v>
      </c>
      <c r="AF656" t="s">
        <v>74</v>
      </c>
      <c r="AG656">
        <v>1</v>
      </c>
      <c r="AH656">
        <v>2</v>
      </c>
      <c r="AI656">
        <v>2</v>
      </c>
      <c r="AJ656">
        <v>0</v>
      </c>
      <c r="AK656">
        <v>7</v>
      </c>
      <c r="AL656" t="s">
        <v>1159</v>
      </c>
      <c r="AM656" t="s">
        <v>704</v>
      </c>
      <c r="AN656" t="s">
        <v>2728</v>
      </c>
      <c r="AO656" t="s">
        <v>3280</v>
      </c>
      <c r="AP656" t="s">
        <v>74</v>
      </c>
      <c r="AQ656" t="s">
        <v>74</v>
      </c>
      <c r="AR656" t="s">
        <v>3281</v>
      </c>
      <c r="AS656" t="s">
        <v>3282</v>
      </c>
      <c r="AT656" t="s">
        <v>12694</v>
      </c>
      <c r="AU656">
        <v>2018</v>
      </c>
      <c r="AV656">
        <v>9</v>
      </c>
      <c r="AW656" t="s">
        <v>74</v>
      </c>
      <c r="AX656" t="s">
        <v>74</v>
      </c>
      <c r="AY656" t="s">
        <v>74</v>
      </c>
      <c r="AZ656" t="s">
        <v>74</v>
      </c>
      <c r="BA656" t="s">
        <v>74</v>
      </c>
      <c r="BB656" t="s">
        <v>74</v>
      </c>
      <c r="BC656" t="s">
        <v>74</v>
      </c>
      <c r="BD656">
        <v>2742</v>
      </c>
      <c r="BE656" t="s">
        <v>12695</v>
      </c>
      <c r="BF656" t="str">
        <f>HYPERLINK("http://dx.doi.org/10.1038/s41467-018-05206-4","http://dx.doi.org/10.1038/s41467-018-05206-4")</f>
        <v>http://dx.doi.org/10.1038/s41467-018-05206-4</v>
      </c>
      <c r="BG656" t="s">
        <v>74</v>
      </c>
      <c r="BH656" t="s">
        <v>74</v>
      </c>
      <c r="BI656">
        <v>1</v>
      </c>
      <c r="BJ656" t="s">
        <v>436</v>
      </c>
      <c r="BK656" t="s">
        <v>101</v>
      </c>
      <c r="BL656" t="s">
        <v>437</v>
      </c>
      <c r="BM656" t="s">
        <v>12696</v>
      </c>
      <c r="BN656">
        <v>29992953</v>
      </c>
      <c r="BO656" t="s">
        <v>1566</v>
      </c>
      <c r="BP656" t="s">
        <v>74</v>
      </c>
      <c r="BQ656" t="s">
        <v>74</v>
      </c>
      <c r="BR656" t="s">
        <v>104</v>
      </c>
      <c r="BS656" t="s">
        <v>12697</v>
      </c>
      <c r="BT656" t="str">
        <f>HYPERLINK("https%3A%2F%2Fwww.webofscience.com%2Fwos%2Fwoscc%2Ffull-record%2FWOS:000438198200001","View Full Record in Web of Science")</f>
        <v>View Full Record in Web of Science</v>
      </c>
    </row>
    <row r="657" spans="1:72" x14ac:dyDescent="0.15">
      <c r="A657" t="s">
        <v>72</v>
      </c>
      <c r="B657" t="s">
        <v>12698</v>
      </c>
      <c r="C657" t="s">
        <v>74</v>
      </c>
      <c r="D657" t="s">
        <v>74</v>
      </c>
      <c r="E657" t="s">
        <v>74</v>
      </c>
      <c r="F657" t="s">
        <v>12699</v>
      </c>
      <c r="G657" t="s">
        <v>74</v>
      </c>
      <c r="H657" t="s">
        <v>74</v>
      </c>
      <c r="I657" t="s">
        <v>12700</v>
      </c>
      <c r="J657" t="s">
        <v>3387</v>
      </c>
      <c r="K657" t="s">
        <v>74</v>
      </c>
      <c r="L657" t="s">
        <v>74</v>
      </c>
      <c r="M657" t="s">
        <v>78</v>
      </c>
      <c r="N657" t="s">
        <v>79</v>
      </c>
      <c r="O657" t="s">
        <v>74</v>
      </c>
      <c r="P657" t="s">
        <v>74</v>
      </c>
      <c r="Q657" t="s">
        <v>74</v>
      </c>
      <c r="R657" t="s">
        <v>74</v>
      </c>
      <c r="S657" t="s">
        <v>74</v>
      </c>
      <c r="T657" t="s">
        <v>74</v>
      </c>
      <c r="U657" t="s">
        <v>12701</v>
      </c>
      <c r="V657" t="s">
        <v>12702</v>
      </c>
      <c r="W657" t="s">
        <v>12703</v>
      </c>
      <c r="X657" t="s">
        <v>12704</v>
      </c>
      <c r="Y657" t="s">
        <v>12705</v>
      </c>
      <c r="Z657" t="s">
        <v>12706</v>
      </c>
      <c r="AA657" t="s">
        <v>12707</v>
      </c>
      <c r="AB657" t="s">
        <v>74</v>
      </c>
      <c r="AC657" t="s">
        <v>12708</v>
      </c>
      <c r="AD657" t="s">
        <v>12709</v>
      </c>
      <c r="AE657" t="s">
        <v>12710</v>
      </c>
      <c r="AF657" t="s">
        <v>74</v>
      </c>
      <c r="AG657">
        <v>38</v>
      </c>
      <c r="AH657">
        <v>8</v>
      </c>
      <c r="AI657">
        <v>9</v>
      </c>
      <c r="AJ657">
        <v>0</v>
      </c>
      <c r="AK657">
        <v>20</v>
      </c>
      <c r="AL657" t="s">
        <v>3353</v>
      </c>
      <c r="AM657" t="s">
        <v>3354</v>
      </c>
      <c r="AN657" t="s">
        <v>3355</v>
      </c>
      <c r="AO657" t="s">
        <v>3399</v>
      </c>
      <c r="AP657" t="s">
        <v>3400</v>
      </c>
      <c r="AQ657" t="s">
        <v>74</v>
      </c>
      <c r="AR657" t="s">
        <v>3401</v>
      </c>
      <c r="AS657" t="s">
        <v>3402</v>
      </c>
      <c r="AT657" t="s">
        <v>12694</v>
      </c>
      <c r="AU657">
        <v>2018</v>
      </c>
      <c r="AV657">
        <v>18</v>
      </c>
      <c r="AW657">
        <v>13</v>
      </c>
      <c r="AX657" t="s">
        <v>74</v>
      </c>
      <c r="AY657" t="s">
        <v>74</v>
      </c>
      <c r="AZ657" t="s">
        <v>74</v>
      </c>
      <c r="BA657" t="s">
        <v>74</v>
      </c>
      <c r="BB657">
        <v>9789</v>
      </c>
      <c r="BC657">
        <v>9801</v>
      </c>
      <c r="BD657" t="s">
        <v>74</v>
      </c>
      <c r="BE657" t="s">
        <v>12711</v>
      </c>
      <c r="BF657" t="str">
        <f>HYPERLINK("http://dx.doi.org/10.5194/acp-18-9789-2018","http://dx.doi.org/10.5194/acp-18-9789-2018")</f>
        <v>http://dx.doi.org/10.5194/acp-18-9789-2018</v>
      </c>
      <c r="BG657" t="s">
        <v>74</v>
      </c>
      <c r="BH657" t="s">
        <v>74</v>
      </c>
      <c r="BI657">
        <v>13</v>
      </c>
      <c r="BJ657" t="s">
        <v>317</v>
      </c>
      <c r="BK657" t="s">
        <v>101</v>
      </c>
      <c r="BL657" t="s">
        <v>318</v>
      </c>
      <c r="BM657" t="s">
        <v>12712</v>
      </c>
      <c r="BN657" t="s">
        <v>74</v>
      </c>
      <c r="BO657" t="s">
        <v>1524</v>
      </c>
      <c r="BP657" t="s">
        <v>74</v>
      </c>
      <c r="BQ657" t="s">
        <v>74</v>
      </c>
      <c r="BR657" t="s">
        <v>104</v>
      </c>
      <c r="BS657" t="s">
        <v>12713</v>
      </c>
      <c r="BT657" t="str">
        <f>HYPERLINK("https%3A%2F%2Fwww.webofscience.com%2Fwos%2Fwoscc%2Ffull-record%2FWOS:000438286400003","View Full Record in Web of Science")</f>
        <v>View Full Record in Web of Science</v>
      </c>
    </row>
    <row r="658" spans="1:72" x14ac:dyDescent="0.15">
      <c r="A658" t="s">
        <v>72</v>
      </c>
      <c r="B658" t="s">
        <v>12714</v>
      </c>
      <c r="C658" t="s">
        <v>74</v>
      </c>
      <c r="D658" t="s">
        <v>74</v>
      </c>
      <c r="E658" t="s">
        <v>74</v>
      </c>
      <c r="F658" t="s">
        <v>12715</v>
      </c>
      <c r="G658" t="s">
        <v>74</v>
      </c>
      <c r="H658" t="s">
        <v>74</v>
      </c>
      <c r="I658" t="s">
        <v>12716</v>
      </c>
      <c r="J658" t="s">
        <v>12717</v>
      </c>
      <c r="K658" t="s">
        <v>74</v>
      </c>
      <c r="L658" t="s">
        <v>74</v>
      </c>
      <c r="M658" t="s">
        <v>78</v>
      </c>
      <c r="N658" t="s">
        <v>79</v>
      </c>
      <c r="O658" t="s">
        <v>74</v>
      </c>
      <c r="P658" t="s">
        <v>74</v>
      </c>
      <c r="Q658" t="s">
        <v>74</v>
      </c>
      <c r="R658" t="s">
        <v>74</v>
      </c>
      <c r="S658" t="s">
        <v>74</v>
      </c>
      <c r="T658" t="s">
        <v>12718</v>
      </c>
      <c r="U658" t="s">
        <v>12719</v>
      </c>
      <c r="V658" t="s">
        <v>12720</v>
      </c>
      <c r="W658" t="s">
        <v>12721</v>
      </c>
      <c r="X658" t="s">
        <v>12722</v>
      </c>
      <c r="Y658" t="s">
        <v>12723</v>
      </c>
      <c r="Z658" t="s">
        <v>12724</v>
      </c>
      <c r="AA658" t="s">
        <v>12725</v>
      </c>
      <c r="AB658" t="s">
        <v>12726</v>
      </c>
      <c r="AC658" t="s">
        <v>12727</v>
      </c>
      <c r="AD658" t="s">
        <v>12728</v>
      </c>
      <c r="AE658" t="s">
        <v>12729</v>
      </c>
      <c r="AF658" t="s">
        <v>74</v>
      </c>
      <c r="AG658">
        <v>43</v>
      </c>
      <c r="AH658">
        <v>12</v>
      </c>
      <c r="AI658">
        <v>12</v>
      </c>
      <c r="AJ658">
        <v>1</v>
      </c>
      <c r="AK658">
        <v>6</v>
      </c>
      <c r="AL658" t="s">
        <v>1319</v>
      </c>
      <c r="AM658" t="s">
        <v>704</v>
      </c>
      <c r="AN658" t="s">
        <v>1320</v>
      </c>
      <c r="AO658" t="s">
        <v>12730</v>
      </c>
      <c r="AP658" t="s">
        <v>12731</v>
      </c>
      <c r="AQ658" t="s">
        <v>74</v>
      </c>
      <c r="AR658" t="s">
        <v>12732</v>
      </c>
      <c r="AS658" t="s">
        <v>12733</v>
      </c>
      <c r="AT658" t="s">
        <v>12694</v>
      </c>
      <c r="AU658">
        <v>2018</v>
      </c>
      <c r="AV658">
        <v>285</v>
      </c>
      <c r="AW658">
        <v>1882</v>
      </c>
      <c r="AX658" t="s">
        <v>74</v>
      </c>
      <c r="AY658" t="s">
        <v>74</v>
      </c>
      <c r="AZ658" t="s">
        <v>74</v>
      </c>
      <c r="BA658" t="s">
        <v>74</v>
      </c>
      <c r="BB658" t="s">
        <v>74</v>
      </c>
      <c r="BC658" t="s">
        <v>74</v>
      </c>
      <c r="BD658">
        <v>20181099</v>
      </c>
      <c r="BE658" t="s">
        <v>12734</v>
      </c>
      <c r="BF658" t="str">
        <f>HYPERLINK("http://dx.doi.org/10.1098/rspb.2018.1099","http://dx.doi.org/10.1098/rspb.2018.1099")</f>
        <v>http://dx.doi.org/10.1098/rspb.2018.1099</v>
      </c>
      <c r="BG658" t="s">
        <v>74</v>
      </c>
      <c r="BH658" t="s">
        <v>74</v>
      </c>
      <c r="BI658">
        <v>6</v>
      </c>
      <c r="BJ658" t="s">
        <v>12735</v>
      </c>
      <c r="BK658" t="s">
        <v>101</v>
      </c>
      <c r="BL658" t="s">
        <v>12736</v>
      </c>
      <c r="BM658" t="s">
        <v>12737</v>
      </c>
      <c r="BN658">
        <v>30051825</v>
      </c>
      <c r="BO658" t="s">
        <v>12738</v>
      </c>
      <c r="BP658" t="s">
        <v>74</v>
      </c>
      <c r="BQ658" t="s">
        <v>74</v>
      </c>
      <c r="BR658" t="s">
        <v>104</v>
      </c>
      <c r="BS658" t="s">
        <v>12739</v>
      </c>
      <c r="BT658" t="str">
        <f>HYPERLINK("https%3A%2F%2Fwww.webofscience.com%2Fwos%2Fwoscc%2Ffull-record%2FWOS:000438492800015","View Full Record in Web of Science")</f>
        <v>View Full Record in Web of Science</v>
      </c>
    </row>
    <row r="659" spans="1:72" x14ac:dyDescent="0.15">
      <c r="A659" t="s">
        <v>72</v>
      </c>
      <c r="B659" t="s">
        <v>12740</v>
      </c>
      <c r="C659" t="s">
        <v>74</v>
      </c>
      <c r="D659" t="s">
        <v>74</v>
      </c>
      <c r="E659" t="s">
        <v>74</v>
      </c>
      <c r="F659" t="s">
        <v>12741</v>
      </c>
      <c r="G659" t="s">
        <v>74</v>
      </c>
      <c r="H659" t="s">
        <v>74</v>
      </c>
      <c r="I659" t="s">
        <v>12742</v>
      </c>
      <c r="J659" t="s">
        <v>4453</v>
      </c>
      <c r="K659" t="s">
        <v>74</v>
      </c>
      <c r="L659" t="s">
        <v>74</v>
      </c>
      <c r="M659" t="s">
        <v>78</v>
      </c>
      <c r="N659" t="s">
        <v>79</v>
      </c>
      <c r="O659" t="s">
        <v>74</v>
      </c>
      <c r="P659" t="s">
        <v>74</v>
      </c>
      <c r="Q659" t="s">
        <v>74</v>
      </c>
      <c r="R659" t="s">
        <v>74</v>
      </c>
      <c r="S659" t="s">
        <v>74</v>
      </c>
      <c r="T659" t="s">
        <v>74</v>
      </c>
      <c r="U659" t="s">
        <v>12743</v>
      </c>
      <c r="V659" t="s">
        <v>12744</v>
      </c>
      <c r="W659" t="s">
        <v>12745</v>
      </c>
      <c r="X659" t="s">
        <v>12746</v>
      </c>
      <c r="Y659" t="s">
        <v>12747</v>
      </c>
      <c r="Z659" t="s">
        <v>12748</v>
      </c>
      <c r="AA659" t="s">
        <v>12749</v>
      </c>
      <c r="AB659" t="s">
        <v>12750</v>
      </c>
      <c r="AC659" t="s">
        <v>12751</v>
      </c>
      <c r="AD659" t="s">
        <v>12752</v>
      </c>
      <c r="AE659" t="s">
        <v>12753</v>
      </c>
      <c r="AF659" t="s">
        <v>74</v>
      </c>
      <c r="AG659">
        <v>85</v>
      </c>
      <c r="AH659">
        <v>35</v>
      </c>
      <c r="AI659">
        <v>35</v>
      </c>
      <c r="AJ659">
        <v>0</v>
      </c>
      <c r="AK659">
        <v>14</v>
      </c>
      <c r="AL659" t="s">
        <v>3353</v>
      </c>
      <c r="AM659" t="s">
        <v>3354</v>
      </c>
      <c r="AN659" t="s">
        <v>3355</v>
      </c>
      <c r="AO659" t="s">
        <v>4465</v>
      </c>
      <c r="AP659" t="s">
        <v>4466</v>
      </c>
      <c r="AQ659" t="s">
        <v>74</v>
      </c>
      <c r="AR659" t="s">
        <v>4467</v>
      </c>
      <c r="AS659" t="s">
        <v>4468</v>
      </c>
      <c r="AT659" t="s">
        <v>12694</v>
      </c>
      <c r="AU659">
        <v>2018</v>
      </c>
      <c r="AV659">
        <v>14</v>
      </c>
      <c r="AW659">
        <v>7</v>
      </c>
      <c r="AX659" t="s">
        <v>74</v>
      </c>
      <c r="AY659" t="s">
        <v>74</v>
      </c>
      <c r="AZ659" t="s">
        <v>74</v>
      </c>
      <c r="BA659" t="s">
        <v>74</v>
      </c>
      <c r="BB659">
        <v>1015</v>
      </c>
      <c r="BC659">
        <v>1033</v>
      </c>
      <c r="BD659" t="s">
        <v>74</v>
      </c>
      <c r="BE659" t="s">
        <v>12754</v>
      </c>
      <c r="BF659" t="str">
        <f>HYPERLINK("http://dx.doi.org/10.5194/cp-14-1015-2018","http://dx.doi.org/10.5194/cp-14-1015-2018")</f>
        <v>http://dx.doi.org/10.5194/cp-14-1015-2018</v>
      </c>
      <c r="BG659" t="s">
        <v>74</v>
      </c>
      <c r="BH659" t="s">
        <v>74</v>
      </c>
      <c r="BI659">
        <v>19</v>
      </c>
      <c r="BJ659" t="s">
        <v>4148</v>
      </c>
      <c r="BK659" t="s">
        <v>101</v>
      </c>
      <c r="BL659" t="s">
        <v>4149</v>
      </c>
      <c r="BM659" t="s">
        <v>12755</v>
      </c>
      <c r="BN659" t="s">
        <v>74</v>
      </c>
      <c r="BO659" t="s">
        <v>1524</v>
      </c>
      <c r="BP659" t="s">
        <v>74</v>
      </c>
      <c r="BQ659" t="s">
        <v>74</v>
      </c>
      <c r="BR659" t="s">
        <v>104</v>
      </c>
      <c r="BS659" t="s">
        <v>12756</v>
      </c>
      <c r="BT659" t="str">
        <f>HYPERLINK("https%3A%2F%2Fwww.webofscience.com%2Fwos%2Fwoscc%2Ffull-record%2FWOS:000438301300001","View Full Record in Web of Science")</f>
        <v>View Full Record in Web of Science</v>
      </c>
    </row>
    <row r="660" spans="1:72" x14ac:dyDescent="0.15">
      <c r="A660" t="s">
        <v>72</v>
      </c>
      <c r="B660" t="s">
        <v>4337</v>
      </c>
      <c r="C660" t="s">
        <v>74</v>
      </c>
      <c r="D660" t="s">
        <v>74</v>
      </c>
      <c r="E660" t="s">
        <v>74</v>
      </c>
      <c r="F660" t="s">
        <v>12757</v>
      </c>
      <c r="G660" t="s">
        <v>74</v>
      </c>
      <c r="H660" t="s">
        <v>74</v>
      </c>
      <c r="I660" t="s">
        <v>12758</v>
      </c>
      <c r="J660" t="s">
        <v>4340</v>
      </c>
      <c r="K660" t="s">
        <v>74</v>
      </c>
      <c r="L660" t="s">
        <v>74</v>
      </c>
      <c r="M660" t="s">
        <v>78</v>
      </c>
      <c r="N660" t="s">
        <v>79</v>
      </c>
      <c r="O660" t="s">
        <v>74</v>
      </c>
      <c r="P660" t="s">
        <v>74</v>
      </c>
      <c r="Q660" t="s">
        <v>74</v>
      </c>
      <c r="R660" t="s">
        <v>74</v>
      </c>
      <c r="S660" t="s">
        <v>74</v>
      </c>
      <c r="T660" t="s">
        <v>12759</v>
      </c>
      <c r="U660" t="s">
        <v>12760</v>
      </c>
      <c r="V660" t="s">
        <v>12761</v>
      </c>
      <c r="W660" t="s">
        <v>12762</v>
      </c>
      <c r="X660" t="s">
        <v>12763</v>
      </c>
      <c r="Y660" t="s">
        <v>12764</v>
      </c>
      <c r="Z660" t="s">
        <v>12765</v>
      </c>
      <c r="AA660" t="s">
        <v>12766</v>
      </c>
      <c r="AB660" t="s">
        <v>12767</v>
      </c>
      <c r="AC660" t="s">
        <v>12768</v>
      </c>
      <c r="AD660" t="s">
        <v>12769</v>
      </c>
      <c r="AE660" t="s">
        <v>12770</v>
      </c>
      <c r="AF660" t="s">
        <v>74</v>
      </c>
      <c r="AG660">
        <v>72</v>
      </c>
      <c r="AH660">
        <v>6</v>
      </c>
      <c r="AI660">
        <v>6</v>
      </c>
      <c r="AJ660">
        <v>0</v>
      </c>
      <c r="AK660">
        <v>21</v>
      </c>
      <c r="AL660" t="s">
        <v>3326</v>
      </c>
      <c r="AM660" t="s">
        <v>3327</v>
      </c>
      <c r="AN660" t="s">
        <v>3328</v>
      </c>
      <c r="AO660" t="s">
        <v>4344</v>
      </c>
      <c r="AP660" t="s">
        <v>4345</v>
      </c>
      <c r="AQ660" t="s">
        <v>74</v>
      </c>
      <c r="AR660" t="s">
        <v>4346</v>
      </c>
      <c r="AS660" t="s">
        <v>4347</v>
      </c>
      <c r="AT660" t="s">
        <v>12771</v>
      </c>
      <c r="AU660">
        <v>2018</v>
      </c>
      <c r="AV660">
        <v>50</v>
      </c>
      <c r="AW660">
        <v>1</v>
      </c>
      <c r="AX660" t="s">
        <v>74</v>
      </c>
      <c r="AY660" t="s">
        <v>74</v>
      </c>
      <c r="AZ660" t="s">
        <v>74</v>
      </c>
      <c r="BA660" t="s">
        <v>74</v>
      </c>
      <c r="BB660" t="s">
        <v>74</v>
      </c>
      <c r="BC660" t="s">
        <v>74</v>
      </c>
      <c r="BD660" t="s">
        <v>12772</v>
      </c>
      <c r="BE660" t="s">
        <v>12773</v>
      </c>
      <c r="BF660" t="str">
        <f>HYPERLINK("http://dx.doi.org/10.1080/15230430.2018.1462595","http://dx.doi.org/10.1080/15230430.2018.1462595")</f>
        <v>http://dx.doi.org/10.1080/15230430.2018.1462595</v>
      </c>
      <c r="BG660" t="s">
        <v>74</v>
      </c>
      <c r="BH660" t="s">
        <v>74</v>
      </c>
      <c r="BI660">
        <v>18</v>
      </c>
      <c r="BJ660" t="s">
        <v>4350</v>
      </c>
      <c r="BK660" t="s">
        <v>101</v>
      </c>
      <c r="BL660" t="s">
        <v>767</v>
      </c>
      <c r="BM660" t="s">
        <v>12774</v>
      </c>
      <c r="BN660" t="s">
        <v>74</v>
      </c>
      <c r="BO660" t="s">
        <v>4168</v>
      </c>
      <c r="BP660" t="s">
        <v>74</v>
      </c>
      <c r="BQ660" t="s">
        <v>74</v>
      </c>
      <c r="BR660" t="s">
        <v>104</v>
      </c>
      <c r="BS660" t="s">
        <v>12775</v>
      </c>
      <c r="BT660" t="str">
        <f>HYPERLINK("https%3A%2F%2Fwww.webofscience.com%2Fwos%2Fwoscc%2Ffull-record%2FWOS:000438739900001","View Full Record in Web of Science")</f>
        <v>View Full Record in Web of Science</v>
      </c>
    </row>
    <row r="661" spans="1:72" x14ac:dyDescent="0.15">
      <c r="A661" t="s">
        <v>72</v>
      </c>
      <c r="B661" t="s">
        <v>12776</v>
      </c>
      <c r="C661" t="s">
        <v>74</v>
      </c>
      <c r="D661" t="s">
        <v>74</v>
      </c>
      <c r="E661" t="s">
        <v>74</v>
      </c>
      <c r="F661" t="s">
        <v>12777</v>
      </c>
      <c r="G661" t="s">
        <v>74</v>
      </c>
      <c r="H661" t="s">
        <v>74</v>
      </c>
      <c r="I661" t="s">
        <v>12778</v>
      </c>
      <c r="J661" t="s">
        <v>3387</v>
      </c>
      <c r="K661" t="s">
        <v>74</v>
      </c>
      <c r="L661" t="s">
        <v>74</v>
      </c>
      <c r="M661" t="s">
        <v>78</v>
      </c>
      <c r="N661" t="s">
        <v>79</v>
      </c>
      <c r="O661" t="s">
        <v>74</v>
      </c>
      <c r="P661" t="s">
        <v>74</v>
      </c>
      <c r="Q661" t="s">
        <v>74</v>
      </c>
      <c r="R661" t="s">
        <v>74</v>
      </c>
      <c r="S661" t="s">
        <v>74</v>
      </c>
      <c r="T661" t="s">
        <v>74</v>
      </c>
      <c r="U661" t="s">
        <v>12779</v>
      </c>
      <c r="V661" t="s">
        <v>12780</v>
      </c>
      <c r="W661" t="s">
        <v>12781</v>
      </c>
      <c r="X661" t="s">
        <v>12782</v>
      </c>
      <c r="Y661" t="s">
        <v>12783</v>
      </c>
      <c r="Z661" t="s">
        <v>12784</v>
      </c>
      <c r="AA661" t="s">
        <v>74</v>
      </c>
      <c r="AB661" t="s">
        <v>12785</v>
      </c>
      <c r="AC661" t="s">
        <v>12786</v>
      </c>
      <c r="AD661" t="s">
        <v>12787</v>
      </c>
      <c r="AE661" t="s">
        <v>12788</v>
      </c>
      <c r="AF661" t="s">
        <v>74</v>
      </c>
      <c r="AG661">
        <v>35</v>
      </c>
      <c r="AH661">
        <v>13</v>
      </c>
      <c r="AI661">
        <v>13</v>
      </c>
      <c r="AJ661">
        <v>0</v>
      </c>
      <c r="AK661">
        <v>6</v>
      </c>
      <c r="AL661" t="s">
        <v>3353</v>
      </c>
      <c r="AM661" t="s">
        <v>3354</v>
      </c>
      <c r="AN661" t="s">
        <v>3355</v>
      </c>
      <c r="AO661" t="s">
        <v>3399</v>
      </c>
      <c r="AP661" t="s">
        <v>3400</v>
      </c>
      <c r="AQ661" t="s">
        <v>74</v>
      </c>
      <c r="AR661" t="s">
        <v>3401</v>
      </c>
      <c r="AS661" t="s">
        <v>3402</v>
      </c>
      <c r="AT661" t="s">
        <v>12771</v>
      </c>
      <c r="AU661">
        <v>2018</v>
      </c>
      <c r="AV661">
        <v>18</v>
      </c>
      <c r="AW661">
        <v>13</v>
      </c>
      <c r="AX661" t="s">
        <v>74</v>
      </c>
      <c r="AY661" t="s">
        <v>74</v>
      </c>
      <c r="AZ661" t="s">
        <v>74</v>
      </c>
      <c r="BA661" t="s">
        <v>74</v>
      </c>
      <c r="BB661">
        <v>9723</v>
      </c>
      <c r="BC661">
        <v>9739</v>
      </c>
      <c r="BD661" t="s">
        <v>74</v>
      </c>
      <c r="BE661" t="s">
        <v>12789</v>
      </c>
      <c r="BF661" t="str">
        <f>HYPERLINK("http://dx.doi.org/10.5194/acp-18-9723-2018","http://dx.doi.org/10.5194/acp-18-9723-2018")</f>
        <v>http://dx.doi.org/10.5194/acp-18-9723-2018</v>
      </c>
      <c r="BG661" t="s">
        <v>74</v>
      </c>
      <c r="BH661" t="s">
        <v>74</v>
      </c>
      <c r="BI661">
        <v>17</v>
      </c>
      <c r="BJ661" t="s">
        <v>317</v>
      </c>
      <c r="BK661" t="s">
        <v>101</v>
      </c>
      <c r="BL661" t="s">
        <v>318</v>
      </c>
      <c r="BM661" t="s">
        <v>12790</v>
      </c>
      <c r="BN661" t="s">
        <v>74</v>
      </c>
      <c r="BO661" t="s">
        <v>1524</v>
      </c>
      <c r="BP661" t="s">
        <v>74</v>
      </c>
      <c r="BQ661" t="s">
        <v>74</v>
      </c>
      <c r="BR661" t="s">
        <v>104</v>
      </c>
      <c r="BS661" t="s">
        <v>12791</v>
      </c>
      <c r="BT661" t="str">
        <f>HYPERLINK("https%3A%2F%2Fwww.webofscience.com%2Fwos%2Fwoscc%2Ffull-record%2FWOS:000438156100003","View Full Record in Web of Science")</f>
        <v>View Full Record in Web of Science</v>
      </c>
    </row>
    <row r="662" spans="1:72" x14ac:dyDescent="0.15">
      <c r="A662" t="s">
        <v>72</v>
      </c>
      <c r="B662" t="s">
        <v>12792</v>
      </c>
      <c r="C662" t="s">
        <v>74</v>
      </c>
      <c r="D662" t="s">
        <v>74</v>
      </c>
      <c r="E662" t="s">
        <v>74</v>
      </c>
      <c r="F662" t="s">
        <v>12793</v>
      </c>
      <c r="G662" t="s">
        <v>74</v>
      </c>
      <c r="H662" t="s">
        <v>74</v>
      </c>
      <c r="I662" t="s">
        <v>12794</v>
      </c>
      <c r="J662" t="s">
        <v>4453</v>
      </c>
      <c r="K662" t="s">
        <v>74</v>
      </c>
      <c r="L662" t="s">
        <v>74</v>
      </c>
      <c r="M662" t="s">
        <v>78</v>
      </c>
      <c r="N662" t="s">
        <v>79</v>
      </c>
      <c r="O662" t="s">
        <v>74</v>
      </c>
      <c r="P662" t="s">
        <v>74</v>
      </c>
      <c r="Q662" t="s">
        <v>74</v>
      </c>
      <c r="R662" t="s">
        <v>74</v>
      </c>
      <c r="S662" t="s">
        <v>74</v>
      </c>
      <c r="T662" t="s">
        <v>74</v>
      </c>
      <c r="U662" t="s">
        <v>12795</v>
      </c>
      <c r="V662" t="s">
        <v>12796</v>
      </c>
      <c r="W662" t="s">
        <v>12797</v>
      </c>
      <c r="X662" t="s">
        <v>12798</v>
      </c>
      <c r="Y662" t="s">
        <v>12799</v>
      </c>
      <c r="Z662" t="s">
        <v>12800</v>
      </c>
      <c r="AA662" t="s">
        <v>12801</v>
      </c>
      <c r="AB662" t="s">
        <v>12802</v>
      </c>
      <c r="AC662" t="s">
        <v>12803</v>
      </c>
      <c r="AD662" t="s">
        <v>12804</v>
      </c>
      <c r="AE662" t="s">
        <v>12805</v>
      </c>
      <c r="AF662" t="s">
        <v>74</v>
      </c>
      <c r="AG662">
        <v>163</v>
      </c>
      <c r="AH662">
        <v>31</v>
      </c>
      <c r="AI662">
        <v>33</v>
      </c>
      <c r="AJ662">
        <v>0</v>
      </c>
      <c r="AK662">
        <v>20</v>
      </c>
      <c r="AL662" t="s">
        <v>3353</v>
      </c>
      <c r="AM662" t="s">
        <v>3354</v>
      </c>
      <c r="AN662" t="s">
        <v>3355</v>
      </c>
      <c r="AO662" t="s">
        <v>4465</v>
      </c>
      <c r="AP662" t="s">
        <v>4466</v>
      </c>
      <c r="AQ662" t="s">
        <v>74</v>
      </c>
      <c r="AR662" t="s">
        <v>4467</v>
      </c>
      <c r="AS662" t="s">
        <v>4468</v>
      </c>
      <c r="AT662" t="s">
        <v>12771</v>
      </c>
      <c r="AU662">
        <v>2018</v>
      </c>
      <c r="AV662">
        <v>14</v>
      </c>
      <c r="AW662">
        <v>7</v>
      </c>
      <c r="AX662" t="s">
        <v>74</v>
      </c>
      <c r="AY662" t="s">
        <v>74</v>
      </c>
      <c r="AZ662" t="s">
        <v>74</v>
      </c>
      <c r="BA662" t="s">
        <v>74</v>
      </c>
      <c r="BB662">
        <v>991</v>
      </c>
      <c r="BC662">
        <v>1014</v>
      </c>
      <c r="BD662" t="s">
        <v>74</v>
      </c>
      <c r="BE662" t="s">
        <v>12806</v>
      </c>
      <c r="BF662" t="str">
        <f>HYPERLINK("http://dx.doi.org/10.5194/cp-14-991-2018","http://dx.doi.org/10.5194/cp-14-991-2018")</f>
        <v>http://dx.doi.org/10.5194/cp-14-991-2018</v>
      </c>
      <c r="BG662" t="s">
        <v>74</v>
      </c>
      <c r="BH662" t="s">
        <v>74</v>
      </c>
      <c r="BI662">
        <v>24</v>
      </c>
      <c r="BJ662" t="s">
        <v>4148</v>
      </c>
      <c r="BK662" t="s">
        <v>101</v>
      </c>
      <c r="BL662" t="s">
        <v>4149</v>
      </c>
      <c r="BM662" t="s">
        <v>12807</v>
      </c>
      <c r="BN662" t="s">
        <v>74</v>
      </c>
      <c r="BO662" t="s">
        <v>4151</v>
      </c>
      <c r="BP662" t="s">
        <v>74</v>
      </c>
      <c r="BQ662" t="s">
        <v>74</v>
      </c>
      <c r="BR662" t="s">
        <v>104</v>
      </c>
      <c r="BS662" t="s">
        <v>12808</v>
      </c>
      <c r="BT662" t="str">
        <f>HYPERLINK("https%3A%2F%2Fwww.webofscience.com%2Fwos%2Fwoscc%2Ffull-record%2FWOS:000438158600001","View Full Record in Web of Science")</f>
        <v>View Full Record in Web of Science</v>
      </c>
    </row>
    <row r="663" spans="1:72" x14ac:dyDescent="0.15">
      <c r="A663" t="s">
        <v>72</v>
      </c>
      <c r="B663" t="s">
        <v>12809</v>
      </c>
      <c r="C663" t="s">
        <v>74</v>
      </c>
      <c r="D663" t="s">
        <v>74</v>
      </c>
      <c r="E663" t="s">
        <v>74</v>
      </c>
      <c r="F663" t="s">
        <v>12810</v>
      </c>
      <c r="G663" t="s">
        <v>74</v>
      </c>
      <c r="H663" t="s">
        <v>74</v>
      </c>
      <c r="I663" t="s">
        <v>12811</v>
      </c>
      <c r="J663" t="s">
        <v>4579</v>
      </c>
      <c r="K663" t="s">
        <v>74</v>
      </c>
      <c r="L663" t="s">
        <v>74</v>
      </c>
      <c r="M663" t="s">
        <v>78</v>
      </c>
      <c r="N663" t="s">
        <v>79</v>
      </c>
      <c r="O663" t="s">
        <v>74</v>
      </c>
      <c r="P663" t="s">
        <v>74</v>
      </c>
      <c r="Q663" t="s">
        <v>74</v>
      </c>
      <c r="R663" t="s">
        <v>74</v>
      </c>
      <c r="S663" t="s">
        <v>74</v>
      </c>
      <c r="T663" t="s">
        <v>74</v>
      </c>
      <c r="U663" t="s">
        <v>12812</v>
      </c>
      <c r="V663" t="s">
        <v>12813</v>
      </c>
      <c r="W663" t="s">
        <v>12814</v>
      </c>
      <c r="X663" t="s">
        <v>12815</v>
      </c>
      <c r="Y663" t="s">
        <v>12816</v>
      </c>
      <c r="Z663" t="s">
        <v>12817</v>
      </c>
      <c r="AA663" t="s">
        <v>12818</v>
      </c>
      <c r="AB663" t="s">
        <v>12819</v>
      </c>
      <c r="AC663" t="s">
        <v>12820</v>
      </c>
      <c r="AD663" t="s">
        <v>12821</v>
      </c>
      <c r="AE663" t="s">
        <v>12822</v>
      </c>
      <c r="AF663" t="s">
        <v>74</v>
      </c>
      <c r="AG663">
        <v>93</v>
      </c>
      <c r="AH663">
        <v>12</v>
      </c>
      <c r="AI663">
        <v>12</v>
      </c>
      <c r="AJ663">
        <v>2</v>
      </c>
      <c r="AK663">
        <v>7</v>
      </c>
      <c r="AL663" t="s">
        <v>3353</v>
      </c>
      <c r="AM663" t="s">
        <v>3354</v>
      </c>
      <c r="AN663" t="s">
        <v>3355</v>
      </c>
      <c r="AO663" t="s">
        <v>4591</v>
      </c>
      <c r="AP663" t="s">
        <v>74</v>
      </c>
      <c r="AQ663" t="s">
        <v>74</v>
      </c>
      <c r="AR663" t="s">
        <v>4592</v>
      </c>
      <c r="AS663" t="s">
        <v>4593</v>
      </c>
      <c r="AT663" t="s">
        <v>12771</v>
      </c>
      <c r="AU663">
        <v>2018</v>
      </c>
      <c r="AV663">
        <v>14</v>
      </c>
      <c r="AW663">
        <v>4</v>
      </c>
      <c r="AX663" t="s">
        <v>74</v>
      </c>
      <c r="AY663" t="s">
        <v>74</v>
      </c>
      <c r="AZ663" t="s">
        <v>74</v>
      </c>
      <c r="BA663" t="s">
        <v>74</v>
      </c>
      <c r="BB663">
        <v>589</v>
      </c>
      <c r="BC663">
        <v>616</v>
      </c>
      <c r="BD663" t="s">
        <v>74</v>
      </c>
      <c r="BE663" t="s">
        <v>12823</v>
      </c>
      <c r="BF663" t="str">
        <f>HYPERLINK("http://dx.doi.org/10.5194/os-14-589-2018","http://dx.doi.org/10.5194/os-14-589-2018")</f>
        <v>http://dx.doi.org/10.5194/os-14-589-2018</v>
      </c>
      <c r="BG663" t="s">
        <v>74</v>
      </c>
      <c r="BH663" t="s">
        <v>74</v>
      </c>
      <c r="BI663">
        <v>28</v>
      </c>
      <c r="BJ663" t="s">
        <v>2765</v>
      </c>
      <c r="BK663" t="s">
        <v>101</v>
      </c>
      <c r="BL663" t="s">
        <v>2765</v>
      </c>
      <c r="BM663" t="s">
        <v>12824</v>
      </c>
      <c r="BN663" t="s">
        <v>74</v>
      </c>
      <c r="BO663" t="s">
        <v>3382</v>
      </c>
      <c r="BP663" t="s">
        <v>74</v>
      </c>
      <c r="BQ663" t="s">
        <v>74</v>
      </c>
      <c r="BR663" t="s">
        <v>104</v>
      </c>
      <c r="BS663" t="s">
        <v>12825</v>
      </c>
      <c r="BT663" t="str">
        <f>HYPERLINK("https%3A%2F%2Fwww.webofscience.com%2Fwos%2Fwoscc%2Ffull-record%2FWOS:000438191800001","View Full Record in Web of Science")</f>
        <v>View Full Record in Web of Science</v>
      </c>
    </row>
    <row r="664" spans="1:72" x14ac:dyDescent="0.15">
      <c r="A664" t="s">
        <v>72</v>
      </c>
      <c r="B664" t="s">
        <v>12826</v>
      </c>
      <c r="C664" t="s">
        <v>74</v>
      </c>
      <c r="D664" t="s">
        <v>74</v>
      </c>
      <c r="E664" t="s">
        <v>74</v>
      </c>
      <c r="F664" t="s">
        <v>12827</v>
      </c>
      <c r="G664" t="s">
        <v>74</v>
      </c>
      <c r="H664" t="s">
        <v>74</v>
      </c>
      <c r="I664" t="s">
        <v>12828</v>
      </c>
      <c r="J664" t="s">
        <v>3435</v>
      </c>
      <c r="K664" t="s">
        <v>74</v>
      </c>
      <c r="L664" t="s">
        <v>74</v>
      </c>
      <c r="M664" t="s">
        <v>78</v>
      </c>
      <c r="N664" t="s">
        <v>79</v>
      </c>
      <c r="O664" t="s">
        <v>74</v>
      </c>
      <c r="P664" t="s">
        <v>74</v>
      </c>
      <c r="Q664" t="s">
        <v>74</v>
      </c>
      <c r="R664" t="s">
        <v>74</v>
      </c>
      <c r="S664" t="s">
        <v>74</v>
      </c>
      <c r="T664" t="s">
        <v>12829</v>
      </c>
      <c r="U664" t="s">
        <v>12830</v>
      </c>
      <c r="V664" t="s">
        <v>12831</v>
      </c>
      <c r="W664" t="s">
        <v>12832</v>
      </c>
      <c r="X664" t="s">
        <v>12833</v>
      </c>
      <c r="Y664" t="s">
        <v>12834</v>
      </c>
      <c r="Z664" t="s">
        <v>12835</v>
      </c>
      <c r="AA664" t="s">
        <v>12836</v>
      </c>
      <c r="AB664" t="s">
        <v>12837</v>
      </c>
      <c r="AC664" t="s">
        <v>12838</v>
      </c>
      <c r="AD664" t="s">
        <v>12839</v>
      </c>
      <c r="AE664" t="s">
        <v>12840</v>
      </c>
      <c r="AF664" t="s">
        <v>74</v>
      </c>
      <c r="AG664">
        <v>74</v>
      </c>
      <c r="AH664">
        <v>24</v>
      </c>
      <c r="AI664">
        <v>24</v>
      </c>
      <c r="AJ664">
        <v>0</v>
      </c>
      <c r="AK664">
        <v>13</v>
      </c>
      <c r="AL664" t="s">
        <v>3174</v>
      </c>
      <c r="AM664" t="s">
        <v>3175</v>
      </c>
      <c r="AN664" t="s">
        <v>3176</v>
      </c>
      <c r="AO664" t="s">
        <v>74</v>
      </c>
      <c r="AP664" t="s">
        <v>3445</v>
      </c>
      <c r="AQ664" t="s">
        <v>74</v>
      </c>
      <c r="AR664" t="s">
        <v>3446</v>
      </c>
      <c r="AS664" t="s">
        <v>3447</v>
      </c>
      <c r="AT664" t="s">
        <v>12841</v>
      </c>
      <c r="AU664">
        <v>2018</v>
      </c>
      <c r="AV664">
        <v>5</v>
      </c>
      <c r="AW664" t="s">
        <v>74</v>
      </c>
      <c r="AX664" t="s">
        <v>74</v>
      </c>
      <c r="AY664" t="s">
        <v>74</v>
      </c>
      <c r="AZ664" t="s">
        <v>74</v>
      </c>
      <c r="BA664" t="s">
        <v>74</v>
      </c>
      <c r="BB664" t="s">
        <v>74</v>
      </c>
      <c r="BC664" t="s">
        <v>74</v>
      </c>
      <c r="BD664">
        <v>232</v>
      </c>
      <c r="BE664" t="s">
        <v>12842</v>
      </c>
      <c r="BF664" t="str">
        <f>HYPERLINK("http://dx.doi.org/10.3389/fmars.2018.00232","http://dx.doi.org/10.3389/fmars.2018.00232")</f>
        <v>http://dx.doi.org/10.3389/fmars.2018.00232</v>
      </c>
      <c r="BG664" t="s">
        <v>74</v>
      </c>
      <c r="BH664" t="s">
        <v>74</v>
      </c>
      <c r="BI664">
        <v>14</v>
      </c>
      <c r="BJ664" t="s">
        <v>3450</v>
      </c>
      <c r="BK664" t="s">
        <v>101</v>
      </c>
      <c r="BL664" t="s">
        <v>3451</v>
      </c>
      <c r="BM664" t="s">
        <v>12843</v>
      </c>
      <c r="BN664" t="s">
        <v>74</v>
      </c>
      <c r="BO664" t="s">
        <v>1566</v>
      </c>
      <c r="BP664" t="s">
        <v>74</v>
      </c>
      <c r="BQ664" t="s">
        <v>74</v>
      </c>
      <c r="BR664" t="s">
        <v>104</v>
      </c>
      <c r="BS664" t="s">
        <v>12844</v>
      </c>
      <c r="BT664" t="str">
        <f>HYPERLINK("https%3A%2F%2Fwww.webofscience.com%2Fwos%2Fwoscc%2Ffull-record%2FWOS:000457175900001","View Full Record in Web of Science")</f>
        <v>View Full Record in Web of Science</v>
      </c>
    </row>
    <row r="665" spans="1:72" x14ac:dyDescent="0.15">
      <c r="A665" t="s">
        <v>72</v>
      </c>
      <c r="B665" t="s">
        <v>12845</v>
      </c>
      <c r="C665" t="s">
        <v>74</v>
      </c>
      <c r="D665" t="s">
        <v>74</v>
      </c>
      <c r="E665" t="s">
        <v>74</v>
      </c>
      <c r="F665" t="s">
        <v>12846</v>
      </c>
      <c r="G665" t="s">
        <v>74</v>
      </c>
      <c r="H665" t="s">
        <v>74</v>
      </c>
      <c r="I665" t="s">
        <v>12847</v>
      </c>
      <c r="J665" t="s">
        <v>3161</v>
      </c>
      <c r="K665" t="s">
        <v>74</v>
      </c>
      <c r="L665" t="s">
        <v>74</v>
      </c>
      <c r="M665" t="s">
        <v>78</v>
      </c>
      <c r="N665" t="s">
        <v>79</v>
      </c>
      <c r="O665" t="s">
        <v>74</v>
      </c>
      <c r="P665" t="s">
        <v>74</v>
      </c>
      <c r="Q665" t="s">
        <v>74</v>
      </c>
      <c r="R665" t="s">
        <v>74</v>
      </c>
      <c r="S665" t="s">
        <v>74</v>
      </c>
      <c r="T665" t="s">
        <v>12848</v>
      </c>
      <c r="U665" t="s">
        <v>12849</v>
      </c>
      <c r="V665" t="s">
        <v>12850</v>
      </c>
      <c r="W665" t="s">
        <v>12851</v>
      </c>
      <c r="X665" t="s">
        <v>12852</v>
      </c>
      <c r="Y665" t="s">
        <v>12853</v>
      </c>
      <c r="Z665" t="s">
        <v>12854</v>
      </c>
      <c r="AA665" t="s">
        <v>12855</v>
      </c>
      <c r="AB665" t="s">
        <v>12856</v>
      </c>
      <c r="AC665" t="s">
        <v>12857</v>
      </c>
      <c r="AD665" t="s">
        <v>12858</v>
      </c>
      <c r="AE665" t="s">
        <v>12859</v>
      </c>
      <c r="AF665" t="s">
        <v>74</v>
      </c>
      <c r="AG665">
        <v>59</v>
      </c>
      <c r="AH665">
        <v>7</v>
      </c>
      <c r="AI665">
        <v>8</v>
      </c>
      <c r="AJ665">
        <v>1</v>
      </c>
      <c r="AK665">
        <v>13</v>
      </c>
      <c r="AL665" t="s">
        <v>3174</v>
      </c>
      <c r="AM665" t="s">
        <v>3175</v>
      </c>
      <c r="AN665" t="s">
        <v>3176</v>
      </c>
      <c r="AO665" t="s">
        <v>3177</v>
      </c>
      <c r="AP665" t="s">
        <v>74</v>
      </c>
      <c r="AQ665" t="s">
        <v>74</v>
      </c>
      <c r="AR665" t="s">
        <v>3178</v>
      </c>
      <c r="AS665" t="s">
        <v>3179</v>
      </c>
      <c r="AT665" t="s">
        <v>12860</v>
      </c>
      <c r="AU665">
        <v>2018</v>
      </c>
      <c r="AV665">
        <v>6</v>
      </c>
      <c r="AW665" t="s">
        <v>74</v>
      </c>
      <c r="AX665" t="s">
        <v>74</v>
      </c>
      <c r="AY665" t="s">
        <v>74</v>
      </c>
      <c r="AZ665" t="s">
        <v>74</v>
      </c>
      <c r="BA665" t="s">
        <v>74</v>
      </c>
      <c r="BB665" t="s">
        <v>74</v>
      </c>
      <c r="BC665" t="s">
        <v>74</v>
      </c>
      <c r="BD665">
        <v>94</v>
      </c>
      <c r="BE665" t="s">
        <v>12861</v>
      </c>
      <c r="BF665" t="str">
        <f>HYPERLINK("http://dx.doi.org/10.3389/fevo.2018.00094","http://dx.doi.org/10.3389/fevo.2018.00094")</f>
        <v>http://dx.doi.org/10.3389/fevo.2018.00094</v>
      </c>
      <c r="BG665" t="s">
        <v>74</v>
      </c>
      <c r="BH665" t="s">
        <v>74</v>
      </c>
      <c r="BI665">
        <v>11</v>
      </c>
      <c r="BJ665" t="s">
        <v>2087</v>
      </c>
      <c r="BK665" t="s">
        <v>101</v>
      </c>
      <c r="BL665" t="s">
        <v>559</v>
      </c>
      <c r="BM665" t="s">
        <v>12862</v>
      </c>
      <c r="BN665" t="s">
        <v>74</v>
      </c>
      <c r="BO665" t="s">
        <v>3406</v>
      </c>
      <c r="BP665" t="s">
        <v>74</v>
      </c>
      <c r="BQ665" t="s">
        <v>74</v>
      </c>
      <c r="BR665" t="s">
        <v>104</v>
      </c>
      <c r="BS665" t="s">
        <v>12863</v>
      </c>
      <c r="BT665" t="str">
        <f>HYPERLINK("https%3A%2F%2Fwww.webofscience.com%2Fwos%2Fwoscc%2Ffull-record%2FWOS:000451794300001","View Full Record in Web of Science")</f>
        <v>View Full Record in Web of Science</v>
      </c>
    </row>
    <row r="666" spans="1:72" x14ac:dyDescent="0.15">
      <c r="A666" t="s">
        <v>72</v>
      </c>
      <c r="B666" t="s">
        <v>12864</v>
      </c>
      <c r="C666" t="s">
        <v>74</v>
      </c>
      <c r="D666" t="s">
        <v>74</v>
      </c>
      <c r="E666" t="s">
        <v>74</v>
      </c>
      <c r="F666" t="s">
        <v>12865</v>
      </c>
      <c r="G666" t="s">
        <v>74</v>
      </c>
      <c r="H666" t="s">
        <v>74</v>
      </c>
      <c r="I666" t="s">
        <v>12866</v>
      </c>
      <c r="J666" t="s">
        <v>11795</v>
      </c>
      <c r="K666" t="s">
        <v>74</v>
      </c>
      <c r="L666" t="s">
        <v>74</v>
      </c>
      <c r="M666" t="s">
        <v>78</v>
      </c>
      <c r="N666" t="s">
        <v>79</v>
      </c>
      <c r="O666" t="s">
        <v>74</v>
      </c>
      <c r="P666" t="s">
        <v>74</v>
      </c>
      <c r="Q666" t="s">
        <v>74</v>
      </c>
      <c r="R666" t="s">
        <v>74</v>
      </c>
      <c r="S666" t="s">
        <v>74</v>
      </c>
      <c r="T666" t="s">
        <v>74</v>
      </c>
      <c r="U666" t="s">
        <v>12867</v>
      </c>
      <c r="V666" t="s">
        <v>12868</v>
      </c>
      <c r="W666" t="s">
        <v>12869</v>
      </c>
      <c r="X666" t="s">
        <v>12870</v>
      </c>
      <c r="Y666" t="s">
        <v>12871</v>
      </c>
      <c r="Z666" t="s">
        <v>12872</v>
      </c>
      <c r="AA666" t="s">
        <v>12873</v>
      </c>
      <c r="AB666" t="s">
        <v>12874</v>
      </c>
      <c r="AC666" t="s">
        <v>12875</v>
      </c>
      <c r="AD666" t="s">
        <v>12876</v>
      </c>
      <c r="AE666" t="s">
        <v>12877</v>
      </c>
      <c r="AF666" t="s">
        <v>74</v>
      </c>
      <c r="AG666">
        <v>25</v>
      </c>
      <c r="AH666">
        <v>100</v>
      </c>
      <c r="AI666">
        <v>111</v>
      </c>
      <c r="AJ666">
        <v>5</v>
      </c>
      <c r="AK666">
        <v>120</v>
      </c>
      <c r="AL666" t="s">
        <v>1270</v>
      </c>
      <c r="AM666" t="s">
        <v>504</v>
      </c>
      <c r="AN666" t="s">
        <v>1271</v>
      </c>
      <c r="AO666" t="s">
        <v>11797</v>
      </c>
      <c r="AP666" t="s">
        <v>11798</v>
      </c>
      <c r="AQ666" t="s">
        <v>74</v>
      </c>
      <c r="AR666" t="s">
        <v>11795</v>
      </c>
      <c r="AS666" t="s">
        <v>11799</v>
      </c>
      <c r="AT666" t="s">
        <v>12860</v>
      </c>
      <c r="AU666">
        <v>2018</v>
      </c>
      <c r="AV666">
        <v>361</v>
      </c>
      <c r="AW666">
        <v>6397</v>
      </c>
      <c r="AX666" t="s">
        <v>74</v>
      </c>
      <c r="AY666" t="s">
        <v>74</v>
      </c>
      <c r="AZ666" t="s">
        <v>74</v>
      </c>
      <c r="BA666" t="s">
        <v>74</v>
      </c>
      <c r="BB666">
        <v>81</v>
      </c>
      <c r="BC666" t="s">
        <v>1137</v>
      </c>
      <c r="BD666" t="s">
        <v>74</v>
      </c>
      <c r="BE666" t="s">
        <v>12878</v>
      </c>
      <c r="BF666" t="str">
        <f>HYPERLINK("http://dx.doi.org/10.1126/science.aao4776","http://dx.doi.org/10.1126/science.aao4776")</f>
        <v>http://dx.doi.org/10.1126/science.aao4776</v>
      </c>
      <c r="BG666" t="s">
        <v>74</v>
      </c>
      <c r="BH666" t="s">
        <v>74</v>
      </c>
      <c r="BI666">
        <v>5</v>
      </c>
      <c r="BJ666" t="s">
        <v>436</v>
      </c>
      <c r="BK666" t="s">
        <v>101</v>
      </c>
      <c r="BL666" t="s">
        <v>437</v>
      </c>
      <c r="BM666" t="s">
        <v>12879</v>
      </c>
      <c r="BN666">
        <v>29976825</v>
      </c>
      <c r="BO666" t="s">
        <v>12880</v>
      </c>
      <c r="BP666" t="s">
        <v>74</v>
      </c>
      <c r="BQ666" t="s">
        <v>74</v>
      </c>
      <c r="BR666" t="s">
        <v>104</v>
      </c>
      <c r="BS666" t="s">
        <v>12881</v>
      </c>
      <c r="BT666" t="str">
        <f>HYPERLINK("https%3A%2F%2Fwww.webofscience.com%2Fwos%2Fwoscc%2Ffull-record%2FWOS:000437467100065","View Full Record in Web of Science")</f>
        <v>View Full Record in Web of Science</v>
      </c>
    </row>
    <row r="667" spans="1:72" x14ac:dyDescent="0.15">
      <c r="A667" t="s">
        <v>72</v>
      </c>
      <c r="B667" t="s">
        <v>12882</v>
      </c>
      <c r="C667" t="s">
        <v>74</v>
      </c>
      <c r="D667" t="s">
        <v>74</v>
      </c>
      <c r="E667" t="s">
        <v>74</v>
      </c>
      <c r="F667" t="s">
        <v>12883</v>
      </c>
      <c r="G667" t="s">
        <v>74</v>
      </c>
      <c r="H667" t="s">
        <v>74</v>
      </c>
      <c r="I667" t="s">
        <v>12884</v>
      </c>
      <c r="J667" t="s">
        <v>4219</v>
      </c>
      <c r="K667" t="s">
        <v>74</v>
      </c>
      <c r="L667" t="s">
        <v>74</v>
      </c>
      <c r="M667" t="s">
        <v>78</v>
      </c>
      <c r="N667" t="s">
        <v>79</v>
      </c>
      <c r="O667" t="s">
        <v>74</v>
      </c>
      <c r="P667" t="s">
        <v>74</v>
      </c>
      <c r="Q667" t="s">
        <v>74</v>
      </c>
      <c r="R667" t="s">
        <v>74</v>
      </c>
      <c r="S667" t="s">
        <v>74</v>
      </c>
      <c r="T667" t="s">
        <v>12885</v>
      </c>
      <c r="U667" t="s">
        <v>12886</v>
      </c>
      <c r="V667" t="s">
        <v>12887</v>
      </c>
      <c r="W667" t="s">
        <v>12888</v>
      </c>
      <c r="X667" t="s">
        <v>12889</v>
      </c>
      <c r="Y667" t="s">
        <v>12890</v>
      </c>
      <c r="Z667" t="s">
        <v>12891</v>
      </c>
      <c r="AA667" t="s">
        <v>12892</v>
      </c>
      <c r="AB667" t="s">
        <v>12893</v>
      </c>
      <c r="AC667" t="s">
        <v>12894</v>
      </c>
      <c r="AD667" t="s">
        <v>12895</v>
      </c>
      <c r="AE667" t="s">
        <v>12896</v>
      </c>
      <c r="AF667" t="s">
        <v>74</v>
      </c>
      <c r="AG667">
        <v>68</v>
      </c>
      <c r="AH667">
        <v>2</v>
      </c>
      <c r="AI667">
        <v>2</v>
      </c>
      <c r="AJ667">
        <v>1</v>
      </c>
      <c r="AK667">
        <v>18</v>
      </c>
      <c r="AL667" t="s">
        <v>4232</v>
      </c>
      <c r="AM667" t="s">
        <v>704</v>
      </c>
      <c r="AN667" t="s">
        <v>4233</v>
      </c>
      <c r="AO667" t="s">
        <v>4234</v>
      </c>
      <c r="AP667" t="s">
        <v>74</v>
      </c>
      <c r="AQ667" t="s">
        <v>74</v>
      </c>
      <c r="AR667" t="s">
        <v>4219</v>
      </c>
      <c r="AS667" t="s">
        <v>4235</v>
      </c>
      <c r="AT667" t="s">
        <v>12860</v>
      </c>
      <c r="AU667">
        <v>2018</v>
      </c>
      <c r="AV667">
        <v>6</v>
      </c>
      <c r="AW667" t="s">
        <v>74</v>
      </c>
      <c r="AX667" t="s">
        <v>74</v>
      </c>
      <c r="AY667" t="s">
        <v>74</v>
      </c>
      <c r="AZ667" t="s">
        <v>74</v>
      </c>
      <c r="BA667" t="s">
        <v>74</v>
      </c>
      <c r="BB667" t="s">
        <v>74</v>
      </c>
      <c r="BC667" t="s">
        <v>74</v>
      </c>
      <c r="BD667" t="s">
        <v>12897</v>
      </c>
      <c r="BE667" t="s">
        <v>12898</v>
      </c>
      <c r="BF667" t="str">
        <f>HYPERLINK("http://dx.doi.org/10.7717/peerj.5100","http://dx.doi.org/10.7717/peerj.5100")</f>
        <v>http://dx.doi.org/10.7717/peerj.5100</v>
      </c>
      <c r="BG667" t="s">
        <v>74</v>
      </c>
      <c r="BH667" t="s">
        <v>74</v>
      </c>
      <c r="BI667">
        <v>28</v>
      </c>
      <c r="BJ667" t="s">
        <v>436</v>
      </c>
      <c r="BK667" t="s">
        <v>101</v>
      </c>
      <c r="BL667" t="s">
        <v>437</v>
      </c>
      <c r="BM667" t="s">
        <v>12899</v>
      </c>
      <c r="BN667">
        <v>30002961</v>
      </c>
      <c r="BO667" t="s">
        <v>8522</v>
      </c>
      <c r="BP667" t="s">
        <v>74</v>
      </c>
      <c r="BQ667" t="s">
        <v>74</v>
      </c>
      <c r="BR667" t="s">
        <v>104</v>
      </c>
      <c r="BS667" t="s">
        <v>12900</v>
      </c>
      <c r="BT667" t="str">
        <f>HYPERLINK("https%3A%2F%2Fwww.webofscience.com%2Fwos%2Fwoscc%2Ffull-record%2FWOS:000437762400004","View Full Record in Web of Science")</f>
        <v>View Full Record in Web of Science</v>
      </c>
    </row>
    <row r="668" spans="1:72" x14ac:dyDescent="0.15">
      <c r="A668" t="s">
        <v>72</v>
      </c>
      <c r="B668" t="s">
        <v>12901</v>
      </c>
      <c r="C668" t="s">
        <v>74</v>
      </c>
      <c r="D668" t="s">
        <v>74</v>
      </c>
      <c r="E668" t="s">
        <v>74</v>
      </c>
      <c r="F668" t="s">
        <v>12902</v>
      </c>
      <c r="G668" t="s">
        <v>74</v>
      </c>
      <c r="H668" t="s">
        <v>74</v>
      </c>
      <c r="I668" t="s">
        <v>12903</v>
      </c>
      <c r="J668" t="s">
        <v>3341</v>
      </c>
      <c r="K668" t="s">
        <v>74</v>
      </c>
      <c r="L668" t="s">
        <v>74</v>
      </c>
      <c r="M668" t="s">
        <v>78</v>
      </c>
      <c r="N668" t="s">
        <v>79</v>
      </c>
      <c r="O668" t="s">
        <v>74</v>
      </c>
      <c r="P668" t="s">
        <v>74</v>
      </c>
      <c r="Q668" t="s">
        <v>74</v>
      </c>
      <c r="R668" t="s">
        <v>74</v>
      </c>
      <c r="S668" t="s">
        <v>74</v>
      </c>
      <c r="T668" t="s">
        <v>74</v>
      </c>
      <c r="U668" t="s">
        <v>12904</v>
      </c>
      <c r="V668" t="s">
        <v>12905</v>
      </c>
      <c r="W668" t="s">
        <v>12906</v>
      </c>
      <c r="X668" t="s">
        <v>12907</v>
      </c>
      <c r="Y668" t="s">
        <v>12908</v>
      </c>
      <c r="Z668" t="s">
        <v>12909</v>
      </c>
      <c r="AA668" t="s">
        <v>12910</v>
      </c>
      <c r="AB668" t="s">
        <v>12911</v>
      </c>
      <c r="AC668" t="s">
        <v>12912</v>
      </c>
      <c r="AD668" t="s">
        <v>12913</v>
      </c>
      <c r="AE668" t="s">
        <v>12914</v>
      </c>
      <c r="AF668" t="s">
        <v>74</v>
      </c>
      <c r="AG668">
        <v>173</v>
      </c>
      <c r="AH668">
        <v>50</v>
      </c>
      <c r="AI668">
        <v>51</v>
      </c>
      <c r="AJ668">
        <v>0</v>
      </c>
      <c r="AK668">
        <v>9</v>
      </c>
      <c r="AL668" t="s">
        <v>3353</v>
      </c>
      <c r="AM668" t="s">
        <v>3354</v>
      </c>
      <c r="AN668" t="s">
        <v>3355</v>
      </c>
      <c r="AO668" t="s">
        <v>3356</v>
      </c>
      <c r="AP668" t="s">
        <v>3357</v>
      </c>
      <c r="AQ668" t="s">
        <v>74</v>
      </c>
      <c r="AR668" t="s">
        <v>3358</v>
      </c>
      <c r="AS668" t="s">
        <v>3359</v>
      </c>
      <c r="AT668" t="s">
        <v>12915</v>
      </c>
      <c r="AU668">
        <v>2018</v>
      </c>
      <c r="AV668">
        <v>11</v>
      </c>
      <c r="AW668">
        <v>7</v>
      </c>
      <c r="AX668" t="s">
        <v>74</v>
      </c>
      <c r="AY668" t="s">
        <v>74</v>
      </c>
      <c r="AZ668" t="s">
        <v>74</v>
      </c>
      <c r="BA668" t="s">
        <v>74</v>
      </c>
      <c r="BB668">
        <v>2581</v>
      </c>
      <c r="BC668">
        <v>2608</v>
      </c>
      <c r="BD668" t="s">
        <v>74</v>
      </c>
      <c r="BE668" t="s">
        <v>12916</v>
      </c>
      <c r="BF668" t="str">
        <f>HYPERLINK("http://dx.doi.org/10.5194/gmd-11-2581-2018","http://dx.doi.org/10.5194/gmd-11-2581-2018")</f>
        <v>http://dx.doi.org/10.5194/gmd-11-2581-2018</v>
      </c>
      <c r="BG668" t="s">
        <v>74</v>
      </c>
      <c r="BH668" t="s">
        <v>74</v>
      </c>
      <c r="BI668">
        <v>28</v>
      </c>
      <c r="BJ668" t="s">
        <v>182</v>
      </c>
      <c r="BK668" t="s">
        <v>101</v>
      </c>
      <c r="BL668" t="s">
        <v>183</v>
      </c>
      <c r="BM668" t="s">
        <v>12917</v>
      </c>
      <c r="BN668" t="s">
        <v>74</v>
      </c>
      <c r="BO668" t="s">
        <v>12918</v>
      </c>
      <c r="BP668" t="s">
        <v>74</v>
      </c>
      <c r="BQ668" t="s">
        <v>74</v>
      </c>
      <c r="BR668" t="s">
        <v>104</v>
      </c>
      <c r="BS668" t="s">
        <v>12919</v>
      </c>
      <c r="BT668" t="str">
        <f>HYPERLINK("https%3A%2F%2Fwww.webofscience.com%2Fwos%2Fwoscc%2Ffull-record%2FWOS:000437504000001","View Full Record in Web of Science")</f>
        <v>View Full Record in Web of Science</v>
      </c>
    </row>
    <row r="669" spans="1:72" x14ac:dyDescent="0.15">
      <c r="A669" t="s">
        <v>72</v>
      </c>
      <c r="B669" t="s">
        <v>12920</v>
      </c>
      <c r="C669" t="s">
        <v>74</v>
      </c>
      <c r="D669" t="s">
        <v>74</v>
      </c>
      <c r="E669" t="s">
        <v>74</v>
      </c>
      <c r="F669" t="s">
        <v>12921</v>
      </c>
      <c r="G669" t="s">
        <v>74</v>
      </c>
      <c r="H669" t="s">
        <v>74</v>
      </c>
      <c r="I669" t="s">
        <v>12922</v>
      </c>
      <c r="J669" t="s">
        <v>12923</v>
      </c>
      <c r="K669" t="s">
        <v>74</v>
      </c>
      <c r="L669" t="s">
        <v>74</v>
      </c>
      <c r="M669" t="s">
        <v>78</v>
      </c>
      <c r="N669" t="s">
        <v>79</v>
      </c>
      <c r="O669" t="s">
        <v>74</v>
      </c>
      <c r="P669" t="s">
        <v>74</v>
      </c>
      <c r="Q669" t="s">
        <v>74</v>
      </c>
      <c r="R669" t="s">
        <v>74</v>
      </c>
      <c r="S669" t="s">
        <v>74</v>
      </c>
      <c r="T669" t="s">
        <v>12924</v>
      </c>
      <c r="U669" t="s">
        <v>12925</v>
      </c>
      <c r="V669" t="s">
        <v>12926</v>
      </c>
      <c r="W669" t="s">
        <v>12927</v>
      </c>
      <c r="X669" t="s">
        <v>12928</v>
      </c>
      <c r="Y669" t="s">
        <v>12929</v>
      </c>
      <c r="Z669" t="s">
        <v>12930</v>
      </c>
      <c r="AA669" t="s">
        <v>74</v>
      </c>
      <c r="AB669" t="s">
        <v>12931</v>
      </c>
      <c r="AC669" t="s">
        <v>12932</v>
      </c>
      <c r="AD669" t="s">
        <v>12932</v>
      </c>
      <c r="AE669" t="s">
        <v>12933</v>
      </c>
      <c r="AF669" t="s">
        <v>74</v>
      </c>
      <c r="AG669">
        <v>22</v>
      </c>
      <c r="AH669">
        <v>2</v>
      </c>
      <c r="AI669">
        <v>2</v>
      </c>
      <c r="AJ669">
        <v>0</v>
      </c>
      <c r="AK669">
        <v>1</v>
      </c>
      <c r="AL669" t="s">
        <v>12934</v>
      </c>
      <c r="AM669" t="s">
        <v>704</v>
      </c>
      <c r="AN669" t="s">
        <v>12935</v>
      </c>
      <c r="AO669" t="s">
        <v>12936</v>
      </c>
      <c r="AP669" t="s">
        <v>12937</v>
      </c>
      <c r="AQ669" t="s">
        <v>74</v>
      </c>
      <c r="AR669" t="s">
        <v>12938</v>
      </c>
      <c r="AS669" t="s">
        <v>12939</v>
      </c>
      <c r="AT669" t="s">
        <v>12915</v>
      </c>
      <c r="AU669">
        <v>2018</v>
      </c>
      <c r="AV669">
        <v>16</v>
      </c>
      <c r="AW669">
        <v>1</v>
      </c>
      <c r="AX669" t="s">
        <v>74</v>
      </c>
      <c r="AY669" t="s">
        <v>74</v>
      </c>
      <c r="AZ669" t="s">
        <v>74</v>
      </c>
      <c r="BA669" t="s">
        <v>74</v>
      </c>
      <c r="BB669" t="s">
        <v>74</v>
      </c>
      <c r="BC669" t="s">
        <v>74</v>
      </c>
      <c r="BD669">
        <v>2</v>
      </c>
      <c r="BE669" t="s">
        <v>12940</v>
      </c>
      <c r="BF669" t="str">
        <f>HYPERLINK("http://dx.doi.org/10.5334/jcms.157","http://dx.doi.org/10.5334/jcms.157")</f>
        <v>http://dx.doi.org/10.5334/jcms.157</v>
      </c>
      <c r="BG669" t="s">
        <v>74</v>
      </c>
      <c r="BH669" t="s">
        <v>74</v>
      </c>
      <c r="BI669">
        <v>11</v>
      </c>
      <c r="BJ669" t="s">
        <v>12941</v>
      </c>
      <c r="BK669" t="s">
        <v>126</v>
      </c>
      <c r="BL669" t="s">
        <v>12942</v>
      </c>
      <c r="BM669" t="s">
        <v>12943</v>
      </c>
      <c r="BN669" t="s">
        <v>74</v>
      </c>
      <c r="BO669" t="s">
        <v>3382</v>
      </c>
      <c r="BP669" t="s">
        <v>74</v>
      </c>
      <c r="BQ669" t="s">
        <v>74</v>
      </c>
      <c r="BR669" t="s">
        <v>104</v>
      </c>
      <c r="BS669" t="s">
        <v>12944</v>
      </c>
      <c r="BT669" t="str">
        <f>HYPERLINK("https%3A%2F%2Fwww.webofscience.com%2Fwos%2Fwoscc%2Ffull-record%2FWOS:000438889000001","View Full Record in Web of Science")</f>
        <v>View Full Record in Web of Science</v>
      </c>
    </row>
    <row r="670" spans="1:72" x14ac:dyDescent="0.15">
      <c r="A670" t="s">
        <v>72</v>
      </c>
      <c r="B670" t="s">
        <v>12945</v>
      </c>
      <c r="C670" t="s">
        <v>74</v>
      </c>
      <c r="D670" t="s">
        <v>74</v>
      </c>
      <c r="E670" t="s">
        <v>74</v>
      </c>
      <c r="F670" t="s">
        <v>12946</v>
      </c>
      <c r="G670" t="s">
        <v>74</v>
      </c>
      <c r="H670" t="s">
        <v>74</v>
      </c>
      <c r="I670" t="s">
        <v>12947</v>
      </c>
      <c r="J670" t="s">
        <v>12948</v>
      </c>
      <c r="K670" t="s">
        <v>74</v>
      </c>
      <c r="L670" t="s">
        <v>74</v>
      </c>
      <c r="M670" t="s">
        <v>78</v>
      </c>
      <c r="N670" t="s">
        <v>79</v>
      </c>
      <c r="O670" t="s">
        <v>74</v>
      </c>
      <c r="P670" t="s">
        <v>74</v>
      </c>
      <c r="Q670" t="s">
        <v>74</v>
      </c>
      <c r="R670" t="s">
        <v>74</v>
      </c>
      <c r="S670" t="s">
        <v>74</v>
      </c>
      <c r="T670" t="s">
        <v>12949</v>
      </c>
      <c r="U670" t="s">
        <v>12950</v>
      </c>
      <c r="V670" t="s">
        <v>12951</v>
      </c>
      <c r="W670" t="s">
        <v>12952</v>
      </c>
      <c r="X670" t="s">
        <v>7709</v>
      </c>
      <c r="Y670" t="s">
        <v>12953</v>
      </c>
      <c r="Z670" t="s">
        <v>12954</v>
      </c>
      <c r="AA670" t="s">
        <v>12955</v>
      </c>
      <c r="AB670" t="s">
        <v>12956</v>
      </c>
      <c r="AC670" t="s">
        <v>12957</v>
      </c>
      <c r="AD670" t="s">
        <v>12958</v>
      </c>
      <c r="AE670" t="s">
        <v>12959</v>
      </c>
      <c r="AF670" t="s">
        <v>74</v>
      </c>
      <c r="AG670">
        <v>65</v>
      </c>
      <c r="AH670">
        <v>21</v>
      </c>
      <c r="AI670">
        <v>24</v>
      </c>
      <c r="AJ670">
        <v>2</v>
      </c>
      <c r="AK670">
        <v>38</v>
      </c>
      <c r="AL670" t="s">
        <v>3514</v>
      </c>
      <c r="AM670" t="s">
        <v>704</v>
      </c>
      <c r="AN670" t="s">
        <v>3515</v>
      </c>
      <c r="AO670" t="s">
        <v>12960</v>
      </c>
      <c r="AP670" t="s">
        <v>74</v>
      </c>
      <c r="AQ670" t="s">
        <v>74</v>
      </c>
      <c r="AR670" t="s">
        <v>12961</v>
      </c>
      <c r="AS670" t="s">
        <v>12962</v>
      </c>
      <c r="AT670" t="s">
        <v>12915</v>
      </c>
      <c r="AU670">
        <v>2018</v>
      </c>
      <c r="AV670">
        <v>18</v>
      </c>
      <c r="AW670" t="s">
        <v>74</v>
      </c>
      <c r="AX670" t="s">
        <v>74</v>
      </c>
      <c r="AY670" t="s">
        <v>74</v>
      </c>
      <c r="AZ670" t="s">
        <v>74</v>
      </c>
      <c r="BA670" t="s">
        <v>74</v>
      </c>
      <c r="BB670" t="s">
        <v>74</v>
      </c>
      <c r="BC670" t="s">
        <v>74</v>
      </c>
      <c r="BD670">
        <v>66</v>
      </c>
      <c r="BE670" t="s">
        <v>12963</v>
      </c>
      <c r="BF670" t="str">
        <f>HYPERLINK("http://dx.doi.org/10.1186/s12866-018-1214-8","http://dx.doi.org/10.1186/s12866-018-1214-8")</f>
        <v>http://dx.doi.org/10.1186/s12866-018-1214-8</v>
      </c>
      <c r="BG670" t="s">
        <v>74</v>
      </c>
      <c r="BH670" t="s">
        <v>74</v>
      </c>
      <c r="BI670">
        <v>10</v>
      </c>
      <c r="BJ670" t="s">
        <v>344</v>
      </c>
      <c r="BK670" t="s">
        <v>101</v>
      </c>
      <c r="BL670" t="s">
        <v>344</v>
      </c>
      <c r="BM670" t="s">
        <v>12964</v>
      </c>
      <c r="BN670">
        <v>29976143</v>
      </c>
      <c r="BO670" t="s">
        <v>439</v>
      </c>
      <c r="BP670" t="s">
        <v>74</v>
      </c>
      <c r="BQ670" t="s">
        <v>74</v>
      </c>
      <c r="BR670" t="s">
        <v>104</v>
      </c>
      <c r="BS670" t="s">
        <v>12965</v>
      </c>
      <c r="BT670" t="str">
        <f>HYPERLINK("https%3A%2F%2Fwww.webofscience.com%2Fwos%2Fwoscc%2Ffull-record%2FWOS:000437913000002","View Full Record in Web of Science")</f>
        <v>View Full Record in Web of Science</v>
      </c>
    </row>
    <row r="671" spans="1:72" x14ac:dyDescent="0.15">
      <c r="A671" t="s">
        <v>72</v>
      </c>
      <c r="B671" t="s">
        <v>12966</v>
      </c>
      <c r="C671" t="s">
        <v>74</v>
      </c>
      <c r="D671" t="s">
        <v>74</v>
      </c>
      <c r="E671" t="s">
        <v>74</v>
      </c>
      <c r="F671" t="s">
        <v>12967</v>
      </c>
      <c r="G671" t="s">
        <v>74</v>
      </c>
      <c r="H671" t="s">
        <v>74</v>
      </c>
      <c r="I671" t="s">
        <v>12968</v>
      </c>
      <c r="J671" t="s">
        <v>7832</v>
      </c>
      <c r="K671" t="s">
        <v>74</v>
      </c>
      <c r="L671" t="s">
        <v>74</v>
      </c>
      <c r="M671" t="s">
        <v>78</v>
      </c>
      <c r="N671" t="s">
        <v>79</v>
      </c>
      <c r="O671" t="s">
        <v>74</v>
      </c>
      <c r="P671" t="s">
        <v>74</v>
      </c>
      <c r="Q671" t="s">
        <v>74</v>
      </c>
      <c r="R671" t="s">
        <v>74</v>
      </c>
      <c r="S671" t="s">
        <v>74</v>
      </c>
      <c r="T671" t="s">
        <v>74</v>
      </c>
      <c r="U671" t="s">
        <v>12969</v>
      </c>
      <c r="V671" t="s">
        <v>12970</v>
      </c>
      <c r="W671" t="s">
        <v>12971</v>
      </c>
      <c r="X671" t="s">
        <v>12972</v>
      </c>
      <c r="Y671" t="s">
        <v>12973</v>
      </c>
      <c r="Z671" t="s">
        <v>12974</v>
      </c>
      <c r="AA671" t="s">
        <v>12975</v>
      </c>
      <c r="AB671" t="s">
        <v>12976</v>
      </c>
      <c r="AC671" t="s">
        <v>12977</v>
      </c>
      <c r="AD671" t="s">
        <v>12978</v>
      </c>
      <c r="AE671" t="s">
        <v>12979</v>
      </c>
      <c r="AF671" t="s">
        <v>74</v>
      </c>
      <c r="AG671">
        <v>37</v>
      </c>
      <c r="AH671">
        <v>1</v>
      </c>
      <c r="AI671">
        <v>1</v>
      </c>
      <c r="AJ671">
        <v>0</v>
      </c>
      <c r="AK671">
        <v>9</v>
      </c>
      <c r="AL671" t="s">
        <v>3353</v>
      </c>
      <c r="AM671" t="s">
        <v>3354</v>
      </c>
      <c r="AN671" t="s">
        <v>3355</v>
      </c>
      <c r="AO671" t="s">
        <v>7844</v>
      </c>
      <c r="AP671" t="s">
        <v>7845</v>
      </c>
      <c r="AQ671" t="s">
        <v>74</v>
      </c>
      <c r="AR671" t="s">
        <v>7832</v>
      </c>
      <c r="AS671" t="s">
        <v>7846</v>
      </c>
      <c r="AT671" t="s">
        <v>12915</v>
      </c>
      <c r="AU671">
        <v>2018</v>
      </c>
      <c r="AV671">
        <v>15</v>
      </c>
      <c r="AW671">
        <v>13</v>
      </c>
      <c r="AX671" t="s">
        <v>74</v>
      </c>
      <c r="AY671" t="s">
        <v>74</v>
      </c>
      <c r="AZ671" t="s">
        <v>74</v>
      </c>
      <c r="BA671" t="s">
        <v>74</v>
      </c>
      <c r="BB671">
        <v>4103</v>
      </c>
      <c r="BC671">
        <v>4124</v>
      </c>
      <c r="BD671" t="s">
        <v>74</v>
      </c>
      <c r="BE671" t="s">
        <v>12980</v>
      </c>
      <c r="BF671" t="str">
        <f>HYPERLINK("http://dx.doi.org/10.5194/bg-15-4103-2018","http://dx.doi.org/10.5194/bg-15-4103-2018")</f>
        <v>http://dx.doi.org/10.5194/bg-15-4103-2018</v>
      </c>
      <c r="BG671" t="s">
        <v>74</v>
      </c>
      <c r="BH671" t="s">
        <v>74</v>
      </c>
      <c r="BI671">
        <v>22</v>
      </c>
      <c r="BJ671" t="s">
        <v>7849</v>
      </c>
      <c r="BK671" t="s">
        <v>101</v>
      </c>
      <c r="BL671" t="s">
        <v>5223</v>
      </c>
      <c r="BM671" t="s">
        <v>12981</v>
      </c>
      <c r="BN671" t="s">
        <v>74</v>
      </c>
      <c r="BO671" t="s">
        <v>1524</v>
      </c>
      <c r="BP671" t="s">
        <v>74</v>
      </c>
      <c r="BQ671" t="s">
        <v>74</v>
      </c>
      <c r="BR671" t="s">
        <v>104</v>
      </c>
      <c r="BS671" t="s">
        <v>12982</v>
      </c>
      <c r="BT671" t="str">
        <f>HYPERLINK("https%3A%2F%2Fwww.webofscience.com%2Fwos%2Fwoscc%2Ffull-record%2FWOS:000437501300001","View Full Record in Web of Science")</f>
        <v>View Full Record in Web of Science</v>
      </c>
    </row>
    <row r="672" spans="1:72" x14ac:dyDescent="0.15">
      <c r="A672" t="s">
        <v>72</v>
      </c>
      <c r="B672" t="s">
        <v>12983</v>
      </c>
      <c r="C672" t="s">
        <v>74</v>
      </c>
      <c r="D672" t="s">
        <v>74</v>
      </c>
      <c r="E672" t="s">
        <v>74</v>
      </c>
      <c r="F672" t="s">
        <v>12984</v>
      </c>
      <c r="G672" t="s">
        <v>74</v>
      </c>
      <c r="H672" t="s">
        <v>74</v>
      </c>
      <c r="I672" t="s">
        <v>12985</v>
      </c>
      <c r="J672" t="s">
        <v>4131</v>
      </c>
      <c r="K672" t="s">
        <v>74</v>
      </c>
      <c r="L672" t="s">
        <v>74</v>
      </c>
      <c r="M672" t="s">
        <v>78</v>
      </c>
      <c r="N672" t="s">
        <v>79</v>
      </c>
      <c r="O672" t="s">
        <v>74</v>
      </c>
      <c r="P672" t="s">
        <v>74</v>
      </c>
      <c r="Q672" t="s">
        <v>74</v>
      </c>
      <c r="R672" t="s">
        <v>74</v>
      </c>
      <c r="S672" t="s">
        <v>74</v>
      </c>
      <c r="T672" t="s">
        <v>74</v>
      </c>
      <c r="U672" t="s">
        <v>12986</v>
      </c>
      <c r="V672" t="s">
        <v>12987</v>
      </c>
      <c r="W672" t="s">
        <v>12988</v>
      </c>
      <c r="X672" t="s">
        <v>12989</v>
      </c>
      <c r="Y672" t="s">
        <v>12990</v>
      </c>
      <c r="Z672" t="s">
        <v>12991</v>
      </c>
      <c r="AA672" t="s">
        <v>12992</v>
      </c>
      <c r="AB672" t="s">
        <v>12993</v>
      </c>
      <c r="AC672" t="s">
        <v>12994</v>
      </c>
      <c r="AD672" t="s">
        <v>12994</v>
      </c>
      <c r="AE672" t="s">
        <v>12995</v>
      </c>
      <c r="AF672" t="s">
        <v>74</v>
      </c>
      <c r="AG672">
        <v>44</v>
      </c>
      <c r="AH672">
        <v>4</v>
      </c>
      <c r="AI672">
        <v>5</v>
      </c>
      <c r="AJ672">
        <v>1</v>
      </c>
      <c r="AK672">
        <v>10</v>
      </c>
      <c r="AL672" t="s">
        <v>3353</v>
      </c>
      <c r="AM672" t="s">
        <v>3354</v>
      </c>
      <c r="AN672" t="s">
        <v>3355</v>
      </c>
      <c r="AO672" t="s">
        <v>4143</v>
      </c>
      <c r="AP672" t="s">
        <v>4144</v>
      </c>
      <c r="AQ672" t="s">
        <v>74</v>
      </c>
      <c r="AR672" t="s">
        <v>4145</v>
      </c>
      <c r="AS672" t="s">
        <v>4146</v>
      </c>
      <c r="AT672" t="s">
        <v>12915</v>
      </c>
      <c r="AU672">
        <v>2018</v>
      </c>
      <c r="AV672">
        <v>10</v>
      </c>
      <c r="AW672">
        <v>3</v>
      </c>
      <c r="AX672" t="s">
        <v>74</v>
      </c>
      <c r="AY672" t="s">
        <v>74</v>
      </c>
      <c r="AZ672" t="s">
        <v>74</v>
      </c>
      <c r="BA672" t="s">
        <v>74</v>
      </c>
      <c r="BB672">
        <v>1227</v>
      </c>
      <c r="BC672">
        <v>1236</v>
      </c>
      <c r="BD672" t="s">
        <v>74</v>
      </c>
      <c r="BE672" t="s">
        <v>12996</v>
      </c>
      <c r="BF672" t="str">
        <f>HYPERLINK("http://dx.doi.org/10.5194/essd-10-1227-2018","http://dx.doi.org/10.5194/essd-10-1227-2018")</f>
        <v>http://dx.doi.org/10.5194/essd-10-1227-2018</v>
      </c>
      <c r="BG672" t="s">
        <v>74</v>
      </c>
      <c r="BH672" t="s">
        <v>74</v>
      </c>
      <c r="BI672">
        <v>10</v>
      </c>
      <c r="BJ672" t="s">
        <v>4148</v>
      </c>
      <c r="BK672" t="s">
        <v>101</v>
      </c>
      <c r="BL672" t="s">
        <v>4149</v>
      </c>
      <c r="BM672" t="s">
        <v>12997</v>
      </c>
      <c r="BN672" t="s">
        <v>74</v>
      </c>
      <c r="BO672" t="s">
        <v>1524</v>
      </c>
      <c r="BP672" t="s">
        <v>74</v>
      </c>
      <c r="BQ672" t="s">
        <v>74</v>
      </c>
      <c r="BR672" t="s">
        <v>104</v>
      </c>
      <c r="BS672" t="s">
        <v>12998</v>
      </c>
      <c r="BT672" t="str">
        <f>HYPERLINK("https%3A%2F%2Fwww.webofscience.com%2Fwos%2Fwoscc%2Ffull-record%2FWOS:000437502700002","View Full Record in Web of Science")</f>
        <v>View Full Record in Web of Science</v>
      </c>
    </row>
    <row r="673" spans="1:72" x14ac:dyDescent="0.15">
      <c r="A673" t="s">
        <v>72</v>
      </c>
      <c r="B673" t="s">
        <v>12999</v>
      </c>
      <c r="C673" t="s">
        <v>74</v>
      </c>
      <c r="D673" t="s">
        <v>74</v>
      </c>
      <c r="E673" t="s">
        <v>74</v>
      </c>
      <c r="F673" t="s">
        <v>13000</v>
      </c>
      <c r="G673" t="s">
        <v>74</v>
      </c>
      <c r="H673" t="s">
        <v>74</v>
      </c>
      <c r="I673" t="s">
        <v>13001</v>
      </c>
      <c r="J673" t="s">
        <v>7913</v>
      </c>
      <c r="K673" t="s">
        <v>74</v>
      </c>
      <c r="L673" t="s">
        <v>74</v>
      </c>
      <c r="M673" t="s">
        <v>78</v>
      </c>
      <c r="N673" t="s">
        <v>79</v>
      </c>
      <c r="O673" t="s">
        <v>74</v>
      </c>
      <c r="P673" t="s">
        <v>74</v>
      </c>
      <c r="Q673" t="s">
        <v>74</v>
      </c>
      <c r="R673" t="s">
        <v>74</v>
      </c>
      <c r="S673" t="s">
        <v>74</v>
      </c>
      <c r="T673" t="s">
        <v>74</v>
      </c>
      <c r="U673" t="s">
        <v>13002</v>
      </c>
      <c r="V673" t="s">
        <v>13003</v>
      </c>
      <c r="W673" t="s">
        <v>13004</v>
      </c>
      <c r="X673" t="s">
        <v>5352</v>
      </c>
      <c r="Y673" t="s">
        <v>13005</v>
      </c>
      <c r="Z673" t="s">
        <v>13006</v>
      </c>
      <c r="AA673" t="s">
        <v>13007</v>
      </c>
      <c r="AB673" t="s">
        <v>13008</v>
      </c>
      <c r="AC673" t="s">
        <v>13009</v>
      </c>
      <c r="AD673" t="s">
        <v>13010</v>
      </c>
      <c r="AE673" t="s">
        <v>13011</v>
      </c>
      <c r="AF673" t="s">
        <v>74</v>
      </c>
      <c r="AG673">
        <v>59</v>
      </c>
      <c r="AH673">
        <v>17</v>
      </c>
      <c r="AI673">
        <v>17</v>
      </c>
      <c r="AJ673">
        <v>0</v>
      </c>
      <c r="AK673">
        <v>17</v>
      </c>
      <c r="AL673" t="s">
        <v>3353</v>
      </c>
      <c r="AM673" t="s">
        <v>3354</v>
      </c>
      <c r="AN673" t="s">
        <v>3355</v>
      </c>
      <c r="AO673" t="s">
        <v>7922</v>
      </c>
      <c r="AP673" t="s">
        <v>7923</v>
      </c>
      <c r="AQ673" t="s">
        <v>74</v>
      </c>
      <c r="AR673" t="s">
        <v>7924</v>
      </c>
      <c r="AS673" t="s">
        <v>7925</v>
      </c>
      <c r="AT673" t="s">
        <v>13012</v>
      </c>
      <c r="AU673">
        <v>2018</v>
      </c>
      <c r="AV673">
        <v>9</v>
      </c>
      <c r="AW673">
        <v>3</v>
      </c>
      <c r="AX673" t="s">
        <v>74</v>
      </c>
      <c r="AY673" t="s">
        <v>74</v>
      </c>
      <c r="AZ673" t="s">
        <v>74</v>
      </c>
      <c r="BA673" t="s">
        <v>74</v>
      </c>
      <c r="BB673">
        <v>939</v>
      </c>
      <c r="BC673">
        <v>954</v>
      </c>
      <c r="BD673" t="s">
        <v>74</v>
      </c>
      <c r="BE673" t="s">
        <v>13013</v>
      </c>
      <c r="BF673" t="str">
        <f>HYPERLINK("http://dx.doi.org/10.5194/esd-9-939-2018","http://dx.doi.org/10.5194/esd-9-939-2018")</f>
        <v>http://dx.doi.org/10.5194/esd-9-939-2018</v>
      </c>
      <c r="BG673" t="s">
        <v>74</v>
      </c>
      <c r="BH673" t="s">
        <v>74</v>
      </c>
      <c r="BI673">
        <v>16</v>
      </c>
      <c r="BJ673" t="s">
        <v>182</v>
      </c>
      <c r="BK673" t="s">
        <v>101</v>
      </c>
      <c r="BL673" t="s">
        <v>183</v>
      </c>
      <c r="BM673" t="s">
        <v>13014</v>
      </c>
      <c r="BN673" t="s">
        <v>74</v>
      </c>
      <c r="BO673" t="s">
        <v>1524</v>
      </c>
      <c r="BP673" t="s">
        <v>74</v>
      </c>
      <c r="BQ673" t="s">
        <v>74</v>
      </c>
      <c r="BR673" t="s">
        <v>104</v>
      </c>
      <c r="BS673" t="s">
        <v>13015</v>
      </c>
      <c r="BT673" t="str">
        <f>HYPERLINK("https%3A%2F%2Fwww.webofscience.com%2Fwos%2Fwoscc%2Ffull-record%2FWOS:000437365900001","View Full Record in Web of Science")</f>
        <v>View Full Record in Web of Science</v>
      </c>
    </row>
    <row r="674" spans="1:72" x14ac:dyDescent="0.15">
      <c r="A674" t="s">
        <v>72</v>
      </c>
      <c r="B674" t="s">
        <v>13016</v>
      </c>
      <c r="C674" t="s">
        <v>74</v>
      </c>
      <c r="D674" t="s">
        <v>74</v>
      </c>
      <c r="E674" t="s">
        <v>74</v>
      </c>
      <c r="F674" t="s">
        <v>13017</v>
      </c>
      <c r="G674" t="s">
        <v>74</v>
      </c>
      <c r="H674" t="s">
        <v>74</v>
      </c>
      <c r="I674" t="s">
        <v>13018</v>
      </c>
      <c r="J674" t="s">
        <v>3387</v>
      </c>
      <c r="K674" t="s">
        <v>74</v>
      </c>
      <c r="L674" t="s">
        <v>74</v>
      </c>
      <c r="M674" t="s">
        <v>78</v>
      </c>
      <c r="N674" t="s">
        <v>79</v>
      </c>
      <c r="O674" t="s">
        <v>74</v>
      </c>
      <c r="P674" t="s">
        <v>74</v>
      </c>
      <c r="Q674" t="s">
        <v>74</v>
      </c>
      <c r="R674" t="s">
        <v>74</v>
      </c>
      <c r="S674" t="s">
        <v>74</v>
      </c>
      <c r="T674" t="s">
        <v>74</v>
      </c>
      <c r="U674" t="s">
        <v>13019</v>
      </c>
      <c r="V674" t="s">
        <v>13020</v>
      </c>
      <c r="W674" t="s">
        <v>13021</v>
      </c>
      <c r="X674" t="s">
        <v>13022</v>
      </c>
      <c r="Y674" t="s">
        <v>13023</v>
      </c>
      <c r="Z674" t="s">
        <v>13024</v>
      </c>
      <c r="AA674" t="s">
        <v>13025</v>
      </c>
      <c r="AB674" t="s">
        <v>13026</v>
      </c>
      <c r="AC674" t="s">
        <v>13027</v>
      </c>
      <c r="AD674" t="s">
        <v>13028</v>
      </c>
      <c r="AE674" t="s">
        <v>13029</v>
      </c>
      <c r="AF674" t="s">
        <v>74</v>
      </c>
      <c r="AG674">
        <v>67</v>
      </c>
      <c r="AH674">
        <v>11</v>
      </c>
      <c r="AI674">
        <v>11</v>
      </c>
      <c r="AJ674">
        <v>3</v>
      </c>
      <c r="AK674">
        <v>29</v>
      </c>
      <c r="AL674" t="s">
        <v>3353</v>
      </c>
      <c r="AM674" t="s">
        <v>3354</v>
      </c>
      <c r="AN674" t="s">
        <v>3355</v>
      </c>
      <c r="AO674" t="s">
        <v>3399</v>
      </c>
      <c r="AP674" t="s">
        <v>3400</v>
      </c>
      <c r="AQ674" t="s">
        <v>74</v>
      </c>
      <c r="AR674" t="s">
        <v>3401</v>
      </c>
      <c r="AS674" t="s">
        <v>3402</v>
      </c>
      <c r="AT674" t="s">
        <v>13030</v>
      </c>
      <c r="AU674">
        <v>2018</v>
      </c>
      <c r="AV674">
        <v>18</v>
      </c>
      <c r="AW674">
        <v>13</v>
      </c>
      <c r="AX674" t="s">
        <v>74</v>
      </c>
      <c r="AY674" t="s">
        <v>74</v>
      </c>
      <c r="AZ674" t="s">
        <v>74</v>
      </c>
      <c r="BA674" t="s">
        <v>74</v>
      </c>
      <c r="BB674">
        <v>9207</v>
      </c>
      <c r="BC674">
        <v>9224</v>
      </c>
      <c r="BD674" t="s">
        <v>74</v>
      </c>
      <c r="BE674" t="s">
        <v>13031</v>
      </c>
      <c r="BF674" t="str">
        <f>HYPERLINK("http://dx.doi.org/10.5194/acp-18-9207-2018","http://dx.doi.org/10.5194/acp-18-9207-2018")</f>
        <v>http://dx.doi.org/10.5194/acp-18-9207-2018</v>
      </c>
      <c r="BG674" t="s">
        <v>74</v>
      </c>
      <c r="BH674" t="s">
        <v>74</v>
      </c>
      <c r="BI674">
        <v>18</v>
      </c>
      <c r="BJ674" t="s">
        <v>317</v>
      </c>
      <c r="BK674" t="s">
        <v>101</v>
      </c>
      <c r="BL674" t="s">
        <v>318</v>
      </c>
      <c r="BM674" t="s">
        <v>13032</v>
      </c>
      <c r="BN674" t="s">
        <v>74</v>
      </c>
      <c r="BO674" t="s">
        <v>3382</v>
      </c>
      <c r="BP674" t="s">
        <v>74</v>
      </c>
      <c r="BQ674" t="s">
        <v>74</v>
      </c>
      <c r="BR674" t="s">
        <v>104</v>
      </c>
      <c r="BS674" t="s">
        <v>13033</v>
      </c>
      <c r="BT674" t="str">
        <f>HYPERLINK("https%3A%2F%2Fwww.webofscience.com%2Fwos%2Fwoscc%2Ffull-record%2FWOS:000437262500002","View Full Record in Web of Science")</f>
        <v>View Full Record in Web of Science</v>
      </c>
    </row>
    <row r="675" spans="1:72" x14ac:dyDescent="0.15">
      <c r="A675" t="s">
        <v>72</v>
      </c>
      <c r="B675" t="s">
        <v>13034</v>
      </c>
      <c r="C675" t="s">
        <v>74</v>
      </c>
      <c r="D675" t="s">
        <v>74</v>
      </c>
      <c r="E675" t="s">
        <v>74</v>
      </c>
      <c r="F675" t="s">
        <v>13035</v>
      </c>
      <c r="G675" t="s">
        <v>74</v>
      </c>
      <c r="H675" t="s">
        <v>74</v>
      </c>
      <c r="I675" t="s">
        <v>13036</v>
      </c>
      <c r="J675" t="s">
        <v>4530</v>
      </c>
      <c r="K675" t="s">
        <v>74</v>
      </c>
      <c r="L675" t="s">
        <v>74</v>
      </c>
      <c r="M675" t="s">
        <v>78</v>
      </c>
      <c r="N675" t="s">
        <v>418</v>
      </c>
      <c r="O675" t="s">
        <v>74</v>
      </c>
      <c r="P675" t="s">
        <v>74</v>
      </c>
      <c r="Q675" t="s">
        <v>74</v>
      </c>
      <c r="R675" t="s">
        <v>74</v>
      </c>
      <c r="S675" t="s">
        <v>74</v>
      </c>
      <c r="T675" t="s">
        <v>74</v>
      </c>
      <c r="U675" t="s">
        <v>13037</v>
      </c>
      <c r="V675" t="s">
        <v>13038</v>
      </c>
      <c r="W675" t="s">
        <v>13039</v>
      </c>
      <c r="X675" t="s">
        <v>13040</v>
      </c>
      <c r="Y675" t="s">
        <v>13041</v>
      </c>
      <c r="Z675" t="s">
        <v>13042</v>
      </c>
      <c r="AA675" t="s">
        <v>13043</v>
      </c>
      <c r="AB675" t="s">
        <v>13044</v>
      </c>
      <c r="AC675" t="s">
        <v>13045</v>
      </c>
      <c r="AD675" t="s">
        <v>13046</v>
      </c>
      <c r="AE675" t="s">
        <v>13047</v>
      </c>
      <c r="AF675" t="s">
        <v>74</v>
      </c>
      <c r="AG675">
        <v>98</v>
      </c>
      <c r="AH675">
        <v>35</v>
      </c>
      <c r="AI675">
        <v>36</v>
      </c>
      <c r="AJ675">
        <v>1</v>
      </c>
      <c r="AK675">
        <v>12</v>
      </c>
      <c r="AL675" t="s">
        <v>1130</v>
      </c>
      <c r="AM675" t="s">
        <v>1131</v>
      </c>
      <c r="AN675" t="s">
        <v>1132</v>
      </c>
      <c r="AO675" t="s">
        <v>74</v>
      </c>
      <c r="AP675" t="s">
        <v>4542</v>
      </c>
      <c r="AQ675" t="s">
        <v>74</v>
      </c>
      <c r="AR675" t="s">
        <v>4543</v>
      </c>
      <c r="AS675" t="s">
        <v>4544</v>
      </c>
      <c r="AT675" t="s">
        <v>13030</v>
      </c>
      <c r="AU675">
        <v>2018</v>
      </c>
      <c r="AV675">
        <v>5</v>
      </c>
      <c r="AW675" t="s">
        <v>74</v>
      </c>
      <c r="AX675" t="s">
        <v>74</v>
      </c>
      <c r="AY675" t="s">
        <v>74</v>
      </c>
      <c r="AZ675" t="s">
        <v>74</v>
      </c>
      <c r="BA675" t="s">
        <v>74</v>
      </c>
      <c r="BB675" t="s">
        <v>74</v>
      </c>
      <c r="BC675" t="s">
        <v>74</v>
      </c>
      <c r="BD675">
        <v>180122</v>
      </c>
      <c r="BE675" t="s">
        <v>13048</v>
      </c>
      <c r="BF675" t="str">
        <f>HYPERLINK("http://dx.doi.org/10.1038/sdata.2018.122","http://dx.doi.org/10.1038/sdata.2018.122")</f>
        <v>http://dx.doi.org/10.1038/sdata.2018.122</v>
      </c>
      <c r="BG675" t="s">
        <v>74</v>
      </c>
      <c r="BH675" t="s">
        <v>74</v>
      </c>
      <c r="BI675">
        <v>22</v>
      </c>
      <c r="BJ675" t="s">
        <v>436</v>
      </c>
      <c r="BK675" t="s">
        <v>101</v>
      </c>
      <c r="BL675" t="s">
        <v>437</v>
      </c>
      <c r="BM675" t="s">
        <v>13049</v>
      </c>
      <c r="BN675">
        <v>29969114</v>
      </c>
      <c r="BO675" t="s">
        <v>439</v>
      </c>
      <c r="BP675" t="s">
        <v>74</v>
      </c>
      <c r="BQ675" t="s">
        <v>74</v>
      </c>
      <c r="BR675" t="s">
        <v>104</v>
      </c>
      <c r="BS675" t="s">
        <v>13050</v>
      </c>
      <c r="BT675" t="str">
        <f>HYPERLINK("https%3A%2F%2Fwww.webofscience.com%2Fwos%2Fwoscc%2Ffull-record%2FWOS:000437104000002","View Full Record in Web of Science")</f>
        <v>View Full Record in Web of Science</v>
      </c>
    </row>
    <row r="676" spans="1:72" x14ac:dyDescent="0.15">
      <c r="A676" t="s">
        <v>72</v>
      </c>
      <c r="B676" t="s">
        <v>13051</v>
      </c>
      <c r="C676" t="s">
        <v>74</v>
      </c>
      <c r="D676" t="s">
        <v>74</v>
      </c>
      <c r="E676" t="s">
        <v>74</v>
      </c>
      <c r="F676" t="s">
        <v>13052</v>
      </c>
      <c r="G676" t="s">
        <v>74</v>
      </c>
      <c r="H676" t="s">
        <v>74</v>
      </c>
      <c r="I676" t="s">
        <v>13053</v>
      </c>
      <c r="J676" t="s">
        <v>7645</v>
      </c>
      <c r="K676" t="s">
        <v>74</v>
      </c>
      <c r="L676" t="s">
        <v>74</v>
      </c>
      <c r="M676" t="s">
        <v>78</v>
      </c>
      <c r="N676" t="s">
        <v>79</v>
      </c>
      <c r="O676" t="s">
        <v>74</v>
      </c>
      <c r="P676" t="s">
        <v>74</v>
      </c>
      <c r="Q676" t="s">
        <v>74</v>
      </c>
      <c r="R676" t="s">
        <v>74</v>
      </c>
      <c r="S676" t="s">
        <v>74</v>
      </c>
      <c r="T676" t="s">
        <v>13054</v>
      </c>
      <c r="U676" t="s">
        <v>13055</v>
      </c>
      <c r="V676" t="s">
        <v>13056</v>
      </c>
      <c r="W676" t="s">
        <v>13057</v>
      </c>
      <c r="X676" t="s">
        <v>13058</v>
      </c>
      <c r="Y676" t="s">
        <v>13059</v>
      </c>
      <c r="Z676" t="s">
        <v>13060</v>
      </c>
      <c r="AA676" t="s">
        <v>13061</v>
      </c>
      <c r="AB676" t="s">
        <v>13062</v>
      </c>
      <c r="AC676" t="s">
        <v>13063</v>
      </c>
      <c r="AD676" t="s">
        <v>13064</v>
      </c>
      <c r="AE676" t="s">
        <v>13065</v>
      </c>
      <c r="AF676" t="s">
        <v>74</v>
      </c>
      <c r="AG676">
        <v>103</v>
      </c>
      <c r="AH676">
        <v>51</v>
      </c>
      <c r="AI676">
        <v>59</v>
      </c>
      <c r="AJ676">
        <v>7</v>
      </c>
      <c r="AK676">
        <v>107</v>
      </c>
      <c r="AL676" t="s">
        <v>3174</v>
      </c>
      <c r="AM676" t="s">
        <v>3175</v>
      </c>
      <c r="AN676" t="s">
        <v>3176</v>
      </c>
      <c r="AO676" t="s">
        <v>74</v>
      </c>
      <c r="AP676" t="s">
        <v>7658</v>
      </c>
      <c r="AQ676" t="s">
        <v>74</v>
      </c>
      <c r="AR676" t="s">
        <v>7659</v>
      </c>
      <c r="AS676" t="s">
        <v>7660</v>
      </c>
      <c r="AT676" t="s">
        <v>13030</v>
      </c>
      <c r="AU676">
        <v>2018</v>
      </c>
      <c r="AV676">
        <v>9</v>
      </c>
      <c r="AW676" t="s">
        <v>74</v>
      </c>
      <c r="AX676" t="s">
        <v>74</v>
      </c>
      <c r="AY676" t="s">
        <v>74</v>
      </c>
      <c r="AZ676" t="s">
        <v>74</v>
      </c>
      <c r="BA676" t="s">
        <v>74</v>
      </c>
      <c r="BB676" t="s">
        <v>74</v>
      </c>
      <c r="BC676" t="s">
        <v>74</v>
      </c>
      <c r="BD676">
        <v>1401</v>
      </c>
      <c r="BE676" t="s">
        <v>13066</v>
      </c>
      <c r="BF676" t="str">
        <f>HYPERLINK("http://dx.doi.org/10.3389/fmicb.2018.01401","http://dx.doi.org/10.3389/fmicb.2018.01401")</f>
        <v>http://dx.doi.org/10.3389/fmicb.2018.01401</v>
      </c>
      <c r="BG676" t="s">
        <v>74</v>
      </c>
      <c r="BH676" t="s">
        <v>74</v>
      </c>
      <c r="BI676">
        <v>13</v>
      </c>
      <c r="BJ676" t="s">
        <v>344</v>
      </c>
      <c r="BK676" t="s">
        <v>101</v>
      </c>
      <c r="BL676" t="s">
        <v>344</v>
      </c>
      <c r="BM676" t="s">
        <v>13067</v>
      </c>
      <c r="BN676">
        <v>30018601</v>
      </c>
      <c r="BO676" t="s">
        <v>439</v>
      </c>
      <c r="BP676" t="s">
        <v>74</v>
      </c>
      <c r="BQ676" t="s">
        <v>74</v>
      </c>
      <c r="BR676" t="s">
        <v>104</v>
      </c>
      <c r="BS676" t="s">
        <v>13068</v>
      </c>
      <c r="BT676" t="str">
        <f>HYPERLINK("https%3A%2F%2Fwww.webofscience.com%2Fwos%2Fwoscc%2Ffull-record%2FWOS:000437179300001","View Full Record in Web of Science")</f>
        <v>View Full Record in Web of Science</v>
      </c>
    </row>
    <row r="677" spans="1:72" x14ac:dyDescent="0.15">
      <c r="A677" t="s">
        <v>72</v>
      </c>
      <c r="B677" t="s">
        <v>13069</v>
      </c>
      <c r="C677" t="s">
        <v>74</v>
      </c>
      <c r="D677" t="s">
        <v>74</v>
      </c>
      <c r="E677" t="s">
        <v>74</v>
      </c>
      <c r="F677" t="s">
        <v>13070</v>
      </c>
      <c r="G677" t="s">
        <v>74</v>
      </c>
      <c r="H677" t="s">
        <v>74</v>
      </c>
      <c r="I677" t="s">
        <v>13071</v>
      </c>
      <c r="J677" t="s">
        <v>4509</v>
      </c>
      <c r="K677" t="s">
        <v>74</v>
      </c>
      <c r="L677" t="s">
        <v>74</v>
      </c>
      <c r="M677" t="s">
        <v>78</v>
      </c>
      <c r="N677" t="s">
        <v>79</v>
      </c>
      <c r="O677" t="s">
        <v>74</v>
      </c>
      <c r="P677" t="s">
        <v>74</v>
      </c>
      <c r="Q677" t="s">
        <v>74</v>
      </c>
      <c r="R677" t="s">
        <v>74</v>
      </c>
      <c r="S677" t="s">
        <v>74</v>
      </c>
      <c r="T677" t="s">
        <v>13072</v>
      </c>
      <c r="U677" t="s">
        <v>13073</v>
      </c>
      <c r="V677" t="s">
        <v>13074</v>
      </c>
      <c r="W677" t="s">
        <v>13075</v>
      </c>
      <c r="X677" t="s">
        <v>13076</v>
      </c>
      <c r="Y677" t="s">
        <v>13077</v>
      </c>
      <c r="Z677" t="s">
        <v>13078</v>
      </c>
      <c r="AA677" t="s">
        <v>13079</v>
      </c>
      <c r="AB677" t="s">
        <v>13080</v>
      </c>
      <c r="AC677" t="s">
        <v>13081</v>
      </c>
      <c r="AD677" t="s">
        <v>13082</v>
      </c>
      <c r="AE677" t="s">
        <v>13083</v>
      </c>
      <c r="AF677" t="s">
        <v>74</v>
      </c>
      <c r="AG677">
        <v>70</v>
      </c>
      <c r="AH677">
        <v>172</v>
      </c>
      <c r="AI677">
        <v>178</v>
      </c>
      <c r="AJ677">
        <v>14</v>
      </c>
      <c r="AK677">
        <v>206</v>
      </c>
      <c r="AL677" t="s">
        <v>4517</v>
      </c>
      <c r="AM677" t="s">
        <v>504</v>
      </c>
      <c r="AN677" t="s">
        <v>4518</v>
      </c>
      <c r="AO677" t="s">
        <v>4519</v>
      </c>
      <c r="AP677" t="s">
        <v>74</v>
      </c>
      <c r="AQ677" t="s">
        <v>74</v>
      </c>
      <c r="AR677" t="s">
        <v>4520</v>
      </c>
      <c r="AS677" t="s">
        <v>4521</v>
      </c>
      <c r="AT677" t="s">
        <v>13030</v>
      </c>
      <c r="AU677">
        <v>2018</v>
      </c>
      <c r="AV677">
        <v>115</v>
      </c>
      <c r="AW677">
        <v>27</v>
      </c>
      <c r="AX677" t="s">
        <v>74</v>
      </c>
      <c r="AY677" t="s">
        <v>74</v>
      </c>
      <c r="AZ677" t="s">
        <v>74</v>
      </c>
      <c r="BA677" t="s">
        <v>74</v>
      </c>
      <c r="BB677" t="s">
        <v>13084</v>
      </c>
      <c r="BC677" t="s">
        <v>13085</v>
      </c>
      <c r="BD677" t="s">
        <v>74</v>
      </c>
      <c r="BE677" t="s">
        <v>13086</v>
      </c>
      <c r="BF677" t="str">
        <f>HYPERLINK("http://dx.doi.org/10.1073/pnas.1708001115","http://dx.doi.org/10.1073/pnas.1708001115")</f>
        <v>http://dx.doi.org/10.1073/pnas.1708001115</v>
      </c>
      <c r="BG677" t="s">
        <v>74</v>
      </c>
      <c r="BH677" t="s">
        <v>74</v>
      </c>
      <c r="BI677">
        <v>10</v>
      </c>
      <c r="BJ677" t="s">
        <v>436</v>
      </c>
      <c r="BK677" t="s">
        <v>1140</v>
      </c>
      <c r="BL677" t="s">
        <v>437</v>
      </c>
      <c r="BM677" t="s">
        <v>13087</v>
      </c>
      <c r="BN677">
        <v>29915066</v>
      </c>
      <c r="BO677" t="s">
        <v>13088</v>
      </c>
      <c r="BP677" t="s">
        <v>74</v>
      </c>
      <c r="BQ677" t="s">
        <v>74</v>
      </c>
      <c r="BR677" t="s">
        <v>104</v>
      </c>
      <c r="BS677" t="s">
        <v>13089</v>
      </c>
      <c r="BT677" t="str">
        <f>HYPERLINK("https%3A%2F%2Fwww.webofscience.com%2Fwos%2Fwoscc%2Ffull-record%2FWOS:000437107000006","View Full Record in Web of Science")</f>
        <v>View Full Record in Web of Science</v>
      </c>
    </row>
    <row r="678" spans="1:72" x14ac:dyDescent="0.15">
      <c r="A678" t="s">
        <v>72</v>
      </c>
      <c r="B678" t="s">
        <v>13090</v>
      </c>
      <c r="C678" t="s">
        <v>74</v>
      </c>
      <c r="D678" t="s">
        <v>74</v>
      </c>
      <c r="E678" t="s">
        <v>74</v>
      </c>
      <c r="F678" t="s">
        <v>13091</v>
      </c>
      <c r="G678" t="s">
        <v>74</v>
      </c>
      <c r="H678" t="s">
        <v>7749</v>
      </c>
      <c r="I678" t="s">
        <v>13092</v>
      </c>
      <c r="J678" t="s">
        <v>7751</v>
      </c>
      <c r="K678" t="s">
        <v>74</v>
      </c>
      <c r="L678" t="s">
        <v>74</v>
      </c>
      <c r="M678" t="s">
        <v>78</v>
      </c>
      <c r="N678" t="s">
        <v>79</v>
      </c>
      <c r="O678" t="s">
        <v>74</v>
      </c>
      <c r="P678" t="s">
        <v>74</v>
      </c>
      <c r="Q678" t="s">
        <v>74</v>
      </c>
      <c r="R678" t="s">
        <v>74</v>
      </c>
      <c r="S678" t="s">
        <v>74</v>
      </c>
      <c r="T678" t="s">
        <v>74</v>
      </c>
      <c r="U678" t="s">
        <v>74</v>
      </c>
      <c r="V678" t="s">
        <v>13093</v>
      </c>
      <c r="W678" t="s">
        <v>13094</v>
      </c>
      <c r="X678" t="s">
        <v>13095</v>
      </c>
      <c r="Y678" t="s">
        <v>13096</v>
      </c>
      <c r="Z678" t="s">
        <v>74</v>
      </c>
      <c r="AA678" t="s">
        <v>13097</v>
      </c>
      <c r="AB678" t="s">
        <v>13098</v>
      </c>
      <c r="AC678" t="s">
        <v>13099</v>
      </c>
      <c r="AD678" t="s">
        <v>13100</v>
      </c>
      <c r="AE678" t="s">
        <v>13101</v>
      </c>
      <c r="AF678" t="s">
        <v>74</v>
      </c>
      <c r="AG678">
        <v>30</v>
      </c>
      <c r="AH678">
        <v>55</v>
      </c>
      <c r="AI678">
        <v>68</v>
      </c>
      <c r="AJ678">
        <v>0</v>
      </c>
      <c r="AK678">
        <v>4</v>
      </c>
      <c r="AL678" t="s">
        <v>7762</v>
      </c>
      <c r="AM678" t="s">
        <v>7763</v>
      </c>
      <c r="AN678" t="s">
        <v>7764</v>
      </c>
      <c r="AO678" t="s">
        <v>7765</v>
      </c>
      <c r="AP678" t="s">
        <v>7766</v>
      </c>
      <c r="AQ678" t="s">
        <v>74</v>
      </c>
      <c r="AR678" t="s">
        <v>7767</v>
      </c>
      <c r="AS678" t="s">
        <v>7768</v>
      </c>
      <c r="AT678" t="s">
        <v>13102</v>
      </c>
      <c r="AU678">
        <v>2018</v>
      </c>
      <c r="AV678">
        <v>98</v>
      </c>
      <c r="AW678">
        <v>2</v>
      </c>
      <c r="AX678" t="s">
        <v>74</v>
      </c>
      <c r="AY678" t="s">
        <v>74</v>
      </c>
      <c r="AZ678" t="s">
        <v>74</v>
      </c>
      <c r="BA678" t="s">
        <v>74</v>
      </c>
      <c r="BB678" t="s">
        <v>74</v>
      </c>
      <c r="BC678" t="s">
        <v>74</v>
      </c>
      <c r="BD678">
        <v>22001</v>
      </c>
      <c r="BE678" t="s">
        <v>13103</v>
      </c>
      <c r="BF678" t="str">
        <f>HYPERLINK("http://dx.doi.org/10.1103/PhysRevD.98.022001","http://dx.doi.org/10.1103/PhysRevD.98.022001")</f>
        <v>http://dx.doi.org/10.1103/PhysRevD.98.022001</v>
      </c>
      <c r="BG678" t="s">
        <v>74</v>
      </c>
      <c r="BH678" t="s">
        <v>74</v>
      </c>
      <c r="BI678">
        <v>16</v>
      </c>
      <c r="BJ678" t="s">
        <v>7770</v>
      </c>
      <c r="BK678" t="s">
        <v>101</v>
      </c>
      <c r="BL678" t="s">
        <v>7771</v>
      </c>
      <c r="BM678" t="s">
        <v>13104</v>
      </c>
      <c r="BN678" t="s">
        <v>74</v>
      </c>
      <c r="BO678" t="s">
        <v>9808</v>
      </c>
      <c r="BP678" t="s">
        <v>74</v>
      </c>
      <c r="BQ678" t="s">
        <v>74</v>
      </c>
      <c r="BR678" t="s">
        <v>104</v>
      </c>
      <c r="BS678" t="s">
        <v>13105</v>
      </c>
      <c r="BT678" t="str">
        <f>HYPERLINK("https%3A%2F%2Fwww.webofscience.com%2Fwos%2Fwoscc%2Ffull-record%2FWOS:000436942400001","View Full Record in Web of Science")</f>
        <v>View Full Record in Web of Science</v>
      </c>
    </row>
    <row r="679" spans="1:72" x14ac:dyDescent="0.15">
      <c r="A679" t="s">
        <v>72</v>
      </c>
      <c r="B679" t="s">
        <v>13106</v>
      </c>
      <c r="C679" t="s">
        <v>74</v>
      </c>
      <c r="D679" t="s">
        <v>74</v>
      </c>
      <c r="E679" t="s">
        <v>74</v>
      </c>
      <c r="F679" t="s">
        <v>13107</v>
      </c>
      <c r="G679" t="s">
        <v>74</v>
      </c>
      <c r="H679" t="s">
        <v>74</v>
      </c>
      <c r="I679" t="s">
        <v>13108</v>
      </c>
      <c r="J679" t="s">
        <v>4600</v>
      </c>
      <c r="K679" t="s">
        <v>74</v>
      </c>
      <c r="L679" t="s">
        <v>74</v>
      </c>
      <c r="M679" t="s">
        <v>78</v>
      </c>
      <c r="N679" t="s">
        <v>79</v>
      </c>
      <c r="O679" t="s">
        <v>74</v>
      </c>
      <c r="P679" t="s">
        <v>74</v>
      </c>
      <c r="Q679" t="s">
        <v>74</v>
      </c>
      <c r="R679" t="s">
        <v>74</v>
      </c>
      <c r="S679" t="s">
        <v>74</v>
      </c>
      <c r="T679" t="s">
        <v>13109</v>
      </c>
      <c r="U679" t="s">
        <v>13110</v>
      </c>
      <c r="V679" t="s">
        <v>13111</v>
      </c>
      <c r="W679" t="s">
        <v>13112</v>
      </c>
      <c r="X679" t="s">
        <v>13113</v>
      </c>
      <c r="Y679" t="s">
        <v>13114</v>
      </c>
      <c r="Z679" t="s">
        <v>13115</v>
      </c>
      <c r="AA679" t="s">
        <v>13116</v>
      </c>
      <c r="AB679" t="s">
        <v>13117</v>
      </c>
      <c r="AC679" t="s">
        <v>13118</v>
      </c>
      <c r="AD679" t="s">
        <v>13119</v>
      </c>
      <c r="AE679" t="s">
        <v>13120</v>
      </c>
      <c r="AF679" t="s">
        <v>74</v>
      </c>
      <c r="AG679">
        <v>65</v>
      </c>
      <c r="AH679">
        <v>8</v>
      </c>
      <c r="AI679">
        <v>8</v>
      </c>
      <c r="AJ679">
        <v>0</v>
      </c>
      <c r="AK679">
        <v>10</v>
      </c>
      <c r="AL679" t="s">
        <v>257</v>
      </c>
      <c r="AM679" t="s">
        <v>258</v>
      </c>
      <c r="AN679" t="s">
        <v>259</v>
      </c>
      <c r="AO679" t="s">
        <v>4612</v>
      </c>
      <c r="AP679" t="s">
        <v>4613</v>
      </c>
      <c r="AQ679" t="s">
        <v>74</v>
      </c>
      <c r="AR679" t="s">
        <v>4614</v>
      </c>
      <c r="AS679" t="s">
        <v>4615</v>
      </c>
      <c r="AT679" t="s">
        <v>13121</v>
      </c>
      <c r="AU679">
        <v>2018</v>
      </c>
      <c r="AV679">
        <v>54</v>
      </c>
      <c r="AW679">
        <v>4</v>
      </c>
      <c r="AX679" t="s">
        <v>74</v>
      </c>
      <c r="AY679" t="s">
        <v>74</v>
      </c>
      <c r="AZ679" t="s">
        <v>74</v>
      </c>
      <c r="BA679" t="s">
        <v>74</v>
      </c>
      <c r="BB679">
        <v>275</v>
      </c>
      <c r="BC679">
        <v>283</v>
      </c>
      <c r="BD679" t="s">
        <v>74</v>
      </c>
      <c r="BE679" t="s">
        <v>13122</v>
      </c>
      <c r="BF679" t="str">
        <f>HYPERLINK("http://dx.doi.org/10.1017/S0032247418000554","http://dx.doi.org/10.1017/S0032247418000554")</f>
        <v>http://dx.doi.org/10.1017/S0032247418000554</v>
      </c>
      <c r="BG679" t="s">
        <v>74</v>
      </c>
      <c r="BH679" t="s">
        <v>74</v>
      </c>
      <c r="BI679">
        <v>9</v>
      </c>
      <c r="BJ679" t="s">
        <v>4619</v>
      </c>
      <c r="BK679" t="s">
        <v>101</v>
      </c>
      <c r="BL679" t="s">
        <v>559</v>
      </c>
      <c r="BM679" t="s">
        <v>13123</v>
      </c>
      <c r="BN679" t="s">
        <v>74</v>
      </c>
      <c r="BO679" t="s">
        <v>74</v>
      </c>
      <c r="BP679" t="s">
        <v>74</v>
      </c>
      <c r="BQ679" t="s">
        <v>74</v>
      </c>
      <c r="BR679" t="s">
        <v>104</v>
      </c>
      <c r="BS679" t="s">
        <v>13124</v>
      </c>
      <c r="BT679" t="str">
        <f>HYPERLINK("https%3A%2F%2Fwww.webofscience.com%2Fwos%2Fwoscc%2Ffull-record%2FWOS:000459785300004","View Full Record in Web of Science")</f>
        <v>View Full Record in Web of Science</v>
      </c>
    </row>
    <row r="680" spans="1:72" x14ac:dyDescent="0.15">
      <c r="A680" t="s">
        <v>72</v>
      </c>
      <c r="B680" t="s">
        <v>13125</v>
      </c>
      <c r="C680" t="s">
        <v>74</v>
      </c>
      <c r="D680" t="s">
        <v>74</v>
      </c>
      <c r="E680" t="s">
        <v>74</v>
      </c>
      <c r="F680" t="s">
        <v>13126</v>
      </c>
      <c r="G680" t="s">
        <v>74</v>
      </c>
      <c r="H680" t="s">
        <v>74</v>
      </c>
      <c r="I680" t="s">
        <v>13127</v>
      </c>
      <c r="J680" t="s">
        <v>13128</v>
      </c>
      <c r="K680" t="s">
        <v>74</v>
      </c>
      <c r="L680" t="s">
        <v>74</v>
      </c>
      <c r="M680" t="s">
        <v>78</v>
      </c>
      <c r="N680" t="s">
        <v>79</v>
      </c>
      <c r="O680" t="s">
        <v>74</v>
      </c>
      <c r="P680" t="s">
        <v>74</v>
      </c>
      <c r="Q680" t="s">
        <v>74</v>
      </c>
      <c r="R680" t="s">
        <v>74</v>
      </c>
      <c r="S680" t="s">
        <v>74</v>
      </c>
      <c r="T680" t="s">
        <v>13129</v>
      </c>
      <c r="U680" t="s">
        <v>13130</v>
      </c>
      <c r="V680" t="s">
        <v>13131</v>
      </c>
      <c r="W680" t="s">
        <v>13132</v>
      </c>
      <c r="X680" t="s">
        <v>13133</v>
      </c>
      <c r="Y680" t="s">
        <v>13134</v>
      </c>
      <c r="Z680" t="s">
        <v>13135</v>
      </c>
      <c r="AA680" t="s">
        <v>13136</v>
      </c>
      <c r="AB680" t="s">
        <v>13137</v>
      </c>
      <c r="AC680" t="s">
        <v>13138</v>
      </c>
      <c r="AD680" t="s">
        <v>13139</v>
      </c>
      <c r="AE680" t="s">
        <v>13140</v>
      </c>
      <c r="AF680" t="s">
        <v>74</v>
      </c>
      <c r="AG680">
        <v>38</v>
      </c>
      <c r="AH680">
        <v>4</v>
      </c>
      <c r="AI680">
        <v>5</v>
      </c>
      <c r="AJ680">
        <v>1</v>
      </c>
      <c r="AK680">
        <v>65</v>
      </c>
      <c r="AL680" t="s">
        <v>758</v>
      </c>
      <c r="AM680" t="s">
        <v>759</v>
      </c>
      <c r="AN680" t="s">
        <v>760</v>
      </c>
      <c r="AO680" t="s">
        <v>13141</v>
      </c>
      <c r="AP680" t="s">
        <v>13142</v>
      </c>
      <c r="AQ680" t="s">
        <v>74</v>
      </c>
      <c r="AR680" t="s">
        <v>13143</v>
      </c>
      <c r="AS680" t="s">
        <v>13144</v>
      </c>
      <c r="AT680" t="s">
        <v>13121</v>
      </c>
      <c r="AU680">
        <v>2018</v>
      </c>
      <c r="AV680">
        <v>99</v>
      </c>
      <c r="AW680">
        <v>3</v>
      </c>
      <c r="AX680" t="s">
        <v>74</v>
      </c>
      <c r="AY680" t="s">
        <v>74</v>
      </c>
      <c r="AZ680" t="s">
        <v>74</v>
      </c>
      <c r="BA680" t="s">
        <v>74</v>
      </c>
      <c r="BB680">
        <v>281</v>
      </c>
      <c r="BC680">
        <v>295</v>
      </c>
      <c r="BD680" t="s">
        <v>74</v>
      </c>
      <c r="BE680" t="s">
        <v>13145</v>
      </c>
      <c r="BF680" t="str">
        <f>HYPERLINK("http://dx.doi.org/10.1111/azo.12212","http://dx.doi.org/10.1111/azo.12212")</f>
        <v>http://dx.doi.org/10.1111/azo.12212</v>
      </c>
      <c r="BG680" t="s">
        <v>74</v>
      </c>
      <c r="BH680" t="s">
        <v>74</v>
      </c>
      <c r="BI680">
        <v>15</v>
      </c>
      <c r="BJ680" t="s">
        <v>13146</v>
      </c>
      <c r="BK680" t="s">
        <v>101</v>
      </c>
      <c r="BL680" t="s">
        <v>13146</v>
      </c>
      <c r="BM680" t="s">
        <v>13147</v>
      </c>
      <c r="BN680" t="s">
        <v>74</v>
      </c>
      <c r="BO680" t="s">
        <v>74</v>
      </c>
      <c r="BP680" t="s">
        <v>74</v>
      </c>
      <c r="BQ680" t="s">
        <v>74</v>
      </c>
      <c r="BR680" t="s">
        <v>104</v>
      </c>
      <c r="BS680" t="s">
        <v>13148</v>
      </c>
      <c r="BT680" t="str">
        <f>HYPERLINK("https%3A%2F%2Fwww.webofscience.com%2Fwos%2Fwoscc%2Ffull-record%2FWOS:000434943900007","View Full Record in Web of Science")</f>
        <v>View Full Record in Web of Science</v>
      </c>
    </row>
    <row r="681" spans="1:72" x14ac:dyDescent="0.15">
      <c r="A681" t="s">
        <v>72</v>
      </c>
      <c r="B681" t="s">
        <v>13149</v>
      </c>
      <c r="C681" t="s">
        <v>74</v>
      </c>
      <c r="D681" t="s">
        <v>74</v>
      </c>
      <c r="E681" t="s">
        <v>74</v>
      </c>
      <c r="F681" t="s">
        <v>13150</v>
      </c>
      <c r="G681" t="s">
        <v>74</v>
      </c>
      <c r="H681" t="s">
        <v>74</v>
      </c>
      <c r="I681" t="s">
        <v>13151</v>
      </c>
      <c r="J681" t="s">
        <v>13152</v>
      </c>
      <c r="K681" t="s">
        <v>74</v>
      </c>
      <c r="L681" t="s">
        <v>74</v>
      </c>
      <c r="M681" t="s">
        <v>78</v>
      </c>
      <c r="N681" t="s">
        <v>79</v>
      </c>
      <c r="O681" t="s">
        <v>74</v>
      </c>
      <c r="P681" t="s">
        <v>74</v>
      </c>
      <c r="Q681" t="s">
        <v>74</v>
      </c>
      <c r="R681" t="s">
        <v>74</v>
      </c>
      <c r="S681" t="s">
        <v>74</v>
      </c>
      <c r="T681" t="s">
        <v>13153</v>
      </c>
      <c r="U681" t="s">
        <v>13154</v>
      </c>
      <c r="V681" t="s">
        <v>13155</v>
      </c>
      <c r="W681" t="s">
        <v>13156</v>
      </c>
      <c r="X681" t="s">
        <v>13157</v>
      </c>
      <c r="Y681" t="s">
        <v>13158</v>
      </c>
      <c r="Z681" t="s">
        <v>13159</v>
      </c>
      <c r="AA681" t="s">
        <v>13160</v>
      </c>
      <c r="AB681" t="s">
        <v>13161</v>
      </c>
      <c r="AC681" t="s">
        <v>74</v>
      </c>
      <c r="AD681" t="s">
        <v>74</v>
      </c>
      <c r="AE681" t="s">
        <v>74</v>
      </c>
      <c r="AF681" t="s">
        <v>74</v>
      </c>
      <c r="AG681">
        <v>38</v>
      </c>
      <c r="AH681">
        <v>21</v>
      </c>
      <c r="AI681">
        <v>21</v>
      </c>
      <c r="AJ681">
        <v>4</v>
      </c>
      <c r="AK681">
        <v>75</v>
      </c>
      <c r="AL681" t="s">
        <v>676</v>
      </c>
      <c r="AM681" t="s">
        <v>677</v>
      </c>
      <c r="AN681" t="s">
        <v>678</v>
      </c>
      <c r="AO681" t="s">
        <v>13162</v>
      </c>
      <c r="AP681" t="s">
        <v>13163</v>
      </c>
      <c r="AQ681" t="s">
        <v>74</v>
      </c>
      <c r="AR681" t="s">
        <v>13164</v>
      </c>
      <c r="AS681" t="s">
        <v>13165</v>
      </c>
      <c r="AT681" t="s">
        <v>13121</v>
      </c>
      <c r="AU681">
        <v>2018</v>
      </c>
      <c r="AV681">
        <v>410</v>
      </c>
      <c r="AW681">
        <v>18</v>
      </c>
      <c r="AX681" t="s">
        <v>74</v>
      </c>
      <c r="AY681" t="s">
        <v>74</v>
      </c>
      <c r="AZ681" t="s">
        <v>74</v>
      </c>
      <c r="BA681" t="s">
        <v>74</v>
      </c>
      <c r="BB681">
        <v>4469</v>
      </c>
      <c r="BC681">
        <v>4479</v>
      </c>
      <c r="BD681" t="s">
        <v>74</v>
      </c>
      <c r="BE681" t="s">
        <v>13166</v>
      </c>
      <c r="BF681" t="str">
        <f>HYPERLINK("http://dx.doi.org/10.1007/s00216-018-1102-y","http://dx.doi.org/10.1007/s00216-018-1102-y")</f>
        <v>http://dx.doi.org/10.1007/s00216-018-1102-y</v>
      </c>
      <c r="BG681" t="s">
        <v>74</v>
      </c>
      <c r="BH681" t="s">
        <v>74</v>
      </c>
      <c r="BI681">
        <v>11</v>
      </c>
      <c r="BJ681" t="s">
        <v>13167</v>
      </c>
      <c r="BK681" t="s">
        <v>101</v>
      </c>
      <c r="BL681" t="s">
        <v>13168</v>
      </c>
      <c r="BM681" t="s">
        <v>13169</v>
      </c>
      <c r="BN681">
        <v>29721576</v>
      </c>
      <c r="BO681" t="s">
        <v>74</v>
      </c>
      <c r="BP681" t="s">
        <v>74</v>
      </c>
      <c r="BQ681" t="s">
        <v>74</v>
      </c>
      <c r="BR681" t="s">
        <v>104</v>
      </c>
      <c r="BS681" t="s">
        <v>13170</v>
      </c>
      <c r="BT681" t="str">
        <f>HYPERLINK("https%3A%2F%2Fwww.webofscience.com%2Fwos%2Fwoscc%2Ffull-record%2FWOS:000436550200023","View Full Record in Web of Science")</f>
        <v>View Full Record in Web of Science</v>
      </c>
    </row>
    <row r="682" spans="1:72" x14ac:dyDescent="0.15">
      <c r="A682" t="s">
        <v>72</v>
      </c>
      <c r="B682" t="s">
        <v>13171</v>
      </c>
      <c r="C682" t="s">
        <v>74</v>
      </c>
      <c r="D682" t="s">
        <v>74</v>
      </c>
      <c r="E682" t="s">
        <v>74</v>
      </c>
      <c r="F682" t="s">
        <v>13172</v>
      </c>
      <c r="G682" t="s">
        <v>74</v>
      </c>
      <c r="H682" t="s">
        <v>74</v>
      </c>
      <c r="I682" t="s">
        <v>13173</v>
      </c>
      <c r="J682" t="s">
        <v>13174</v>
      </c>
      <c r="K682" t="s">
        <v>74</v>
      </c>
      <c r="L682" t="s">
        <v>74</v>
      </c>
      <c r="M682" t="s">
        <v>78</v>
      </c>
      <c r="N682" t="s">
        <v>133</v>
      </c>
      <c r="O682" t="s">
        <v>13175</v>
      </c>
      <c r="P682" t="s">
        <v>13176</v>
      </c>
      <c r="Q682" t="s">
        <v>13177</v>
      </c>
      <c r="R682" t="s">
        <v>74</v>
      </c>
      <c r="S682" t="s">
        <v>74</v>
      </c>
      <c r="T682" t="s">
        <v>13178</v>
      </c>
      <c r="U682" t="s">
        <v>13179</v>
      </c>
      <c r="V682" t="s">
        <v>13180</v>
      </c>
      <c r="W682" t="s">
        <v>13181</v>
      </c>
      <c r="X682" t="s">
        <v>13182</v>
      </c>
      <c r="Y682" t="s">
        <v>13183</v>
      </c>
      <c r="Z682" t="s">
        <v>13184</v>
      </c>
      <c r="AA682" t="s">
        <v>13185</v>
      </c>
      <c r="AB682" t="s">
        <v>13186</v>
      </c>
      <c r="AC682" t="s">
        <v>13187</v>
      </c>
      <c r="AD682" t="s">
        <v>13188</v>
      </c>
      <c r="AE682" t="s">
        <v>13189</v>
      </c>
      <c r="AF682" t="s">
        <v>74</v>
      </c>
      <c r="AG682">
        <v>19</v>
      </c>
      <c r="AH682">
        <v>1</v>
      </c>
      <c r="AI682">
        <v>2</v>
      </c>
      <c r="AJ682">
        <v>0</v>
      </c>
      <c r="AK682">
        <v>9</v>
      </c>
      <c r="AL682" t="s">
        <v>257</v>
      </c>
      <c r="AM682" t="s">
        <v>730</v>
      </c>
      <c r="AN682" t="s">
        <v>1559</v>
      </c>
      <c r="AO682" t="s">
        <v>13190</v>
      </c>
      <c r="AP682" t="s">
        <v>13191</v>
      </c>
      <c r="AQ682" t="s">
        <v>74</v>
      </c>
      <c r="AR682" t="s">
        <v>13192</v>
      </c>
      <c r="AS682" t="s">
        <v>13193</v>
      </c>
      <c r="AT682" t="s">
        <v>13121</v>
      </c>
      <c r="AU682">
        <v>2018</v>
      </c>
      <c r="AV682">
        <v>59</v>
      </c>
      <c r="AW682">
        <v>76</v>
      </c>
      <c r="AX682">
        <v>2</v>
      </c>
      <c r="AY682" t="s">
        <v>74</v>
      </c>
      <c r="AZ682" t="s">
        <v>74</v>
      </c>
      <c r="BA682" t="s">
        <v>74</v>
      </c>
      <c r="BB682">
        <v>201</v>
      </c>
      <c r="BC682">
        <v>212</v>
      </c>
      <c r="BD682" t="s">
        <v>74</v>
      </c>
      <c r="BE682" t="s">
        <v>13194</v>
      </c>
      <c r="BF682" t="str">
        <f>HYPERLINK("http://dx.doi.org/10.1017/aog.2018.1","http://dx.doi.org/10.1017/aog.2018.1")</f>
        <v>http://dx.doi.org/10.1017/aog.2018.1</v>
      </c>
      <c r="BG682" t="s">
        <v>74</v>
      </c>
      <c r="BH682" t="s">
        <v>74</v>
      </c>
      <c r="BI682">
        <v>12</v>
      </c>
      <c r="BJ682" t="s">
        <v>208</v>
      </c>
      <c r="BK682" t="s">
        <v>158</v>
      </c>
      <c r="BL682" t="s">
        <v>209</v>
      </c>
      <c r="BM682" t="s">
        <v>13195</v>
      </c>
      <c r="BN682" t="s">
        <v>74</v>
      </c>
      <c r="BO682" t="s">
        <v>8651</v>
      </c>
      <c r="BP682" t="s">
        <v>74</v>
      </c>
      <c r="BQ682" t="s">
        <v>74</v>
      </c>
      <c r="BR682" t="s">
        <v>104</v>
      </c>
      <c r="BS682" t="s">
        <v>13196</v>
      </c>
      <c r="BT682" t="str">
        <f>HYPERLINK("https%3A%2F%2Fwww.webofscience.com%2Fwos%2Fwoscc%2Ffull-record%2FWOS:000440821800012","View Full Record in Web of Science")</f>
        <v>View Full Record in Web of Science</v>
      </c>
    </row>
    <row r="683" spans="1:72" x14ac:dyDescent="0.15">
      <c r="A683" t="s">
        <v>72</v>
      </c>
      <c r="B683" t="s">
        <v>13197</v>
      </c>
      <c r="C683" t="s">
        <v>74</v>
      </c>
      <c r="D683" t="s">
        <v>74</v>
      </c>
      <c r="E683" t="s">
        <v>74</v>
      </c>
      <c r="F683" t="s">
        <v>13198</v>
      </c>
      <c r="G683" t="s">
        <v>74</v>
      </c>
      <c r="H683" t="s">
        <v>74</v>
      </c>
      <c r="I683" t="s">
        <v>13199</v>
      </c>
      <c r="J683" t="s">
        <v>13200</v>
      </c>
      <c r="K683" t="s">
        <v>74</v>
      </c>
      <c r="L683" t="s">
        <v>74</v>
      </c>
      <c r="M683" t="s">
        <v>78</v>
      </c>
      <c r="N683" t="s">
        <v>79</v>
      </c>
      <c r="O683" t="s">
        <v>74</v>
      </c>
      <c r="P683" t="s">
        <v>74</v>
      </c>
      <c r="Q683" t="s">
        <v>74</v>
      </c>
      <c r="R683" t="s">
        <v>74</v>
      </c>
      <c r="S683" t="s">
        <v>74</v>
      </c>
      <c r="T683" t="s">
        <v>13201</v>
      </c>
      <c r="U683" t="s">
        <v>74</v>
      </c>
      <c r="V683" t="s">
        <v>13202</v>
      </c>
      <c r="W683" t="s">
        <v>13203</v>
      </c>
      <c r="X683" t="s">
        <v>13204</v>
      </c>
      <c r="Y683" t="s">
        <v>13205</v>
      </c>
      <c r="Z683" t="s">
        <v>13206</v>
      </c>
      <c r="AA683" t="s">
        <v>13207</v>
      </c>
      <c r="AB683" t="s">
        <v>74</v>
      </c>
      <c r="AC683" t="s">
        <v>13208</v>
      </c>
      <c r="AD683" t="s">
        <v>13209</v>
      </c>
      <c r="AE683" t="s">
        <v>13210</v>
      </c>
      <c r="AF683" t="s">
        <v>74</v>
      </c>
      <c r="AG683">
        <v>14</v>
      </c>
      <c r="AH683">
        <v>10</v>
      </c>
      <c r="AI683">
        <v>11</v>
      </c>
      <c r="AJ683">
        <v>0</v>
      </c>
      <c r="AK683">
        <v>9</v>
      </c>
      <c r="AL683" t="s">
        <v>285</v>
      </c>
      <c r="AM683" t="s">
        <v>286</v>
      </c>
      <c r="AN683" t="s">
        <v>287</v>
      </c>
      <c r="AO683" t="s">
        <v>13211</v>
      </c>
      <c r="AP683" t="s">
        <v>13212</v>
      </c>
      <c r="AQ683" t="s">
        <v>74</v>
      </c>
      <c r="AR683" t="s">
        <v>13213</v>
      </c>
      <c r="AS683" t="s">
        <v>13214</v>
      </c>
      <c r="AT683" t="s">
        <v>13121</v>
      </c>
      <c r="AU683">
        <v>2018</v>
      </c>
      <c r="AV683">
        <v>24</v>
      </c>
      <c r="AW683" t="s">
        <v>74</v>
      </c>
      <c r="AX683" t="s">
        <v>74</v>
      </c>
      <c r="AY683" t="s">
        <v>74</v>
      </c>
      <c r="AZ683" t="s">
        <v>74</v>
      </c>
      <c r="BA683" t="s">
        <v>74</v>
      </c>
      <c r="BB683">
        <v>17</v>
      </c>
      <c r="BC683">
        <v>24</v>
      </c>
      <c r="BD683" t="s">
        <v>74</v>
      </c>
      <c r="BE683" t="s">
        <v>13215</v>
      </c>
      <c r="BF683" t="str">
        <f>HYPERLINK("http://dx.doi.org/10.1016/j.ascom.2018.04.005","http://dx.doi.org/10.1016/j.ascom.2018.04.005")</f>
        <v>http://dx.doi.org/10.1016/j.ascom.2018.04.005</v>
      </c>
      <c r="BG683" t="s">
        <v>74</v>
      </c>
      <c r="BH683" t="s">
        <v>74</v>
      </c>
      <c r="BI683">
        <v>8</v>
      </c>
      <c r="BJ683" t="s">
        <v>13216</v>
      </c>
      <c r="BK683" t="s">
        <v>101</v>
      </c>
      <c r="BL683" t="s">
        <v>13217</v>
      </c>
      <c r="BM683" t="s">
        <v>13218</v>
      </c>
      <c r="BN683" t="s">
        <v>74</v>
      </c>
      <c r="BO683" t="s">
        <v>74</v>
      </c>
      <c r="BP683" t="s">
        <v>74</v>
      </c>
      <c r="BQ683" t="s">
        <v>74</v>
      </c>
      <c r="BR683" t="s">
        <v>104</v>
      </c>
      <c r="BS683" t="s">
        <v>13219</v>
      </c>
      <c r="BT683" t="str">
        <f>HYPERLINK("https%3A%2F%2Fwww.webofscience.com%2Fwos%2Fwoscc%2Ffull-record%2FWOS:000444276100002","View Full Record in Web of Science")</f>
        <v>View Full Record in Web of Science</v>
      </c>
    </row>
    <row r="684" spans="1:72" x14ac:dyDescent="0.15">
      <c r="A684" t="s">
        <v>72</v>
      </c>
      <c r="B684" t="s">
        <v>13220</v>
      </c>
      <c r="C684" t="s">
        <v>74</v>
      </c>
      <c r="D684" t="s">
        <v>74</v>
      </c>
      <c r="E684" t="s">
        <v>74</v>
      </c>
      <c r="F684" t="s">
        <v>13221</v>
      </c>
      <c r="G684" t="s">
        <v>74</v>
      </c>
      <c r="H684" t="s">
        <v>74</v>
      </c>
      <c r="I684" t="s">
        <v>13222</v>
      </c>
      <c r="J684" t="s">
        <v>13223</v>
      </c>
      <c r="K684" t="s">
        <v>74</v>
      </c>
      <c r="L684" t="s">
        <v>74</v>
      </c>
      <c r="M684" t="s">
        <v>78</v>
      </c>
      <c r="N684" t="s">
        <v>79</v>
      </c>
      <c r="O684" t="s">
        <v>74</v>
      </c>
      <c r="P684" t="s">
        <v>74</v>
      </c>
      <c r="Q684" t="s">
        <v>74</v>
      </c>
      <c r="R684" t="s">
        <v>74</v>
      </c>
      <c r="S684" t="s">
        <v>74</v>
      </c>
      <c r="T684" t="s">
        <v>13224</v>
      </c>
      <c r="U684" t="s">
        <v>13225</v>
      </c>
      <c r="V684" t="s">
        <v>13226</v>
      </c>
      <c r="W684" t="s">
        <v>13227</v>
      </c>
      <c r="X684" t="s">
        <v>13228</v>
      </c>
      <c r="Y684" t="s">
        <v>13229</v>
      </c>
      <c r="Z684" t="s">
        <v>13230</v>
      </c>
      <c r="AA684" t="s">
        <v>74</v>
      </c>
      <c r="AB684" t="s">
        <v>13231</v>
      </c>
      <c r="AC684" t="s">
        <v>13232</v>
      </c>
      <c r="AD684" t="s">
        <v>13233</v>
      </c>
      <c r="AE684" t="s">
        <v>13234</v>
      </c>
      <c r="AF684" t="s">
        <v>74</v>
      </c>
      <c r="AG684">
        <v>114</v>
      </c>
      <c r="AH684">
        <v>11</v>
      </c>
      <c r="AI684">
        <v>12</v>
      </c>
      <c r="AJ684">
        <v>2</v>
      </c>
      <c r="AK684">
        <v>26</v>
      </c>
      <c r="AL684" t="s">
        <v>337</v>
      </c>
      <c r="AM684" t="s">
        <v>258</v>
      </c>
      <c r="AN684" t="s">
        <v>387</v>
      </c>
      <c r="AO684" t="s">
        <v>13235</v>
      </c>
      <c r="AP684" t="s">
        <v>13236</v>
      </c>
      <c r="AQ684" t="s">
        <v>74</v>
      </c>
      <c r="AR684" t="s">
        <v>13237</v>
      </c>
      <c r="AS684" t="s">
        <v>13238</v>
      </c>
      <c r="AT684" t="s">
        <v>13121</v>
      </c>
      <c r="AU684">
        <v>2018</v>
      </c>
      <c r="AV684">
        <v>72</v>
      </c>
      <c r="AW684">
        <v>7</v>
      </c>
      <c r="AX684" t="s">
        <v>74</v>
      </c>
      <c r="AY684" t="s">
        <v>74</v>
      </c>
      <c r="AZ684" t="s">
        <v>74</v>
      </c>
      <c r="BA684" t="s">
        <v>74</v>
      </c>
      <c r="BB684" t="s">
        <v>74</v>
      </c>
      <c r="BC684" t="s">
        <v>74</v>
      </c>
      <c r="BD684">
        <v>108</v>
      </c>
      <c r="BE684" t="s">
        <v>13239</v>
      </c>
      <c r="BF684" t="str">
        <f>HYPERLINK("http://dx.doi.org/10.1007/s00265-018-2521-7","http://dx.doi.org/10.1007/s00265-018-2521-7")</f>
        <v>http://dx.doi.org/10.1007/s00265-018-2521-7</v>
      </c>
      <c r="BG684" t="s">
        <v>74</v>
      </c>
      <c r="BH684" t="s">
        <v>74</v>
      </c>
      <c r="BI684">
        <v>12</v>
      </c>
      <c r="BJ684" t="s">
        <v>13240</v>
      </c>
      <c r="BK684" t="s">
        <v>101</v>
      </c>
      <c r="BL684" t="s">
        <v>13241</v>
      </c>
      <c r="BM684" t="s">
        <v>13242</v>
      </c>
      <c r="BN684" t="s">
        <v>74</v>
      </c>
      <c r="BO684" t="s">
        <v>74</v>
      </c>
      <c r="BP684" t="s">
        <v>74</v>
      </c>
      <c r="BQ684" t="s">
        <v>74</v>
      </c>
      <c r="BR684" t="s">
        <v>104</v>
      </c>
      <c r="BS684" t="s">
        <v>13243</v>
      </c>
      <c r="BT684" t="str">
        <f>HYPERLINK("https%3A%2F%2Fwww.webofscience.com%2Fwos%2Fwoscc%2Ffull-record%2FWOS:000435334100001","View Full Record in Web of Science")</f>
        <v>View Full Record in Web of Science</v>
      </c>
    </row>
    <row r="685" spans="1:72" x14ac:dyDescent="0.15">
      <c r="A685" t="s">
        <v>72</v>
      </c>
      <c r="B685" t="s">
        <v>13244</v>
      </c>
      <c r="C685" t="s">
        <v>74</v>
      </c>
      <c r="D685" t="s">
        <v>74</v>
      </c>
      <c r="E685" t="s">
        <v>74</v>
      </c>
      <c r="F685" t="s">
        <v>13245</v>
      </c>
      <c r="G685" t="s">
        <v>74</v>
      </c>
      <c r="H685" t="s">
        <v>74</v>
      </c>
      <c r="I685" t="s">
        <v>13246</v>
      </c>
      <c r="J685" t="s">
        <v>13247</v>
      </c>
      <c r="K685" t="s">
        <v>74</v>
      </c>
      <c r="L685" t="s">
        <v>74</v>
      </c>
      <c r="M685" t="s">
        <v>13248</v>
      </c>
      <c r="N685" t="s">
        <v>79</v>
      </c>
      <c r="O685" t="s">
        <v>74</v>
      </c>
      <c r="P685" t="s">
        <v>74</v>
      </c>
      <c r="Q685" t="s">
        <v>74</v>
      </c>
      <c r="R685" t="s">
        <v>74</v>
      </c>
      <c r="S685" t="s">
        <v>74</v>
      </c>
      <c r="T685" t="s">
        <v>13249</v>
      </c>
      <c r="U685" t="s">
        <v>13250</v>
      </c>
      <c r="V685" t="s">
        <v>13251</v>
      </c>
      <c r="W685" t="s">
        <v>13252</v>
      </c>
      <c r="X685" t="s">
        <v>13253</v>
      </c>
      <c r="Y685" t="s">
        <v>13254</v>
      </c>
      <c r="Z685" t="s">
        <v>13255</v>
      </c>
      <c r="AA685" t="s">
        <v>74</v>
      </c>
      <c r="AB685" t="s">
        <v>74</v>
      </c>
      <c r="AC685" t="s">
        <v>74</v>
      </c>
      <c r="AD685" t="s">
        <v>74</v>
      </c>
      <c r="AE685" t="s">
        <v>74</v>
      </c>
      <c r="AF685" t="s">
        <v>74</v>
      </c>
      <c r="AG685">
        <v>45</v>
      </c>
      <c r="AH685">
        <v>2</v>
      </c>
      <c r="AI685">
        <v>4</v>
      </c>
      <c r="AJ685">
        <v>5</v>
      </c>
      <c r="AK685">
        <v>48</v>
      </c>
      <c r="AL685" t="s">
        <v>1793</v>
      </c>
      <c r="AM685" t="s">
        <v>1794</v>
      </c>
      <c r="AN685" t="s">
        <v>1795</v>
      </c>
      <c r="AO685" t="s">
        <v>13256</v>
      </c>
      <c r="AP685" t="s">
        <v>74</v>
      </c>
      <c r="AQ685" t="s">
        <v>74</v>
      </c>
      <c r="AR685" t="s">
        <v>13257</v>
      </c>
      <c r="AS685" t="s">
        <v>13258</v>
      </c>
      <c r="AT685" t="s">
        <v>13121</v>
      </c>
      <c r="AU685">
        <v>2018</v>
      </c>
      <c r="AV685">
        <v>61</v>
      </c>
      <c r="AW685">
        <v>7</v>
      </c>
      <c r="AX685" t="s">
        <v>74</v>
      </c>
      <c r="AY685" t="s">
        <v>74</v>
      </c>
      <c r="AZ685" t="s">
        <v>74</v>
      </c>
      <c r="BA685" t="s">
        <v>74</v>
      </c>
      <c r="BB685">
        <v>2679</v>
      </c>
      <c r="BC685">
        <v>2690</v>
      </c>
      <c r="BD685" t="s">
        <v>74</v>
      </c>
      <c r="BE685" t="s">
        <v>13259</v>
      </c>
      <c r="BF685" t="str">
        <f>HYPERLINK("http://dx.doi.org/10.6038/cjg2018L0335","http://dx.doi.org/10.6038/cjg2018L0335")</f>
        <v>http://dx.doi.org/10.6038/cjg2018L0335</v>
      </c>
      <c r="BG685" t="s">
        <v>74</v>
      </c>
      <c r="BH685" t="s">
        <v>74</v>
      </c>
      <c r="BI685">
        <v>12</v>
      </c>
      <c r="BJ685" t="s">
        <v>484</v>
      </c>
      <c r="BK685" t="s">
        <v>101</v>
      </c>
      <c r="BL685" t="s">
        <v>484</v>
      </c>
      <c r="BM685" t="s">
        <v>13260</v>
      </c>
      <c r="BN685" t="s">
        <v>74</v>
      </c>
      <c r="BO685" t="s">
        <v>74</v>
      </c>
      <c r="BP685" t="s">
        <v>74</v>
      </c>
      <c r="BQ685" t="s">
        <v>74</v>
      </c>
      <c r="BR685" t="s">
        <v>104</v>
      </c>
      <c r="BS685" t="s">
        <v>13261</v>
      </c>
      <c r="BT685" t="str">
        <f>HYPERLINK("https%3A%2F%2Fwww.webofscience.com%2Fwos%2Fwoscc%2Ffull-record%2FWOS:000438837800004","View Full Record in Web of Science")</f>
        <v>View Full Record in Web of Science</v>
      </c>
    </row>
    <row r="686" spans="1:72" x14ac:dyDescent="0.15">
      <c r="A686" t="s">
        <v>72</v>
      </c>
      <c r="B686" t="s">
        <v>13262</v>
      </c>
      <c r="C686" t="s">
        <v>74</v>
      </c>
      <c r="D686" t="s">
        <v>74</v>
      </c>
      <c r="E686" t="s">
        <v>74</v>
      </c>
      <c r="F686" t="s">
        <v>13263</v>
      </c>
      <c r="G686" t="s">
        <v>74</v>
      </c>
      <c r="H686" t="s">
        <v>74</v>
      </c>
      <c r="I686" t="s">
        <v>13264</v>
      </c>
      <c r="J686" t="s">
        <v>13265</v>
      </c>
      <c r="K686" t="s">
        <v>74</v>
      </c>
      <c r="L686" t="s">
        <v>74</v>
      </c>
      <c r="M686" t="s">
        <v>78</v>
      </c>
      <c r="N686" t="s">
        <v>79</v>
      </c>
      <c r="O686" t="s">
        <v>74</v>
      </c>
      <c r="P686" t="s">
        <v>74</v>
      </c>
      <c r="Q686" t="s">
        <v>74</v>
      </c>
      <c r="R686" t="s">
        <v>74</v>
      </c>
      <c r="S686" t="s">
        <v>74</v>
      </c>
      <c r="T686" t="s">
        <v>13266</v>
      </c>
      <c r="U686" t="s">
        <v>13267</v>
      </c>
      <c r="V686" t="s">
        <v>13268</v>
      </c>
      <c r="W686" t="s">
        <v>13269</v>
      </c>
      <c r="X686" t="s">
        <v>13270</v>
      </c>
      <c r="Y686" t="s">
        <v>13271</v>
      </c>
      <c r="Z686" t="s">
        <v>13272</v>
      </c>
      <c r="AA686" t="s">
        <v>13273</v>
      </c>
      <c r="AB686" t="s">
        <v>13274</v>
      </c>
      <c r="AC686" t="s">
        <v>13275</v>
      </c>
      <c r="AD686" t="s">
        <v>13276</v>
      </c>
      <c r="AE686" t="s">
        <v>13277</v>
      </c>
      <c r="AF686" t="s">
        <v>74</v>
      </c>
      <c r="AG686">
        <v>88</v>
      </c>
      <c r="AH686">
        <v>9</v>
      </c>
      <c r="AI686">
        <v>9</v>
      </c>
      <c r="AJ686">
        <v>0</v>
      </c>
      <c r="AK686">
        <v>18</v>
      </c>
      <c r="AL686" t="s">
        <v>285</v>
      </c>
      <c r="AM686" t="s">
        <v>286</v>
      </c>
      <c r="AN686" t="s">
        <v>287</v>
      </c>
      <c r="AO686" t="s">
        <v>13278</v>
      </c>
      <c r="AP686" t="s">
        <v>13279</v>
      </c>
      <c r="AQ686" t="s">
        <v>74</v>
      </c>
      <c r="AR686" t="s">
        <v>13280</v>
      </c>
      <c r="AS686" t="s">
        <v>13281</v>
      </c>
      <c r="AT686" t="s">
        <v>13121</v>
      </c>
      <c r="AU686">
        <v>2018</v>
      </c>
      <c r="AV686">
        <v>151</v>
      </c>
      <c r="AW686" t="s">
        <v>74</v>
      </c>
      <c r="AX686" t="s">
        <v>74</v>
      </c>
      <c r="AY686" t="s">
        <v>74</v>
      </c>
      <c r="AZ686" t="s">
        <v>74</v>
      </c>
      <c r="BA686" t="s">
        <v>74</v>
      </c>
      <c r="BB686">
        <v>288</v>
      </c>
      <c r="BC686">
        <v>301</v>
      </c>
      <c r="BD686" t="s">
        <v>74</v>
      </c>
      <c r="BE686" t="s">
        <v>13282</v>
      </c>
      <c r="BF686" t="str">
        <f>HYPERLINK("http://dx.doi.org/10.1016/j.coldregions.2018.03.003","http://dx.doi.org/10.1016/j.coldregions.2018.03.003")</f>
        <v>http://dx.doi.org/10.1016/j.coldregions.2018.03.003</v>
      </c>
      <c r="BG686" t="s">
        <v>74</v>
      </c>
      <c r="BH686" t="s">
        <v>74</v>
      </c>
      <c r="BI686">
        <v>14</v>
      </c>
      <c r="BJ686" t="s">
        <v>13283</v>
      </c>
      <c r="BK686" t="s">
        <v>101</v>
      </c>
      <c r="BL686" t="s">
        <v>11574</v>
      </c>
      <c r="BM686" t="s">
        <v>13284</v>
      </c>
      <c r="BN686" t="s">
        <v>74</v>
      </c>
      <c r="BO686" t="s">
        <v>74</v>
      </c>
      <c r="BP686" t="s">
        <v>74</v>
      </c>
      <c r="BQ686" t="s">
        <v>74</v>
      </c>
      <c r="BR686" t="s">
        <v>104</v>
      </c>
      <c r="BS686" t="s">
        <v>13285</v>
      </c>
      <c r="BT686" t="str">
        <f>HYPERLINK("https%3A%2F%2Fwww.webofscience.com%2Fwos%2Fwoscc%2Ffull-record%2FWOS:000432682200028","View Full Record in Web of Science")</f>
        <v>View Full Record in Web of Science</v>
      </c>
    </row>
    <row r="687" spans="1:72" x14ac:dyDescent="0.15">
      <c r="A687" t="s">
        <v>72</v>
      </c>
      <c r="B687" t="s">
        <v>13286</v>
      </c>
      <c r="C687" t="s">
        <v>74</v>
      </c>
      <c r="D687" t="s">
        <v>74</v>
      </c>
      <c r="E687" t="s">
        <v>74</v>
      </c>
      <c r="F687" t="s">
        <v>13287</v>
      </c>
      <c r="G687" t="s">
        <v>74</v>
      </c>
      <c r="H687" t="s">
        <v>74</v>
      </c>
      <c r="I687" t="s">
        <v>13288</v>
      </c>
      <c r="J687" t="s">
        <v>466</v>
      </c>
      <c r="K687" t="s">
        <v>74</v>
      </c>
      <c r="L687" t="s">
        <v>74</v>
      </c>
      <c r="M687" t="s">
        <v>78</v>
      </c>
      <c r="N687" t="s">
        <v>79</v>
      </c>
      <c r="O687" t="s">
        <v>74</v>
      </c>
      <c r="P687" t="s">
        <v>74</v>
      </c>
      <c r="Q687" t="s">
        <v>74</v>
      </c>
      <c r="R687" t="s">
        <v>74</v>
      </c>
      <c r="S687" t="s">
        <v>74</v>
      </c>
      <c r="T687" t="s">
        <v>13289</v>
      </c>
      <c r="U687" t="s">
        <v>13290</v>
      </c>
      <c r="V687" t="s">
        <v>13291</v>
      </c>
      <c r="W687" t="s">
        <v>13292</v>
      </c>
      <c r="X687" t="s">
        <v>13293</v>
      </c>
      <c r="Y687" t="s">
        <v>13294</v>
      </c>
      <c r="Z687" t="s">
        <v>13295</v>
      </c>
      <c r="AA687" t="s">
        <v>13296</v>
      </c>
      <c r="AB687" t="s">
        <v>13297</v>
      </c>
      <c r="AC687" t="s">
        <v>13298</v>
      </c>
      <c r="AD687" t="s">
        <v>13299</v>
      </c>
      <c r="AE687" t="s">
        <v>13300</v>
      </c>
      <c r="AF687" t="s">
        <v>74</v>
      </c>
      <c r="AG687">
        <v>60</v>
      </c>
      <c r="AH687">
        <v>48</v>
      </c>
      <c r="AI687">
        <v>52</v>
      </c>
      <c r="AJ687">
        <v>2</v>
      </c>
      <c r="AK687">
        <v>46</v>
      </c>
      <c r="AL687" t="s">
        <v>430</v>
      </c>
      <c r="AM687" t="s">
        <v>286</v>
      </c>
      <c r="AN687" t="s">
        <v>431</v>
      </c>
      <c r="AO687" t="s">
        <v>479</v>
      </c>
      <c r="AP687" t="s">
        <v>480</v>
      </c>
      <c r="AQ687" t="s">
        <v>74</v>
      </c>
      <c r="AR687" t="s">
        <v>481</v>
      </c>
      <c r="AS687" t="s">
        <v>482</v>
      </c>
      <c r="AT687" t="s">
        <v>13301</v>
      </c>
      <c r="AU687">
        <v>2018</v>
      </c>
      <c r="AV687">
        <v>493</v>
      </c>
      <c r="AW687" t="s">
        <v>74</v>
      </c>
      <c r="AX687" t="s">
        <v>74</v>
      </c>
      <c r="AY687" t="s">
        <v>74</v>
      </c>
      <c r="AZ687" t="s">
        <v>74</v>
      </c>
      <c r="BA687" t="s">
        <v>74</v>
      </c>
      <c r="BB687">
        <v>92</v>
      </c>
      <c r="BC687">
        <v>101</v>
      </c>
      <c r="BD687" t="s">
        <v>74</v>
      </c>
      <c r="BE687" t="s">
        <v>13302</v>
      </c>
      <c r="BF687" t="str">
        <f>HYPERLINK("http://dx.doi.org/10.1016/j.epsl.2018.04.022","http://dx.doi.org/10.1016/j.epsl.2018.04.022")</f>
        <v>http://dx.doi.org/10.1016/j.epsl.2018.04.022</v>
      </c>
      <c r="BG687" t="s">
        <v>74</v>
      </c>
      <c r="BH687" t="s">
        <v>74</v>
      </c>
      <c r="BI687">
        <v>10</v>
      </c>
      <c r="BJ687" t="s">
        <v>484</v>
      </c>
      <c r="BK687" t="s">
        <v>101</v>
      </c>
      <c r="BL687" t="s">
        <v>484</v>
      </c>
      <c r="BM687" t="s">
        <v>13303</v>
      </c>
      <c r="BN687" t="s">
        <v>74</v>
      </c>
      <c r="BO687" t="s">
        <v>661</v>
      </c>
      <c r="BP687" t="s">
        <v>74</v>
      </c>
      <c r="BQ687" t="s">
        <v>74</v>
      </c>
      <c r="BR687" t="s">
        <v>104</v>
      </c>
      <c r="BS687" t="s">
        <v>13304</v>
      </c>
      <c r="BT687" t="str">
        <f>HYPERLINK("https%3A%2F%2Fwww.webofscience.com%2Fwos%2Fwoscc%2Ffull-record%2FWOS:000433643200009","View Full Record in Web of Science")</f>
        <v>View Full Record in Web of Science</v>
      </c>
    </row>
    <row r="688" spans="1:72" x14ac:dyDescent="0.15">
      <c r="A688" t="s">
        <v>72</v>
      </c>
      <c r="B688" t="s">
        <v>13305</v>
      </c>
      <c r="C688" t="s">
        <v>74</v>
      </c>
      <c r="D688" t="s">
        <v>74</v>
      </c>
      <c r="E688" t="s">
        <v>74</v>
      </c>
      <c r="F688" t="s">
        <v>13306</v>
      </c>
      <c r="G688" t="s">
        <v>74</v>
      </c>
      <c r="H688" t="s">
        <v>74</v>
      </c>
      <c r="I688" t="s">
        <v>13307</v>
      </c>
      <c r="J688" t="s">
        <v>517</v>
      </c>
      <c r="K688" t="s">
        <v>74</v>
      </c>
      <c r="L688" t="s">
        <v>74</v>
      </c>
      <c r="M688" t="s">
        <v>78</v>
      </c>
      <c r="N688" t="s">
        <v>273</v>
      </c>
      <c r="O688" t="s">
        <v>74</v>
      </c>
      <c r="P688" t="s">
        <v>74</v>
      </c>
      <c r="Q688" t="s">
        <v>74</v>
      </c>
      <c r="R688" t="s">
        <v>74</v>
      </c>
      <c r="S688" t="s">
        <v>74</v>
      </c>
      <c r="T688" t="s">
        <v>13308</v>
      </c>
      <c r="U688" t="s">
        <v>13309</v>
      </c>
      <c r="V688" t="s">
        <v>13310</v>
      </c>
      <c r="W688" t="s">
        <v>13311</v>
      </c>
      <c r="X688" t="s">
        <v>13312</v>
      </c>
      <c r="Y688" t="s">
        <v>13313</v>
      </c>
      <c r="Z688" t="s">
        <v>13314</v>
      </c>
      <c r="AA688" t="s">
        <v>13315</v>
      </c>
      <c r="AB688" t="s">
        <v>13316</v>
      </c>
      <c r="AC688" t="s">
        <v>13317</v>
      </c>
      <c r="AD688" t="s">
        <v>13318</v>
      </c>
      <c r="AE688" t="s">
        <v>13319</v>
      </c>
      <c r="AF688" t="s">
        <v>74</v>
      </c>
      <c r="AG688">
        <v>122</v>
      </c>
      <c r="AH688">
        <v>20</v>
      </c>
      <c r="AI688">
        <v>22</v>
      </c>
      <c r="AJ688">
        <v>2</v>
      </c>
      <c r="AK688">
        <v>47</v>
      </c>
      <c r="AL688" t="s">
        <v>285</v>
      </c>
      <c r="AM688" t="s">
        <v>286</v>
      </c>
      <c r="AN688" t="s">
        <v>287</v>
      </c>
      <c r="AO688" t="s">
        <v>529</v>
      </c>
      <c r="AP688" t="s">
        <v>530</v>
      </c>
      <c r="AQ688" t="s">
        <v>74</v>
      </c>
      <c r="AR688" t="s">
        <v>531</v>
      </c>
      <c r="AS688" t="s">
        <v>532</v>
      </c>
      <c r="AT688" t="s">
        <v>13121</v>
      </c>
      <c r="AU688">
        <v>2018</v>
      </c>
      <c r="AV688">
        <v>182</v>
      </c>
      <c r="AW688" t="s">
        <v>74</v>
      </c>
      <c r="AX688" t="s">
        <v>74</v>
      </c>
      <c r="AY688" t="s">
        <v>74</v>
      </c>
      <c r="AZ688" t="s">
        <v>74</v>
      </c>
      <c r="BA688" t="s">
        <v>74</v>
      </c>
      <c r="BB688">
        <v>186</v>
      </c>
      <c r="BC688">
        <v>203</v>
      </c>
      <c r="BD688" t="s">
        <v>74</v>
      </c>
      <c r="BE688" t="s">
        <v>13320</v>
      </c>
      <c r="BF688" t="str">
        <f>HYPERLINK("http://dx.doi.org/10.1016/j.earscirev.2018.04.008","http://dx.doi.org/10.1016/j.earscirev.2018.04.008")</f>
        <v>http://dx.doi.org/10.1016/j.earscirev.2018.04.008</v>
      </c>
      <c r="BG688" t="s">
        <v>74</v>
      </c>
      <c r="BH688" t="s">
        <v>74</v>
      </c>
      <c r="BI688">
        <v>18</v>
      </c>
      <c r="BJ688" t="s">
        <v>182</v>
      </c>
      <c r="BK688" t="s">
        <v>101</v>
      </c>
      <c r="BL688" t="s">
        <v>183</v>
      </c>
      <c r="BM688" t="s">
        <v>13321</v>
      </c>
      <c r="BN688" t="s">
        <v>74</v>
      </c>
      <c r="BO688" t="s">
        <v>9648</v>
      </c>
      <c r="BP688" t="s">
        <v>74</v>
      </c>
      <c r="BQ688" t="s">
        <v>74</v>
      </c>
      <c r="BR688" t="s">
        <v>104</v>
      </c>
      <c r="BS688" t="s">
        <v>13322</v>
      </c>
      <c r="BT688" t="str">
        <f>HYPERLINK("https%3A%2F%2Fwww.webofscience.com%2Fwos%2Fwoscc%2Ffull-record%2FWOS:000436222700010","View Full Record in Web of Science")</f>
        <v>View Full Record in Web of Science</v>
      </c>
    </row>
    <row r="689" spans="1:72" x14ac:dyDescent="0.15">
      <c r="A689" t="s">
        <v>72</v>
      </c>
      <c r="B689" t="s">
        <v>13323</v>
      </c>
      <c r="C689" t="s">
        <v>74</v>
      </c>
      <c r="D689" t="s">
        <v>74</v>
      </c>
      <c r="E689" t="s">
        <v>74</v>
      </c>
      <c r="F689" t="s">
        <v>13324</v>
      </c>
      <c r="G689" t="s">
        <v>74</v>
      </c>
      <c r="H689" t="s">
        <v>74</v>
      </c>
      <c r="I689" t="s">
        <v>13325</v>
      </c>
      <c r="J689" t="s">
        <v>13326</v>
      </c>
      <c r="K689" t="s">
        <v>74</v>
      </c>
      <c r="L689" t="s">
        <v>74</v>
      </c>
      <c r="M689" t="s">
        <v>78</v>
      </c>
      <c r="N689" t="s">
        <v>79</v>
      </c>
      <c r="O689" t="s">
        <v>74</v>
      </c>
      <c r="P689" t="s">
        <v>74</v>
      </c>
      <c r="Q689" t="s">
        <v>74</v>
      </c>
      <c r="R689" t="s">
        <v>74</v>
      </c>
      <c r="S689" t="s">
        <v>74</v>
      </c>
      <c r="T689" t="s">
        <v>13327</v>
      </c>
      <c r="U689" t="s">
        <v>13328</v>
      </c>
      <c r="V689" t="s">
        <v>13329</v>
      </c>
      <c r="W689" t="s">
        <v>13330</v>
      </c>
      <c r="X689" t="s">
        <v>13331</v>
      </c>
      <c r="Y689" t="s">
        <v>13332</v>
      </c>
      <c r="Z689" t="s">
        <v>13333</v>
      </c>
      <c r="AA689" t="s">
        <v>13334</v>
      </c>
      <c r="AB689" t="s">
        <v>13335</v>
      </c>
      <c r="AC689" t="s">
        <v>13336</v>
      </c>
      <c r="AD689" t="s">
        <v>13337</v>
      </c>
      <c r="AE689" t="s">
        <v>13338</v>
      </c>
      <c r="AF689" t="s">
        <v>74</v>
      </c>
      <c r="AG689">
        <v>44</v>
      </c>
      <c r="AH689">
        <v>19</v>
      </c>
      <c r="AI689">
        <v>20</v>
      </c>
      <c r="AJ689">
        <v>2</v>
      </c>
      <c r="AK689">
        <v>35</v>
      </c>
      <c r="AL689" t="s">
        <v>5018</v>
      </c>
      <c r="AM689" t="s">
        <v>5019</v>
      </c>
      <c r="AN689" t="s">
        <v>5020</v>
      </c>
      <c r="AO689" t="s">
        <v>13339</v>
      </c>
      <c r="AP689" t="s">
        <v>13340</v>
      </c>
      <c r="AQ689" t="s">
        <v>74</v>
      </c>
      <c r="AR689" t="s">
        <v>13326</v>
      </c>
      <c r="AS689" t="s">
        <v>13341</v>
      </c>
      <c r="AT689" t="s">
        <v>13121</v>
      </c>
      <c r="AU689">
        <v>2018</v>
      </c>
      <c r="AV689">
        <v>22</v>
      </c>
      <c r="AW689">
        <v>4</v>
      </c>
      <c r="AX689" t="s">
        <v>74</v>
      </c>
      <c r="AY689" t="s">
        <v>74</v>
      </c>
      <c r="AZ689" t="s">
        <v>74</v>
      </c>
      <c r="BA689" t="s">
        <v>74</v>
      </c>
      <c r="BB689">
        <v>607</v>
      </c>
      <c r="BC689">
        <v>616</v>
      </c>
      <c r="BD689" t="s">
        <v>74</v>
      </c>
      <c r="BE689" t="s">
        <v>13342</v>
      </c>
      <c r="BF689" t="str">
        <f>HYPERLINK("http://dx.doi.org/10.1007/s00792-018-1021-z","http://dx.doi.org/10.1007/s00792-018-1021-z")</f>
        <v>http://dx.doi.org/10.1007/s00792-018-1021-z</v>
      </c>
      <c r="BG689" t="s">
        <v>74</v>
      </c>
      <c r="BH689" t="s">
        <v>74</v>
      </c>
      <c r="BI689">
        <v>10</v>
      </c>
      <c r="BJ689" t="s">
        <v>13343</v>
      </c>
      <c r="BK689" t="s">
        <v>101</v>
      </c>
      <c r="BL689" t="s">
        <v>13343</v>
      </c>
      <c r="BM689" t="s">
        <v>13344</v>
      </c>
      <c r="BN689">
        <v>29556723</v>
      </c>
      <c r="BO689" t="s">
        <v>74</v>
      </c>
      <c r="BP689" t="s">
        <v>74</v>
      </c>
      <c r="BQ689" t="s">
        <v>74</v>
      </c>
      <c r="BR689" t="s">
        <v>104</v>
      </c>
      <c r="BS689" t="s">
        <v>13345</v>
      </c>
      <c r="BT689" t="str">
        <f>HYPERLINK("https%3A%2F%2Fwww.webofscience.com%2Fwos%2Fwoscc%2Ffull-record%2FWOS:000434355100005","View Full Record in Web of Science")</f>
        <v>View Full Record in Web of Science</v>
      </c>
    </row>
    <row r="690" spans="1:72" x14ac:dyDescent="0.15">
      <c r="A690" t="s">
        <v>72</v>
      </c>
      <c r="B690" t="s">
        <v>13346</v>
      </c>
      <c r="C690" t="s">
        <v>74</v>
      </c>
      <c r="D690" t="s">
        <v>74</v>
      </c>
      <c r="E690" t="s">
        <v>74</v>
      </c>
      <c r="F690" t="s">
        <v>13347</v>
      </c>
      <c r="G690" t="s">
        <v>74</v>
      </c>
      <c r="H690" t="s">
        <v>74</v>
      </c>
      <c r="I690" t="s">
        <v>13348</v>
      </c>
      <c r="J690" t="s">
        <v>10846</v>
      </c>
      <c r="K690" t="s">
        <v>74</v>
      </c>
      <c r="L690" t="s">
        <v>74</v>
      </c>
      <c r="M690" t="s">
        <v>78</v>
      </c>
      <c r="N690" t="s">
        <v>79</v>
      </c>
      <c r="O690" t="s">
        <v>74</v>
      </c>
      <c r="P690" t="s">
        <v>74</v>
      </c>
      <c r="Q690" t="s">
        <v>74</v>
      </c>
      <c r="R690" t="s">
        <v>74</v>
      </c>
      <c r="S690" t="s">
        <v>74</v>
      </c>
      <c r="T690" t="s">
        <v>13349</v>
      </c>
      <c r="U690" t="s">
        <v>13350</v>
      </c>
      <c r="V690" t="s">
        <v>13351</v>
      </c>
      <c r="W690" t="s">
        <v>13352</v>
      </c>
      <c r="X690" t="s">
        <v>13353</v>
      </c>
      <c r="Y690" t="s">
        <v>13354</v>
      </c>
      <c r="Z690" t="s">
        <v>13355</v>
      </c>
      <c r="AA690" t="s">
        <v>13356</v>
      </c>
      <c r="AB690" t="s">
        <v>13357</v>
      </c>
      <c r="AC690" t="s">
        <v>13358</v>
      </c>
      <c r="AD690" t="s">
        <v>13359</v>
      </c>
      <c r="AE690" t="s">
        <v>13360</v>
      </c>
      <c r="AF690" t="s">
        <v>74</v>
      </c>
      <c r="AG690">
        <v>88</v>
      </c>
      <c r="AH690">
        <v>22</v>
      </c>
      <c r="AI690">
        <v>24</v>
      </c>
      <c r="AJ690">
        <v>1</v>
      </c>
      <c r="AK690">
        <v>41</v>
      </c>
      <c r="AL690" t="s">
        <v>758</v>
      </c>
      <c r="AM690" t="s">
        <v>759</v>
      </c>
      <c r="AN690" t="s">
        <v>760</v>
      </c>
      <c r="AO690" t="s">
        <v>10858</v>
      </c>
      <c r="AP690" t="s">
        <v>10859</v>
      </c>
      <c r="AQ690" t="s">
        <v>74</v>
      </c>
      <c r="AR690" t="s">
        <v>10860</v>
      </c>
      <c r="AS690" t="s">
        <v>10861</v>
      </c>
      <c r="AT690" t="s">
        <v>13121</v>
      </c>
      <c r="AU690">
        <v>2018</v>
      </c>
      <c r="AV690">
        <v>32</v>
      </c>
      <c r="AW690">
        <v>7</v>
      </c>
      <c r="AX690" t="s">
        <v>74</v>
      </c>
      <c r="AY690" t="s">
        <v>74</v>
      </c>
      <c r="AZ690" t="s">
        <v>74</v>
      </c>
      <c r="BA690" t="s">
        <v>74</v>
      </c>
      <c r="BB690">
        <v>1832</v>
      </c>
      <c r="BC690">
        <v>1846</v>
      </c>
      <c r="BD690" t="s">
        <v>74</v>
      </c>
      <c r="BE690" t="s">
        <v>13361</v>
      </c>
      <c r="BF690" t="str">
        <f>HYPERLINK("http://dx.doi.org/10.1111/1365-2435.13120","http://dx.doi.org/10.1111/1365-2435.13120")</f>
        <v>http://dx.doi.org/10.1111/1365-2435.13120</v>
      </c>
      <c r="BG690" t="s">
        <v>74</v>
      </c>
      <c r="BH690" t="s">
        <v>74</v>
      </c>
      <c r="BI690">
        <v>15</v>
      </c>
      <c r="BJ690" t="s">
        <v>2087</v>
      </c>
      <c r="BK690" t="s">
        <v>101</v>
      </c>
      <c r="BL690" t="s">
        <v>559</v>
      </c>
      <c r="BM690" t="s">
        <v>13362</v>
      </c>
      <c r="BN690" t="s">
        <v>74</v>
      </c>
      <c r="BO690" t="s">
        <v>2444</v>
      </c>
      <c r="BP690" t="s">
        <v>74</v>
      </c>
      <c r="BQ690" t="s">
        <v>74</v>
      </c>
      <c r="BR690" t="s">
        <v>104</v>
      </c>
      <c r="BS690" t="s">
        <v>13363</v>
      </c>
      <c r="BT690" t="str">
        <f>HYPERLINK("https%3A%2F%2Fwww.webofscience.com%2Fwos%2Fwoscc%2Ffull-record%2FWOS:000437281100016","View Full Record in Web of Science")</f>
        <v>View Full Record in Web of Science</v>
      </c>
    </row>
    <row r="691" spans="1:72" x14ac:dyDescent="0.15">
      <c r="A691" t="s">
        <v>72</v>
      </c>
      <c r="B691" t="s">
        <v>13364</v>
      </c>
      <c r="C691" t="s">
        <v>74</v>
      </c>
      <c r="D691" t="s">
        <v>74</v>
      </c>
      <c r="E691" t="s">
        <v>74</v>
      </c>
      <c r="F691" t="s">
        <v>13365</v>
      </c>
      <c r="G691" t="s">
        <v>74</v>
      </c>
      <c r="H691" t="s">
        <v>74</v>
      </c>
      <c r="I691" t="s">
        <v>13366</v>
      </c>
      <c r="J691" t="s">
        <v>13367</v>
      </c>
      <c r="K691" t="s">
        <v>74</v>
      </c>
      <c r="L691" t="s">
        <v>74</v>
      </c>
      <c r="M691" t="s">
        <v>78</v>
      </c>
      <c r="N691" t="s">
        <v>79</v>
      </c>
      <c r="O691" t="s">
        <v>74</v>
      </c>
      <c r="P691" t="s">
        <v>74</v>
      </c>
      <c r="Q691" t="s">
        <v>74</v>
      </c>
      <c r="R691" t="s">
        <v>74</v>
      </c>
      <c r="S691" t="s">
        <v>74</v>
      </c>
      <c r="T691" t="s">
        <v>13368</v>
      </c>
      <c r="U691" t="s">
        <v>13369</v>
      </c>
      <c r="V691" t="s">
        <v>13370</v>
      </c>
      <c r="W691" t="s">
        <v>13371</v>
      </c>
      <c r="X691" t="s">
        <v>13372</v>
      </c>
      <c r="Y691" t="s">
        <v>13373</v>
      </c>
      <c r="Z691" t="s">
        <v>13374</v>
      </c>
      <c r="AA691" t="s">
        <v>13375</v>
      </c>
      <c r="AB691" t="s">
        <v>13376</v>
      </c>
      <c r="AC691" t="s">
        <v>13377</v>
      </c>
      <c r="AD691" t="s">
        <v>13378</v>
      </c>
      <c r="AE691" t="s">
        <v>13379</v>
      </c>
      <c r="AF691" t="s">
        <v>74</v>
      </c>
      <c r="AG691">
        <v>75</v>
      </c>
      <c r="AH691">
        <v>16</v>
      </c>
      <c r="AI691">
        <v>17</v>
      </c>
      <c r="AJ691">
        <v>2</v>
      </c>
      <c r="AK691">
        <v>23</v>
      </c>
      <c r="AL691" t="s">
        <v>758</v>
      </c>
      <c r="AM691" t="s">
        <v>759</v>
      </c>
      <c r="AN691" t="s">
        <v>760</v>
      </c>
      <c r="AO691" t="s">
        <v>13380</v>
      </c>
      <c r="AP691" t="s">
        <v>13381</v>
      </c>
      <c r="AQ691" t="s">
        <v>74</v>
      </c>
      <c r="AR691" t="s">
        <v>13367</v>
      </c>
      <c r="AS691" t="s">
        <v>13382</v>
      </c>
      <c r="AT691" t="s">
        <v>13121</v>
      </c>
      <c r="AU691">
        <v>2018</v>
      </c>
      <c r="AV691">
        <v>16</v>
      </c>
      <c r="AW691">
        <v>4</v>
      </c>
      <c r="AX691" t="s">
        <v>74</v>
      </c>
      <c r="AY691" t="s">
        <v>74</v>
      </c>
      <c r="AZ691" t="s">
        <v>74</v>
      </c>
      <c r="BA691" t="s">
        <v>74</v>
      </c>
      <c r="BB691">
        <v>369</v>
      </c>
      <c r="BC691">
        <v>377</v>
      </c>
      <c r="BD691" t="s">
        <v>74</v>
      </c>
      <c r="BE691" t="s">
        <v>13383</v>
      </c>
      <c r="BF691" t="str">
        <f>HYPERLINK("http://dx.doi.org/10.1111/gbi.12280","http://dx.doi.org/10.1111/gbi.12280")</f>
        <v>http://dx.doi.org/10.1111/gbi.12280</v>
      </c>
      <c r="BG691" t="s">
        <v>74</v>
      </c>
      <c r="BH691" t="s">
        <v>74</v>
      </c>
      <c r="BI691">
        <v>9</v>
      </c>
      <c r="BJ691" t="s">
        <v>13384</v>
      </c>
      <c r="BK691" t="s">
        <v>101</v>
      </c>
      <c r="BL691" t="s">
        <v>13385</v>
      </c>
      <c r="BM691" t="s">
        <v>13386</v>
      </c>
      <c r="BN691">
        <v>29527802</v>
      </c>
      <c r="BO691" t="s">
        <v>740</v>
      </c>
      <c r="BP691" t="s">
        <v>74</v>
      </c>
      <c r="BQ691" t="s">
        <v>74</v>
      </c>
      <c r="BR691" t="s">
        <v>104</v>
      </c>
      <c r="BS691" t="s">
        <v>13387</v>
      </c>
      <c r="BT691" t="str">
        <f>HYPERLINK("https%3A%2F%2Fwww.webofscience.com%2Fwos%2Fwoscc%2Ffull-record%2FWOS:000434965600003","View Full Record in Web of Science")</f>
        <v>View Full Record in Web of Science</v>
      </c>
    </row>
    <row r="692" spans="1:72" x14ac:dyDescent="0.15">
      <c r="A692" t="s">
        <v>72</v>
      </c>
      <c r="B692" t="s">
        <v>13388</v>
      </c>
      <c r="C692" t="s">
        <v>74</v>
      </c>
      <c r="D692" t="s">
        <v>74</v>
      </c>
      <c r="E692" t="s">
        <v>74</v>
      </c>
      <c r="F692" t="s">
        <v>13389</v>
      </c>
      <c r="G692" t="s">
        <v>74</v>
      </c>
      <c r="H692" t="s">
        <v>74</v>
      </c>
      <c r="I692" t="s">
        <v>13390</v>
      </c>
      <c r="J692" t="s">
        <v>10894</v>
      </c>
      <c r="K692" t="s">
        <v>74</v>
      </c>
      <c r="L692" t="s">
        <v>74</v>
      </c>
      <c r="M692" t="s">
        <v>78</v>
      </c>
      <c r="N692" t="s">
        <v>79</v>
      </c>
      <c r="O692" t="s">
        <v>74</v>
      </c>
      <c r="P692" t="s">
        <v>74</v>
      </c>
      <c r="Q692" t="s">
        <v>74</v>
      </c>
      <c r="R692" t="s">
        <v>74</v>
      </c>
      <c r="S692" t="s">
        <v>74</v>
      </c>
      <c r="T692" t="s">
        <v>74</v>
      </c>
      <c r="U692" t="s">
        <v>13391</v>
      </c>
      <c r="V692" t="s">
        <v>13392</v>
      </c>
      <c r="W692" t="s">
        <v>13393</v>
      </c>
      <c r="X692" t="s">
        <v>13394</v>
      </c>
      <c r="Y692" t="s">
        <v>13395</v>
      </c>
      <c r="Z692" t="s">
        <v>13396</v>
      </c>
      <c r="AA692" t="s">
        <v>13397</v>
      </c>
      <c r="AB692" t="s">
        <v>13398</v>
      </c>
      <c r="AC692" t="s">
        <v>13399</v>
      </c>
      <c r="AD692" t="s">
        <v>13400</v>
      </c>
      <c r="AE692" t="s">
        <v>13401</v>
      </c>
      <c r="AF692" t="s">
        <v>74</v>
      </c>
      <c r="AG692">
        <v>68</v>
      </c>
      <c r="AH692">
        <v>22</v>
      </c>
      <c r="AI692">
        <v>33</v>
      </c>
      <c r="AJ692">
        <v>3</v>
      </c>
      <c r="AK692">
        <v>39</v>
      </c>
      <c r="AL692" t="s">
        <v>430</v>
      </c>
      <c r="AM692" t="s">
        <v>286</v>
      </c>
      <c r="AN692" t="s">
        <v>431</v>
      </c>
      <c r="AO692" t="s">
        <v>10907</v>
      </c>
      <c r="AP692" t="s">
        <v>10908</v>
      </c>
      <c r="AQ692" t="s">
        <v>74</v>
      </c>
      <c r="AR692" t="s">
        <v>10909</v>
      </c>
      <c r="AS692" t="s">
        <v>10910</v>
      </c>
      <c r="AT692" t="s">
        <v>13121</v>
      </c>
      <c r="AU692">
        <v>2018</v>
      </c>
      <c r="AV692">
        <v>166</v>
      </c>
      <c r="AW692" t="s">
        <v>74</v>
      </c>
      <c r="AX692" t="s">
        <v>74</v>
      </c>
      <c r="AY692" t="s">
        <v>74</v>
      </c>
      <c r="AZ692" t="s">
        <v>74</v>
      </c>
      <c r="BA692" t="s">
        <v>74</v>
      </c>
      <c r="BB692">
        <v>107</v>
      </c>
      <c r="BC692">
        <v>119</v>
      </c>
      <c r="BD692" t="s">
        <v>74</v>
      </c>
      <c r="BE692" t="s">
        <v>13402</v>
      </c>
      <c r="BF692" t="str">
        <f>HYPERLINK("http://dx.doi.org/10.1016/j.gloplacha.2018.04.003","http://dx.doi.org/10.1016/j.gloplacha.2018.04.003")</f>
        <v>http://dx.doi.org/10.1016/j.gloplacha.2018.04.003</v>
      </c>
      <c r="BG692" t="s">
        <v>74</v>
      </c>
      <c r="BH692" t="s">
        <v>74</v>
      </c>
      <c r="BI692">
        <v>13</v>
      </c>
      <c r="BJ692" t="s">
        <v>208</v>
      </c>
      <c r="BK692" t="s">
        <v>101</v>
      </c>
      <c r="BL692" t="s">
        <v>209</v>
      </c>
      <c r="BM692" t="s">
        <v>13403</v>
      </c>
      <c r="BN692" t="s">
        <v>74</v>
      </c>
      <c r="BO692" t="s">
        <v>74</v>
      </c>
      <c r="BP692" t="s">
        <v>74</v>
      </c>
      <c r="BQ692" t="s">
        <v>74</v>
      </c>
      <c r="BR692" t="s">
        <v>104</v>
      </c>
      <c r="BS692" t="s">
        <v>13404</v>
      </c>
      <c r="BT692" t="str">
        <f>HYPERLINK("https%3A%2F%2Fwww.webofscience.com%2Fwos%2Fwoscc%2Ffull-record%2FWOS:000435624000009","View Full Record in Web of Science")</f>
        <v>View Full Record in Web of Science</v>
      </c>
    </row>
    <row r="693" spans="1:72" x14ac:dyDescent="0.15">
      <c r="A693" t="s">
        <v>72</v>
      </c>
      <c r="B693" t="s">
        <v>13405</v>
      </c>
      <c r="C693" t="s">
        <v>74</v>
      </c>
      <c r="D693" t="s">
        <v>74</v>
      </c>
      <c r="E693" t="s">
        <v>74</v>
      </c>
      <c r="F693" t="s">
        <v>13406</v>
      </c>
      <c r="G693" t="s">
        <v>74</v>
      </c>
      <c r="H693" t="s">
        <v>74</v>
      </c>
      <c r="I693" t="s">
        <v>13407</v>
      </c>
      <c r="J693" t="s">
        <v>2652</v>
      </c>
      <c r="K693" t="s">
        <v>74</v>
      </c>
      <c r="L693" t="s">
        <v>74</v>
      </c>
      <c r="M693" t="s">
        <v>78</v>
      </c>
      <c r="N693" t="s">
        <v>79</v>
      </c>
      <c r="O693" t="s">
        <v>74</v>
      </c>
      <c r="P693" t="s">
        <v>74</v>
      </c>
      <c r="Q693" t="s">
        <v>74</v>
      </c>
      <c r="R693" t="s">
        <v>74</v>
      </c>
      <c r="S693" t="s">
        <v>74</v>
      </c>
      <c r="T693" t="s">
        <v>13408</v>
      </c>
      <c r="U693" t="s">
        <v>13409</v>
      </c>
      <c r="V693" t="s">
        <v>13410</v>
      </c>
      <c r="W693" t="s">
        <v>13411</v>
      </c>
      <c r="X693" t="s">
        <v>13412</v>
      </c>
      <c r="Y693" t="s">
        <v>13413</v>
      </c>
      <c r="Z693" t="s">
        <v>13414</v>
      </c>
      <c r="AA693" t="s">
        <v>13415</v>
      </c>
      <c r="AB693" t="s">
        <v>13416</v>
      </c>
      <c r="AC693" t="s">
        <v>13417</v>
      </c>
      <c r="AD693" t="s">
        <v>13418</v>
      </c>
      <c r="AE693" t="s">
        <v>13419</v>
      </c>
      <c r="AF693" t="s">
        <v>74</v>
      </c>
      <c r="AG693">
        <v>44</v>
      </c>
      <c r="AH693">
        <v>10</v>
      </c>
      <c r="AI693">
        <v>14</v>
      </c>
      <c r="AJ693">
        <v>2</v>
      </c>
      <c r="AK693">
        <v>17</v>
      </c>
      <c r="AL693" t="s">
        <v>758</v>
      </c>
      <c r="AM693" t="s">
        <v>759</v>
      </c>
      <c r="AN693" t="s">
        <v>760</v>
      </c>
      <c r="AO693" t="s">
        <v>2665</v>
      </c>
      <c r="AP693" t="s">
        <v>2666</v>
      </c>
      <c r="AQ693" t="s">
        <v>74</v>
      </c>
      <c r="AR693" t="s">
        <v>2667</v>
      </c>
      <c r="AS693" t="s">
        <v>2668</v>
      </c>
      <c r="AT693" t="s">
        <v>13121</v>
      </c>
      <c r="AU693">
        <v>2018</v>
      </c>
      <c r="AV693">
        <v>24</v>
      </c>
      <c r="AW693">
        <v>7</v>
      </c>
      <c r="AX693" t="s">
        <v>74</v>
      </c>
      <c r="AY693" t="s">
        <v>74</v>
      </c>
      <c r="AZ693" t="s">
        <v>74</v>
      </c>
      <c r="BA693" t="s">
        <v>74</v>
      </c>
      <c r="BB693">
        <v>3065</v>
      </c>
      <c r="BC693">
        <v>3078</v>
      </c>
      <c r="BD693" t="s">
        <v>74</v>
      </c>
      <c r="BE693" t="s">
        <v>13420</v>
      </c>
      <c r="BF693" t="str">
        <f>HYPERLINK("http://dx.doi.org/10.1111/gcb.14161","http://dx.doi.org/10.1111/gcb.14161")</f>
        <v>http://dx.doi.org/10.1111/gcb.14161</v>
      </c>
      <c r="BG693" t="s">
        <v>74</v>
      </c>
      <c r="BH693" t="s">
        <v>74</v>
      </c>
      <c r="BI693">
        <v>14</v>
      </c>
      <c r="BJ693" t="s">
        <v>2560</v>
      </c>
      <c r="BK693" t="s">
        <v>101</v>
      </c>
      <c r="BL693" t="s">
        <v>1210</v>
      </c>
      <c r="BM693" t="s">
        <v>13421</v>
      </c>
      <c r="BN693">
        <v>29635875</v>
      </c>
      <c r="BO693" t="s">
        <v>74</v>
      </c>
      <c r="BP693" t="s">
        <v>74</v>
      </c>
      <c r="BQ693" t="s">
        <v>74</v>
      </c>
      <c r="BR693" t="s">
        <v>104</v>
      </c>
      <c r="BS693" t="s">
        <v>13422</v>
      </c>
      <c r="BT693" t="str">
        <f>HYPERLINK("https%3A%2F%2Fwww.webofscience.com%2Fwos%2Fwoscc%2Ffull-record%2FWOS:000437281500027","View Full Record in Web of Science")</f>
        <v>View Full Record in Web of Science</v>
      </c>
    </row>
    <row r="694" spans="1:72" x14ac:dyDescent="0.15">
      <c r="A694" t="s">
        <v>72</v>
      </c>
      <c r="B694" t="s">
        <v>13423</v>
      </c>
      <c r="C694" t="s">
        <v>74</v>
      </c>
      <c r="D694" t="s">
        <v>74</v>
      </c>
      <c r="E694" t="s">
        <v>74</v>
      </c>
      <c r="F694" t="s">
        <v>13424</v>
      </c>
      <c r="G694" t="s">
        <v>74</v>
      </c>
      <c r="H694" t="s">
        <v>74</v>
      </c>
      <c r="I694" t="s">
        <v>13425</v>
      </c>
      <c r="J694" t="s">
        <v>4729</v>
      </c>
      <c r="K694" t="s">
        <v>74</v>
      </c>
      <c r="L694" t="s">
        <v>74</v>
      </c>
      <c r="M694" t="s">
        <v>78</v>
      </c>
      <c r="N694" t="s">
        <v>79</v>
      </c>
      <c r="O694" t="s">
        <v>74</v>
      </c>
      <c r="P694" t="s">
        <v>74</v>
      </c>
      <c r="Q694" t="s">
        <v>74</v>
      </c>
      <c r="R694" t="s">
        <v>74</v>
      </c>
      <c r="S694" t="s">
        <v>74</v>
      </c>
      <c r="T694" t="s">
        <v>13426</v>
      </c>
      <c r="U694" t="s">
        <v>13427</v>
      </c>
      <c r="V694" t="s">
        <v>13428</v>
      </c>
      <c r="W694" t="s">
        <v>13429</v>
      </c>
      <c r="X694" t="s">
        <v>13430</v>
      </c>
      <c r="Y694" t="s">
        <v>13431</v>
      </c>
      <c r="Z694" t="s">
        <v>13432</v>
      </c>
      <c r="AA694" t="s">
        <v>13433</v>
      </c>
      <c r="AB694" t="s">
        <v>13434</v>
      </c>
      <c r="AC694" t="s">
        <v>13435</v>
      </c>
      <c r="AD694" t="s">
        <v>13436</v>
      </c>
      <c r="AE694" t="s">
        <v>13437</v>
      </c>
      <c r="AF694" t="s">
        <v>74</v>
      </c>
      <c r="AG694">
        <v>57</v>
      </c>
      <c r="AH694">
        <v>19</v>
      </c>
      <c r="AI694">
        <v>20</v>
      </c>
      <c r="AJ694">
        <v>0</v>
      </c>
      <c r="AK694">
        <v>18</v>
      </c>
      <c r="AL694" t="s">
        <v>430</v>
      </c>
      <c r="AM694" t="s">
        <v>286</v>
      </c>
      <c r="AN694" t="s">
        <v>431</v>
      </c>
      <c r="AO694" t="s">
        <v>4742</v>
      </c>
      <c r="AP694" t="s">
        <v>4743</v>
      </c>
      <c r="AQ694" t="s">
        <v>74</v>
      </c>
      <c r="AR694" t="s">
        <v>4744</v>
      </c>
      <c r="AS694" t="s">
        <v>4745</v>
      </c>
      <c r="AT694" t="s">
        <v>13121</v>
      </c>
      <c r="AU694">
        <v>2018</v>
      </c>
      <c r="AV694">
        <v>59</v>
      </c>
      <c r="AW694" t="s">
        <v>74</v>
      </c>
      <c r="AX694" t="s">
        <v>74</v>
      </c>
      <c r="AY694" t="s">
        <v>74</v>
      </c>
      <c r="AZ694" t="s">
        <v>74</v>
      </c>
      <c r="BA694" t="s">
        <v>74</v>
      </c>
      <c r="BB694">
        <v>76</v>
      </c>
      <c r="BC694">
        <v>86</v>
      </c>
      <c r="BD694" t="s">
        <v>74</v>
      </c>
      <c r="BE694" t="s">
        <v>13438</v>
      </c>
      <c r="BF694" t="str">
        <f>HYPERLINK("http://dx.doi.org/10.1016/j.gr.2018.02.021","http://dx.doi.org/10.1016/j.gr.2018.02.021")</f>
        <v>http://dx.doi.org/10.1016/j.gr.2018.02.021</v>
      </c>
      <c r="BG694" t="s">
        <v>74</v>
      </c>
      <c r="BH694" t="s">
        <v>74</v>
      </c>
      <c r="BI694">
        <v>11</v>
      </c>
      <c r="BJ694" t="s">
        <v>182</v>
      </c>
      <c r="BK694" t="s">
        <v>101</v>
      </c>
      <c r="BL694" t="s">
        <v>183</v>
      </c>
      <c r="BM694" t="s">
        <v>13439</v>
      </c>
      <c r="BN694" t="s">
        <v>74</v>
      </c>
      <c r="BO694" t="s">
        <v>346</v>
      </c>
      <c r="BP694" t="s">
        <v>74</v>
      </c>
      <c r="BQ694" t="s">
        <v>74</v>
      </c>
      <c r="BR694" t="s">
        <v>104</v>
      </c>
      <c r="BS694" t="s">
        <v>13440</v>
      </c>
      <c r="BT694" t="str">
        <f>HYPERLINK("https%3A%2F%2Fwww.webofscience.com%2Fwos%2Fwoscc%2Ffull-record%2FWOS:000440265400006","View Full Record in Web of Science")</f>
        <v>View Full Record in Web of Science</v>
      </c>
    </row>
    <row r="695" spans="1:72" x14ac:dyDescent="0.15">
      <c r="A695" t="s">
        <v>72</v>
      </c>
      <c r="B695" t="s">
        <v>13441</v>
      </c>
      <c r="C695" t="s">
        <v>74</v>
      </c>
      <c r="D695" t="s">
        <v>74</v>
      </c>
      <c r="E695" t="s">
        <v>74</v>
      </c>
      <c r="F695" t="s">
        <v>13442</v>
      </c>
      <c r="G695" t="s">
        <v>74</v>
      </c>
      <c r="H695" t="s">
        <v>74</v>
      </c>
      <c r="I695" t="s">
        <v>13443</v>
      </c>
      <c r="J695" t="s">
        <v>13444</v>
      </c>
      <c r="K695" t="s">
        <v>74</v>
      </c>
      <c r="L695" t="s">
        <v>74</v>
      </c>
      <c r="M695" t="s">
        <v>78</v>
      </c>
      <c r="N695" t="s">
        <v>79</v>
      </c>
      <c r="O695" t="s">
        <v>74</v>
      </c>
      <c r="P695" t="s">
        <v>74</v>
      </c>
      <c r="Q695" t="s">
        <v>74</v>
      </c>
      <c r="R695" t="s">
        <v>74</v>
      </c>
      <c r="S695" t="s">
        <v>74</v>
      </c>
      <c r="T695" t="s">
        <v>13445</v>
      </c>
      <c r="U695" t="s">
        <v>13446</v>
      </c>
      <c r="V695" t="s">
        <v>13447</v>
      </c>
      <c r="W695" t="s">
        <v>13448</v>
      </c>
      <c r="X695" t="s">
        <v>13449</v>
      </c>
      <c r="Y695" t="s">
        <v>13450</v>
      </c>
      <c r="Z695" t="s">
        <v>13451</v>
      </c>
      <c r="AA695" t="s">
        <v>13452</v>
      </c>
      <c r="AB695" t="s">
        <v>13453</v>
      </c>
      <c r="AC695" t="s">
        <v>74</v>
      </c>
      <c r="AD695" t="s">
        <v>74</v>
      </c>
      <c r="AE695" t="s">
        <v>74</v>
      </c>
      <c r="AF695" t="s">
        <v>74</v>
      </c>
      <c r="AG695">
        <v>129</v>
      </c>
      <c r="AH695">
        <v>14</v>
      </c>
      <c r="AI695">
        <v>17</v>
      </c>
      <c r="AJ695">
        <v>0</v>
      </c>
      <c r="AK695">
        <v>24</v>
      </c>
      <c r="AL695" t="s">
        <v>92</v>
      </c>
      <c r="AM695" t="s">
        <v>93</v>
      </c>
      <c r="AN695" t="s">
        <v>94</v>
      </c>
      <c r="AO695" t="s">
        <v>13454</v>
      </c>
      <c r="AP695" t="s">
        <v>13455</v>
      </c>
      <c r="AQ695" t="s">
        <v>74</v>
      </c>
      <c r="AR695" t="s">
        <v>13456</v>
      </c>
      <c r="AS695" t="s">
        <v>13457</v>
      </c>
      <c r="AT695" t="s">
        <v>13458</v>
      </c>
      <c r="AU695">
        <v>2018</v>
      </c>
      <c r="AV695">
        <v>75</v>
      </c>
      <c r="AW695">
        <v>4</v>
      </c>
      <c r="AX695" t="s">
        <v>74</v>
      </c>
      <c r="AY695" t="s">
        <v>74</v>
      </c>
      <c r="AZ695" t="s">
        <v>74</v>
      </c>
      <c r="BA695" t="s">
        <v>74</v>
      </c>
      <c r="BB695">
        <v>1245</v>
      </c>
      <c r="BC695">
        <v>1257</v>
      </c>
      <c r="BD695" t="s">
        <v>74</v>
      </c>
      <c r="BE695" t="s">
        <v>13459</v>
      </c>
      <c r="BF695" t="str">
        <f>HYPERLINK("http://dx.doi.org/10.1093/icesjms/fsx244","http://dx.doi.org/10.1093/icesjms/fsx244")</f>
        <v>http://dx.doi.org/10.1093/icesjms/fsx244</v>
      </c>
      <c r="BG695" t="s">
        <v>74</v>
      </c>
      <c r="BH695" t="s">
        <v>74</v>
      </c>
      <c r="BI695">
        <v>13</v>
      </c>
      <c r="BJ695" t="s">
        <v>13460</v>
      </c>
      <c r="BK695" t="s">
        <v>101</v>
      </c>
      <c r="BL695" t="s">
        <v>13460</v>
      </c>
      <c r="BM695" t="s">
        <v>13461</v>
      </c>
      <c r="BN695" t="s">
        <v>74</v>
      </c>
      <c r="BO695" t="s">
        <v>871</v>
      </c>
      <c r="BP695" t="s">
        <v>74</v>
      </c>
      <c r="BQ695" t="s">
        <v>74</v>
      </c>
      <c r="BR695" t="s">
        <v>104</v>
      </c>
      <c r="BS695" t="s">
        <v>13462</v>
      </c>
      <c r="BT695" t="str">
        <f>HYPERLINK("https%3A%2F%2Fwww.webofscience.com%2Fwos%2Fwoscc%2Ffull-record%2FWOS:000439700800004","View Full Record in Web of Science")</f>
        <v>View Full Record in Web of Science</v>
      </c>
    </row>
    <row r="696" spans="1:72" x14ac:dyDescent="0.15">
      <c r="A696" t="s">
        <v>72</v>
      </c>
      <c r="B696" t="s">
        <v>13463</v>
      </c>
      <c r="C696" t="s">
        <v>74</v>
      </c>
      <c r="D696" t="s">
        <v>74</v>
      </c>
      <c r="E696" t="s">
        <v>74</v>
      </c>
      <c r="F696" t="s">
        <v>13464</v>
      </c>
      <c r="G696" t="s">
        <v>74</v>
      </c>
      <c r="H696" t="s">
        <v>74</v>
      </c>
      <c r="I696" t="s">
        <v>13465</v>
      </c>
      <c r="J696" t="s">
        <v>10569</v>
      </c>
      <c r="K696" t="s">
        <v>74</v>
      </c>
      <c r="L696" t="s">
        <v>74</v>
      </c>
      <c r="M696" t="s">
        <v>78</v>
      </c>
      <c r="N696" t="s">
        <v>79</v>
      </c>
      <c r="O696" t="s">
        <v>74</v>
      </c>
      <c r="P696" t="s">
        <v>74</v>
      </c>
      <c r="Q696" t="s">
        <v>74</v>
      </c>
      <c r="R696" t="s">
        <v>74</v>
      </c>
      <c r="S696" t="s">
        <v>74</v>
      </c>
      <c r="T696" t="s">
        <v>13466</v>
      </c>
      <c r="U696" t="s">
        <v>13467</v>
      </c>
      <c r="V696" t="s">
        <v>13468</v>
      </c>
      <c r="W696" t="s">
        <v>13469</v>
      </c>
      <c r="X696" t="s">
        <v>13470</v>
      </c>
      <c r="Y696" t="s">
        <v>13471</v>
      </c>
      <c r="Z696" t="s">
        <v>13472</v>
      </c>
      <c r="AA696" t="s">
        <v>13473</v>
      </c>
      <c r="AB696" t="s">
        <v>74</v>
      </c>
      <c r="AC696" t="s">
        <v>13474</v>
      </c>
      <c r="AD696" t="s">
        <v>12709</v>
      </c>
      <c r="AE696" t="s">
        <v>13475</v>
      </c>
      <c r="AF696" t="s">
        <v>74</v>
      </c>
      <c r="AG696">
        <v>21</v>
      </c>
      <c r="AH696">
        <v>8</v>
      </c>
      <c r="AI696">
        <v>10</v>
      </c>
      <c r="AJ696">
        <v>4</v>
      </c>
      <c r="AK696">
        <v>18</v>
      </c>
      <c r="AL696" t="s">
        <v>6731</v>
      </c>
      <c r="AM696" t="s">
        <v>6732</v>
      </c>
      <c r="AN696" t="s">
        <v>6733</v>
      </c>
      <c r="AO696" t="s">
        <v>10582</v>
      </c>
      <c r="AP696" t="s">
        <v>10583</v>
      </c>
      <c r="AQ696" t="s">
        <v>74</v>
      </c>
      <c r="AR696" t="s">
        <v>10584</v>
      </c>
      <c r="AS696" t="s">
        <v>10585</v>
      </c>
      <c r="AT696" t="s">
        <v>13121</v>
      </c>
      <c r="AU696">
        <v>2018</v>
      </c>
      <c r="AV696">
        <v>56</v>
      </c>
      <c r="AW696">
        <v>7</v>
      </c>
      <c r="AX696" t="s">
        <v>74</v>
      </c>
      <c r="AY696" t="s">
        <v>74</v>
      </c>
      <c r="AZ696" t="s">
        <v>74</v>
      </c>
      <c r="BA696" t="s">
        <v>74</v>
      </c>
      <c r="BB696">
        <v>3657</v>
      </c>
      <c r="BC696">
        <v>3666</v>
      </c>
      <c r="BD696" t="s">
        <v>74</v>
      </c>
      <c r="BE696" t="s">
        <v>13476</v>
      </c>
      <c r="BF696" t="str">
        <f>HYPERLINK("http://dx.doi.org/10.1109/TGRS.2018.2804384","http://dx.doi.org/10.1109/TGRS.2018.2804384")</f>
        <v>http://dx.doi.org/10.1109/TGRS.2018.2804384</v>
      </c>
      <c r="BG696" t="s">
        <v>74</v>
      </c>
      <c r="BH696" t="s">
        <v>74</v>
      </c>
      <c r="BI696">
        <v>10</v>
      </c>
      <c r="BJ696" t="s">
        <v>6739</v>
      </c>
      <c r="BK696" t="s">
        <v>101</v>
      </c>
      <c r="BL696" t="s">
        <v>6740</v>
      </c>
      <c r="BM696" t="s">
        <v>13477</v>
      </c>
      <c r="BN696" t="s">
        <v>74</v>
      </c>
      <c r="BO696" t="s">
        <v>74</v>
      </c>
      <c r="BP696" t="s">
        <v>74</v>
      </c>
      <c r="BQ696" t="s">
        <v>74</v>
      </c>
      <c r="BR696" t="s">
        <v>104</v>
      </c>
      <c r="BS696" t="s">
        <v>13478</v>
      </c>
      <c r="BT696" t="str">
        <f>HYPERLINK("https%3A%2F%2Fwww.webofscience.com%2Fwos%2Fwoscc%2Ffull-record%2FWOS:000436418200003","View Full Record in Web of Science")</f>
        <v>View Full Record in Web of Science</v>
      </c>
    </row>
    <row r="697" spans="1:72" x14ac:dyDescent="0.15">
      <c r="A697" t="s">
        <v>72</v>
      </c>
      <c r="B697" t="s">
        <v>13479</v>
      </c>
      <c r="C697" t="s">
        <v>74</v>
      </c>
      <c r="D697" t="s">
        <v>74</v>
      </c>
      <c r="E697" t="s">
        <v>74</v>
      </c>
      <c r="F697" t="s">
        <v>13480</v>
      </c>
      <c r="G697" t="s">
        <v>74</v>
      </c>
      <c r="H697" t="s">
        <v>74</v>
      </c>
      <c r="I697" t="s">
        <v>13481</v>
      </c>
      <c r="J697" t="s">
        <v>773</v>
      </c>
      <c r="K697" t="s">
        <v>74</v>
      </c>
      <c r="L697" t="s">
        <v>74</v>
      </c>
      <c r="M697" t="s">
        <v>78</v>
      </c>
      <c r="N697" t="s">
        <v>79</v>
      </c>
      <c r="O697" t="s">
        <v>74</v>
      </c>
      <c r="P697" t="s">
        <v>74</v>
      </c>
      <c r="Q697" t="s">
        <v>74</v>
      </c>
      <c r="R697" t="s">
        <v>74</v>
      </c>
      <c r="S697" t="s">
        <v>74</v>
      </c>
      <c r="T697" t="s">
        <v>13482</v>
      </c>
      <c r="U697" t="s">
        <v>13483</v>
      </c>
      <c r="V697" t="s">
        <v>13484</v>
      </c>
      <c r="W697" t="s">
        <v>13485</v>
      </c>
      <c r="X697" t="s">
        <v>13486</v>
      </c>
      <c r="Y697" t="s">
        <v>13487</v>
      </c>
      <c r="Z697" t="s">
        <v>13488</v>
      </c>
      <c r="AA697" t="s">
        <v>74</v>
      </c>
      <c r="AB697" t="s">
        <v>13489</v>
      </c>
      <c r="AC697" t="s">
        <v>13490</v>
      </c>
      <c r="AD697" t="s">
        <v>13491</v>
      </c>
      <c r="AE697" t="s">
        <v>13492</v>
      </c>
      <c r="AF697" t="s">
        <v>74</v>
      </c>
      <c r="AG697">
        <v>42</v>
      </c>
      <c r="AH697">
        <v>17</v>
      </c>
      <c r="AI697">
        <v>17</v>
      </c>
      <c r="AJ697">
        <v>1</v>
      </c>
      <c r="AK697">
        <v>32</v>
      </c>
      <c r="AL697" t="s">
        <v>785</v>
      </c>
      <c r="AM697" t="s">
        <v>786</v>
      </c>
      <c r="AN697" t="s">
        <v>2531</v>
      </c>
      <c r="AO697" t="s">
        <v>788</v>
      </c>
      <c r="AP697" t="s">
        <v>789</v>
      </c>
      <c r="AQ697" t="s">
        <v>74</v>
      </c>
      <c r="AR697" t="s">
        <v>790</v>
      </c>
      <c r="AS697" t="s">
        <v>791</v>
      </c>
      <c r="AT697" t="s">
        <v>13121</v>
      </c>
      <c r="AU697">
        <v>2018</v>
      </c>
      <c r="AV697">
        <v>31</v>
      </c>
      <c r="AW697">
        <v>13</v>
      </c>
      <c r="AX697" t="s">
        <v>74</v>
      </c>
      <c r="AY697" t="s">
        <v>74</v>
      </c>
      <c r="AZ697" t="s">
        <v>74</v>
      </c>
      <c r="BA697" t="s">
        <v>74</v>
      </c>
      <c r="BB697">
        <v>5263</v>
      </c>
      <c r="BC697">
        <v>5271</v>
      </c>
      <c r="BD697" t="s">
        <v>74</v>
      </c>
      <c r="BE697" t="s">
        <v>13493</v>
      </c>
      <c r="BF697" t="str">
        <f>HYPERLINK("http://dx.doi.org/10.1175/JCLI-D-18-0024.1","http://dx.doi.org/10.1175/JCLI-D-18-0024.1")</f>
        <v>http://dx.doi.org/10.1175/JCLI-D-18-0024.1</v>
      </c>
      <c r="BG697" t="s">
        <v>74</v>
      </c>
      <c r="BH697" t="s">
        <v>74</v>
      </c>
      <c r="BI697">
        <v>9</v>
      </c>
      <c r="BJ697" t="s">
        <v>369</v>
      </c>
      <c r="BK697" t="s">
        <v>101</v>
      </c>
      <c r="BL697" t="s">
        <v>369</v>
      </c>
      <c r="BM697" t="s">
        <v>13494</v>
      </c>
      <c r="BN697" t="s">
        <v>74</v>
      </c>
      <c r="BO697" t="s">
        <v>74</v>
      </c>
      <c r="BP697" t="s">
        <v>74</v>
      </c>
      <c r="BQ697" t="s">
        <v>74</v>
      </c>
      <c r="BR697" t="s">
        <v>104</v>
      </c>
      <c r="BS697" t="s">
        <v>13495</v>
      </c>
      <c r="BT697" t="str">
        <f>HYPERLINK("https%3A%2F%2Fwww.webofscience.com%2Fwos%2Fwoscc%2Ffull-record%2FWOS:000434636100002","View Full Record in Web of Science")</f>
        <v>View Full Record in Web of Science</v>
      </c>
    </row>
    <row r="698" spans="1:72" x14ac:dyDescent="0.15">
      <c r="A698" t="s">
        <v>72</v>
      </c>
      <c r="B698" t="s">
        <v>13496</v>
      </c>
      <c r="C698" t="s">
        <v>74</v>
      </c>
      <c r="D698" t="s">
        <v>74</v>
      </c>
      <c r="E698" t="s">
        <v>74</v>
      </c>
      <c r="F698" t="s">
        <v>13497</v>
      </c>
      <c r="G698" t="s">
        <v>74</v>
      </c>
      <c r="H698" t="s">
        <v>74</v>
      </c>
      <c r="I698" t="s">
        <v>13498</v>
      </c>
      <c r="J698" t="s">
        <v>5180</v>
      </c>
      <c r="K698" t="s">
        <v>74</v>
      </c>
      <c r="L698" t="s">
        <v>74</v>
      </c>
      <c r="M698" t="s">
        <v>78</v>
      </c>
      <c r="N698" t="s">
        <v>79</v>
      </c>
      <c r="O698" t="s">
        <v>74</v>
      </c>
      <c r="P698" t="s">
        <v>74</v>
      </c>
      <c r="Q698" t="s">
        <v>74</v>
      </c>
      <c r="R698" t="s">
        <v>74</v>
      </c>
      <c r="S698" t="s">
        <v>74</v>
      </c>
      <c r="T698" t="s">
        <v>13499</v>
      </c>
      <c r="U698" t="s">
        <v>13500</v>
      </c>
      <c r="V698" t="s">
        <v>74</v>
      </c>
      <c r="W698" t="s">
        <v>13501</v>
      </c>
      <c r="X698" t="s">
        <v>278</v>
      </c>
      <c r="Y698" t="s">
        <v>13502</v>
      </c>
      <c r="Z698" t="s">
        <v>13503</v>
      </c>
      <c r="AA698" t="s">
        <v>13504</v>
      </c>
      <c r="AB698" t="s">
        <v>13505</v>
      </c>
      <c r="AC698" t="s">
        <v>13506</v>
      </c>
      <c r="AD698" t="s">
        <v>13506</v>
      </c>
      <c r="AE698" t="s">
        <v>13506</v>
      </c>
      <c r="AF698" t="s">
        <v>74</v>
      </c>
      <c r="AG698">
        <v>31</v>
      </c>
      <c r="AH698">
        <v>5</v>
      </c>
      <c r="AI698">
        <v>5</v>
      </c>
      <c r="AJ698">
        <v>0</v>
      </c>
      <c r="AK698">
        <v>7</v>
      </c>
      <c r="AL698" t="s">
        <v>758</v>
      </c>
      <c r="AM698" t="s">
        <v>759</v>
      </c>
      <c r="AN698" t="s">
        <v>760</v>
      </c>
      <c r="AO698" t="s">
        <v>5193</v>
      </c>
      <c r="AP698" t="s">
        <v>5194</v>
      </c>
      <c r="AQ698" t="s">
        <v>74</v>
      </c>
      <c r="AR698" t="s">
        <v>5195</v>
      </c>
      <c r="AS698" t="s">
        <v>5196</v>
      </c>
      <c r="AT698" t="s">
        <v>13121</v>
      </c>
      <c r="AU698">
        <v>2018</v>
      </c>
      <c r="AV698">
        <v>41</v>
      </c>
      <c r="AW698">
        <v>7</v>
      </c>
      <c r="AX698" t="s">
        <v>74</v>
      </c>
      <c r="AY698" t="s">
        <v>74</v>
      </c>
      <c r="AZ698" t="s">
        <v>74</v>
      </c>
      <c r="BA698" t="s">
        <v>74</v>
      </c>
      <c r="BB698">
        <v>1173</v>
      </c>
      <c r="BC698">
        <v>1176</v>
      </c>
      <c r="BD698" t="s">
        <v>74</v>
      </c>
      <c r="BE698" t="s">
        <v>13507</v>
      </c>
      <c r="BF698" t="str">
        <f>HYPERLINK("http://dx.doi.org/10.1111/jfd.12803","http://dx.doi.org/10.1111/jfd.12803")</f>
        <v>http://dx.doi.org/10.1111/jfd.12803</v>
      </c>
      <c r="BG698" t="s">
        <v>74</v>
      </c>
      <c r="BH698" t="s">
        <v>74</v>
      </c>
      <c r="BI698">
        <v>4</v>
      </c>
      <c r="BJ698" t="s">
        <v>5198</v>
      </c>
      <c r="BK698" t="s">
        <v>101</v>
      </c>
      <c r="BL698" t="s">
        <v>5198</v>
      </c>
      <c r="BM698" t="s">
        <v>13508</v>
      </c>
      <c r="BN698">
        <v>29572883</v>
      </c>
      <c r="BO698" t="s">
        <v>74</v>
      </c>
      <c r="BP698" t="s">
        <v>74</v>
      </c>
      <c r="BQ698" t="s">
        <v>74</v>
      </c>
      <c r="BR698" t="s">
        <v>104</v>
      </c>
      <c r="BS698" t="s">
        <v>13509</v>
      </c>
      <c r="BT698" t="str">
        <f>HYPERLINK("https%3A%2F%2Fwww.webofscience.com%2Fwos%2Fwoscc%2Ffull-record%2FWOS:000434971300015","View Full Record in Web of Science")</f>
        <v>View Full Record in Web of Science</v>
      </c>
    </row>
    <row r="699" spans="1:72" x14ac:dyDescent="0.15">
      <c r="A699" t="s">
        <v>72</v>
      </c>
      <c r="B699" t="s">
        <v>13510</v>
      </c>
      <c r="C699" t="s">
        <v>74</v>
      </c>
      <c r="D699" t="s">
        <v>74</v>
      </c>
      <c r="E699" t="s">
        <v>74</v>
      </c>
      <c r="F699" t="s">
        <v>13511</v>
      </c>
      <c r="G699" t="s">
        <v>74</v>
      </c>
      <c r="H699" t="s">
        <v>74</v>
      </c>
      <c r="I699" t="s">
        <v>13512</v>
      </c>
      <c r="J699" t="s">
        <v>1371</v>
      </c>
      <c r="K699" t="s">
        <v>74</v>
      </c>
      <c r="L699" t="s">
        <v>74</v>
      </c>
      <c r="M699" t="s">
        <v>78</v>
      </c>
      <c r="N699" t="s">
        <v>79</v>
      </c>
      <c r="O699" t="s">
        <v>74</v>
      </c>
      <c r="P699" t="s">
        <v>74</v>
      </c>
      <c r="Q699" t="s">
        <v>74</v>
      </c>
      <c r="R699" t="s">
        <v>74</v>
      </c>
      <c r="S699" t="s">
        <v>74</v>
      </c>
      <c r="T699" t="s">
        <v>74</v>
      </c>
      <c r="U699" t="s">
        <v>13513</v>
      </c>
      <c r="V699" t="s">
        <v>13514</v>
      </c>
      <c r="W699" t="s">
        <v>13515</v>
      </c>
      <c r="X699" t="s">
        <v>13516</v>
      </c>
      <c r="Y699" t="s">
        <v>13517</v>
      </c>
      <c r="Z699" t="s">
        <v>13518</v>
      </c>
      <c r="AA699" t="s">
        <v>13519</v>
      </c>
      <c r="AB699" t="s">
        <v>13520</v>
      </c>
      <c r="AC699" t="s">
        <v>13521</v>
      </c>
      <c r="AD699" t="s">
        <v>13522</v>
      </c>
      <c r="AE699" t="s">
        <v>13523</v>
      </c>
      <c r="AF699" t="s">
        <v>74</v>
      </c>
      <c r="AG699">
        <v>91</v>
      </c>
      <c r="AH699">
        <v>22</v>
      </c>
      <c r="AI699">
        <v>23</v>
      </c>
      <c r="AJ699">
        <v>0</v>
      </c>
      <c r="AK699">
        <v>19</v>
      </c>
      <c r="AL699" t="s">
        <v>503</v>
      </c>
      <c r="AM699" t="s">
        <v>504</v>
      </c>
      <c r="AN699" t="s">
        <v>505</v>
      </c>
      <c r="AO699" t="s">
        <v>1383</v>
      </c>
      <c r="AP699" t="s">
        <v>1384</v>
      </c>
      <c r="AQ699" t="s">
        <v>74</v>
      </c>
      <c r="AR699" t="s">
        <v>1385</v>
      </c>
      <c r="AS699" t="s">
        <v>1386</v>
      </c>
      <c r="AT699" t="s">
        <v>13121</v>
      </c>
      <c r="AU699">
        <v>2018</v>
      </c>
      <c r="AV699">
        <v>123</v>
      </c>
      <c r="AW699">
        <v>7</v>
      </c>
      <c r="AX699" t="s">
        <v>74</v>
      </c>
      <c r="AY699" t="s">
        <v>74</v>
      </c>
      <c r="AZ699" t="s">
        <v>74</v>
      </c>
      <c r="BA699" t="s">
        <v>74</v>
      </c>
      <c r="BB699">
        <v>6009</v>
      </c>
      <c r="BC699">
        <v>6025</v>
      </c>
      <c r="BD699" t="s">
        <v>74</v>
      </c>
      <c r="BE699" t="s">
        <v>13524</v>
      </c>
      <c r="BF699" t="str">
        <f>HYPERLINK("http://dx.doi.org/10.1029/2018JA025507","http://dx.doi.org/10.1029/2018JA025507")</f>
        <v>http://dx.doi.org/10.1029/2018JA025507</v>
      </c>
      <c r="BG699" t="s">
        <v>74</v>
      </c>
      <c r="BH699" t="s">
        <v>74</v>
      </c>
      <c r="BI699">
        <v>17</v>
      </c>
      <c r="BJ699" t="s">
        <v>1301</v>
      </c>
      <c r="BK699" t="s">
        <v>101</v>
      </c>
      <c r="BL699" t="s">
        <v>1301</v>
      </c>
      <c r="BM699" t="s">
        <v>13525</v>
      </c>
      <c r="BN699" t="s">
        <v>74</v>
      </c>
      <c r="BO699" t="s">
        <v>3263</v>
      </c>
      <c r="BP699" t="s">
        <v>74</v>
      </c>
      <c r="BQ699" t="s">
        <v>74</v>
      </c>
      <c r="BR699" t="s">
        <v>104</v>
      </c>
      <c r="BS699" t="s">
        <v>13526</v>
      </c>
      <c r="BT699" t="str">
        <f>HYPERLINK("https%3A%2F%2Fwww.webofscience.com%2Fwos%2Fwoscc%2Ffull-record%2FWOS:000442664300051","View Full Record in Web of Science")</f>
        <v>View Full Record in Web of Science</v>
      </c>
    </row>
    <row r="700" spans="1:72" x14ac:dyDescent="0.15">
      <c r="A700" t="s">
        <v>72</v>
      </c>
      <c r="B700" t="s">
        <v>13527</v>
      </c>
      <c r="C700" t="s">
        <v>74</v>
      </c>
      <c r="D700" t="s">
        <v>74</v>
      </c>
      <c r="E700" t="s">
        <v>74</v>
      </c>
      <c r="F700" t="s">
        <v>13528</v>
      </c>
      <c r="G700" t="s">
        <v>74</v>
      </c>
      <c r="H700" t="s">
        <v>74</v>
      </c>
      <c r="I700" t="s">
        <v>13529</v>
      </c>
      <c r="J700" t="s">
        <v>5325</v>
      </c>
      <c r="K700" t="s">
        <v>74</v>
      </c>
      <c r="L700" t="s">
        <v>74</v>
      </c>
      <c r="M700" t="s">
        <v>78</v>
      </c>
      <c r="N700" t="s">
        <v>79</v>
      </c>
      <c r="O700" t="s">
        <v>74</v>
      </c>
      <c r="P700" t="s">
        <v>74</v>
      </c>
      <c r="Q700" t="s">
        <v>74</v>
      </c>
      <c r="R700" t="s">
        <v>74</v>
      </c>
      <c r="S700" t="s">
        <v>74</v>
      </c>
      <c r="T700" t="s">
        <v>13530</v>
      </c>
      <c r="U700" t="s">
        <v>13531</v>
      </c>
      <c r="V700" t="s">
        <v>13532</v>
      </c>
      <c r="W700" t="s">
        <v>13533</v>
      </c>
      <c r="X700" t="s">
        <v>13534</v>
      </c>
      <c r="Y700" t="s">
        <v>13535</v>
      </c>
      <c r="Z700" t="s">
        <v>13536</v>
      </c>
      <c r="AA700" t="s">
        <v>13537</v>
      </c>
      <c r="AB700" t="s">
        <v>13538</v>
      </c>
      <c r="AC700" t="s">
        <v>13539</v>
      </c>
      <c r="AD700" t="s">
        <v>13540</v>
      </c>
      <c r="AE700" t="s">
        <v>13541</v>
      </c>
      <c r="AF700" t="s">
        <v>74</v>
      </c>
      <c r="AG700">
        <v>59</v>
      </c>
      <c r="AH700">
        <v>13</v>
      </c>
      <c r="AI700">
        <v>15</v>
      </c>
      <c r="AJ700">
        <v>6</v>
      </c>
      <c r="AK700">
        <v>51</v>
      </c>
      <c r="AL700" t="s">
        <v>1793</v>
      </c>
      <c r="AM700" t="s">
        <v>1794</v>
      </c>
      <c r="AN700" t="s">
        <v>13542</v>
      </c>
      <c r="AO700" t="s">
        <v>5338</v>
      </c>
      <c r="AP700" t="s">
        <v>13543</v>
      </c>
      <c r="AQ700" t="s">
        <v>74</v>
      </c>
      <c r="AR700" t="s">
        <v>5339</v>
      </c>
      <c r="AS700" t="s">
        <v>5340</v>
      </c>
      <c r="AT700" t="s">
        <v>13121</v>
      </c>
      <c r="AU700">
        <v>2018</v>
      </c>
      <c r="AV700">
        <v>36</v>
      </c>
      <c r="AW700">
        <v>4</v>
      </c>
      <c r="AX700" t="s">
        <v>74</v>
      </c>
      <c r="AY700" t="s">
        <v>74</v>
      </c>
      <c r="AZ700" t="s">
        <v>74</v>
      </c>
      <c r="BA700" t="s">
        <v>74</v>
      </c>
      <c r="BB700">
        <v>1266</v>
      </c>
      <c r="BC700">
        <v>1279</v>
      </c>
      <c r="BD700" t="s">
        <v>74</v>
      </c>
      <c r="BE700" t="s">
        <v>13544</v>
      </c>
      <c r="BF700" t="str">
        <f>HYPERLINK("http://dx.doi.org/10.1007/s00343-018-7093-x","http://dx.doi.org/10.1007/s00343-018-7093-x")</f>
        <v>http://dx.doi.org/10.1007/s00343-018-7093-x</v>
      </c>
      <c r="BG700" t="s">
        <v>74</v>
      </c>
      <c r="BH700" t="s">
        <v>74</v>
      </c>
      <c r="BI700">
        <v>14</v>
      </c>
      <c r="BJ700" t="s">
        <v>1837</v>
      </c>
      <c r="BK700" t="s">
        <v>101</v>
      </c>
      <c r="BL700" t="s">
        <v>1838</v>
      </c>
      <c r="BM700" t="s">
        <v>13545</v>
      </c>
      <c r="BN700" t="s">
        <v>74</v>
      </c>
      <c r="BO700" t="s">
        <v>74</v>
      </c>
      <c r="BP700" t="s">
        <v>74</v>
      </c>
      <c r="BQ700" t="s">
        <v>74</v>
      </c>
      <c r="BR700" t="s">
        <v>104</v>
      </c>
      <c r="BS700" t="s">
        <v>13546</v>
      </c>
      <c r="BT700" t="str">
        <f>HYPERLINK("https%3A%2F%2Fwww.webofscience.com%2Fwos%2Fwoscc%2Ffull-record%2FWOS:000441231100022","View Full Record in Web of Science")</f>
        <v>View Full Record in Web of Science</v>
      </c>
    </row>
    <row r="701" spans="1:72" x14ac:dyDescent="0.15">
      <c r="A701" t="s">
        <v>72</v>
      </c>
      <c r="B701" t="s">
        <v>13547</v>
      </c>
      <c r="C701" t="s">
        <v>74</v>
      </c>
      <c r="D701" t="s">
        <v>74</v>
      </c>
      <c r="E701" t="s">
        <v>74</v>
      </c>
      <c r="F701" t="s">
        <v>13548</v>
      </c>
      <c r="G701" t="s">
        <v>74</v>
      </c>
      <c r="H701" t="s">
        <v>74</v>
      </c>
      <c r="I701" t="s">
        <v>13549</v>
      </c>
      <c r="J701" t="s">
        <v>5325</v>
      </c>
      <c r="K701" t="s">
        <v>74</v>
      </c>
      <c r="L701" t="s">
        <v>74</v>
      </c>
      <c r="M701" t="s">
        <v>78</v>
      </c>
      <c r="N701" t="s">
        <v>79</v>
      </c>
      <c r="O701" t="s">
        <v>74</v>
      </c>
      <c r="P701" t="s">
        <v>74</v>
      </c>
      <c r="Q701" t="s">
        <v>74</v>
      </c>
      <c r="R701" t="s">
        <v>74</v>
      </c>
      <c r="S701" t="s">
        <v>74</v>
      </c>
      <c r="T701" t="s">
        <v>13550</v>
      </c>
      <c r="U701" t="s">
        <v>13551</v>
      </c>
      <c r="V701" t="s">
        <v>13552</v>
      </c>
      <c r="W701" t="s">
        <v>13553</v>
      </c>
      <c r="X701" t="s">
        <v>74</v>
      </c>
      <c r="Y701" t="s">
        <v>13554</v>
      </c>
      <c r="Z701" t="s">
        <v>13555</v>
      </c>
      <c r="AA701" t="s">
        <v>9111</v>
      </c>
      <c r="AB701" t="s">
        <v>74</v>
      </c>
      <c r="AC701" t="s">
        <v>13556</v>
      </c>
      <c r="AD701" t="s">
        <v>13557</v>
      </c>
      <c r="AE701" t="s">
        <v>13558</v>
      </c>
      <c r="AF701" t="s">
        <v>74</v>
      </c>
      <c r="AG701">
        <v>39</v>
      </c>
      <c r="AH701">
        <v>3</v>
      </c>
      <c r="AI701">
        <v>4</v>
      </c>
      <c r="AJ701">
        <v>3</v>
      </c>
      <c r="AK701">
        <v>54</v>
      </c>
      <c r="AL701" t="s">
        <v>1793</v>
      </c>
      <c r="AM701" t="s">
        <v>1794</v>
      </c>
      <c r="AN701" t="s">
        <v>5337</v>
      </c>
      <c r="AO701" t="s">
        <v>5338</v>
      </c>
      <c r="AP701" t="s">
        <v>74</v>
      </c>
      <c r="AQ701" t="s">
        <v>74</v>
      </c>
      <c r="AR701" t="s">
        <v>5339</v>
      </c>
      <c r="AS701" t="s">
        <v>5340</v>
      </c>
      <c r="AT701" t="s">
        <v>13121</v>
      </c>
      <c r="AU701">
        <v>2018</v>
      </c>
      <c r="AV701">
        <v>36</v>
      </c>
      <c r="AW701">
        <v>4</v>
      </c>
      <c r="AX701" t="s">
        <v>74</v>
      </c>
      <c r="AY701" t="s">
        <v>74</v>
      </c>
      <c r="AZ701" t="s">
        <v>74</v>
      </c>
      <c r="BA701" t="s">
        <v>74</v>
      </c>
      <c r="BB701">
        <v>1304</v>
      </c>
      <c r="BC701">
        <v>1314</v>
      </c>
      <c r="BD701" t="s">
        <v>74</v>
      </c>
      <c r="BE701" t="s">
        <v>13559</v>
      </c>
      <c r="BF701" t="str">
        <f>HYPERLINK("http://dx.doi.org/10.1007/s00343-018-7074-0","http://dx.doi.org/10.1007/s00343-018-7074-0")</f>
        <v>http://dx.doi.org/10.1007/s00343-018-7074-0</v>
      </c>
      <c r="BG701" t="s">
        <v>74</v>
      </c>
      <c r="BH701" t="s">
        <v>74</v>
      </c>
      <c r="BI701">
        <v>11</v>
      </c>
      <c r="BJ701" t="s">
        <v>1837</v>
      </c>
      <c r="BK701" t="s">
        <v>101</v>
      </c>
      <c r="BL701" t="s">
        <v>1838</v>
      </c>
      <c r="BM701" t="s">
        <v>13545</v>
      </c>
      <c r="BN701" t="s">
        <v>74</v>
      </c>
      <c r="BO701" t="s">
        <v>74</v>
      </c>
      <c r="BP701" t="s">
        <v>74</v>
      </c>
      <c r="BQ701" t="s">
        <v>74</v>
      </c>
      <c r="BR701" t="s">
        <v>104</v>
      </c>
      <c r="BS701" t="s">
        <v>13560</v>
      </c>
      <c r="BT701" t="str">
        <f>HYPERLINK("https%3A%2F%2Fwww.webofscience.com%2Fwos%2Fwoscc%2Ffull-record%2FWOS:000441231100025","View Full Record in Web of Science")</f>
        <v>View Full Record in Web of Science</v>
      </c>
    </row>
    <row r="702" spans="1:72" x14ac:dyDescent="0.15">
      <c r="A702" t="s">
        <v>72</v>
      </c>
      <c r="B702" t="s">
        <v>13561</v>
      </c>
      <c r="C702" t="s">
        <v>74</v>
      </c>
      <c r="D702" t="s">
        <v>74</v>
      </c>
      <c r="E702" t="s">
        <v>74</v>
      </c>
      <c r="F702" t="s">
        <v>13562</v>
      </c>
      <c r="G702" t="s">
        <v>74</v>
      </c>
      <c r="H702" t="s">
        <v>74</v>
      </c>
      <c r="I702" t="s">
        <v>13563</v>
      </c>
      <c r="J702" t="s">
        <v>13564</v>
      </c>
      <c r="K702" t="s">
        <v>74</v>
      </c>
      <c r="L702" t="s">
        <v>74</v>
      </c>
      <c r="M702" t="s">
        <v>78</v>
      </c>
      <c r="N702" t="s">
        <v>79</v>
      </c>
      <c r="O702" t="s">
        <v>74</v>
      </c>
      <c r="P702" t="s">
        <v>74</v>
      </c>
      <c r="Q702" t="s">
        <v>74</v>
      </c>
      <c r="R702" t="s">
        <v>74</v>
      </c>
      <c r="S702" t="s">
        <v>74</v>
      </c>
      <c r="T702" t="s">
        <v>13565</v>
      </c>
      <c r="U702" t="s">
        <v>13566</v>
      </c>
      <c r="V702" t="s">
        <v>13567</v>
      </c>
      <c r="W702" t="s">
        <v>13568</v>
      </c>
      <c r="X702" t="s">
        <v>1468</v>
      </c>
      <c r="Y702" t="s">
        <v>13569</v>
      </c>
      <c r="Z702" t="s">
        <v>13570</v>
      </c>
      <c r="AA702" t="s">
        <v>74</v>
      </c>
      <c r="AB702" t="s">
        <v>74</v>
      </c>
      <c r="AC702" t="s">
        <v>13571</v>
      </c>
      <c r="AD702" t="s">
        <v>2502</v>
      </c>
      <c r="AE702" t="s">
        <v>74</v>
      </c>
      <c r="AF702" t="s">
        <v>74</v>
      </c>
      <c r="AG702">
        <v>41</v>
      </c>
      <c r="AH702">
        <v>11</v>
      </c>
      <c r="AI702">
        <v>12</v>
      </c>
      <c r="AJ702">
        <v>0</v>
      </c>
      <c r="AK702">
        <v>17</v>
      </c>
      <c r="AL702" t="s">
        <v>676</v>
      </c>
      <c r="AM702" t="s">
        <v>677</v>
      </c>
      <c r="AN702" t="s">
        <v>678</v>
      </c>
      <c r="AO702" t="s">
        <v>13572</v>
      </c>
      <c r="AP702" t="s">
        <v>13573</v>
      </c>
      <c r="AQ702" t="s">
        <v>74</v>
      </c>
      <c r="AR702" t="s">
        <v>13574</v>
      </c>
      <c r="AS702" t="s">
        <v>13575</v>
      </c>
      <c r="AT702" t="s">
        <v>13121</v>
      </c>
      <c r="AU702">
        <v>2018</v>
      </c>
      <c r="AV702">
        <v>159</v>
      </c>
      <c r="AW702">
        <v>3</v>
      </c>
      <c r="AX702" t="s">
        <v>74</v>
      </c>
      <c r="AY702" t="s">
        <v>74</v>
      </c>
      <c r="AZ702" t="s">
        <v>74</v>
      </c>
      <c r="BA702" t="s">
        <v>74</v>
      </c>
      <c r="BB702">
        <v>867</v>
      </c>
      <c r="BC702">
        <v>877</v>
      </c>
      <c r="BD702" t="s">
        <v>74</v>
      </c>
      <c r="BE702" t="s">
        <v>13576</v>
      </c>
      <c r="BF702" t="str">
        <f>HYPERLINK("http://dx.doi.org/10.1007/s10336-018-1556-x","http://dx.doi.org/10.1007/s10336-018-1556-x")</f>
        <v>http://dx.doi.org/10.1007/s10336-018-1556-x</v>
      </c>
      <c r="BG702" t="s">
        <v>74</v>
      </c>
      <c r="BH702" t="s">
        <v>74</v>
      </c>
      <c r="BI702">
        <v>11</v>
      </c>
      <c r="BJ702" t="s">
        <v>2342</v>
      </c>
      <c r="BK702" t="s">
        <v>101</v>
      </c>
      <c r="BL702" t="s">
        <v>2343</v>
      </c>
      <c r="BM702" t="s">
        <v>13577</v>
      </c>
      <c r="BN702" t="s">
        <v>74</v>
      </c>
      <c r="BO702" t="s">
        <v>74</v>
      </c>
      <c r="BP702" t="s">
        <v>74</v>
      </c>
      <c r="BQ702" t="s">
        <v>74</v>
      </c>
      <c r="BR702" t="s">
        <v>104</v>
      </c>
      <c r="BS702" t="s">
        <v>13578</v>
      </c>
      <c r="BT702" t="str">
        <f>HYPERLINK("https%3A%2F%2Fwww.webofscience.com%2Fwos%2Fwoscc%2Ffull-record%2FWOS:000437001800023","View Full Record in Web of Science")</f>
        <v>View Full Record in Web of Science</v>
      </c>
    </row>
    <row r="703" spans="1:72" x14ac:dyDescent="0.15">
      <c r="A703" t="s">
        <v>72</v>
      </c>
      <c r="B703" t="s">
        <v>13579</v>
      </c>
      <c r="C703" t="s">
        <v>74</v>
      </c>
      <c r="D703" t="s">
        <v>74</v>
      </c>
      <c r="E703" t="s">
        <v>74</v>
      </c>
      <c r="F703" t="s">
        <v>13580</v>
      </c>
      <c r="G703" t="s">
        <v>74</v>
      </c>
      <c r="H703" t="s">
        <v>74</v>
      </c>
      <c r="I703" t="s">
        <v>13581</v>
      </c>
      <c r="J703" t="s">
        <v>13582</v>
      </c>
      <c r="K703" t="s">
        <v>74</v>
      </c>
      <c r="L703" t="s">
        <v>74</v>
      </c>
      <c r="M703" t="s">
        <v>78</v>
      </c>
      <c r="N703" t="s">
        <v>79</v>
      </c>
      <c r="O703" t="s">
        <v>74</v>
      </c>
      <c r="P703" t="s">
        <v>74</v>
      </c>
      <c r="Q703" t="s">
        <v>74</v>
      </c>
      <c r="R703" t="s">
        <v>74</v>
      </c>
      <c r="S703" t="s">
        <v>74</v>
      </c>
      <c r="T703" t="s">
        <v>13583</v>
      </c>
      <c r="U703" t="s">
        <v>13584</v>
      </c>
      <c r="V703" t="s">
        <v>13585</v>
      </c>
      <c r="W703" t="s">
        <v>13586</v>
      </c>
      <c r="X703" t="s">
        <v>13587</v>
      </c>
      <c r="Y703" t="s">
        <v>13588</v>
      </c>
      <c r="Z703" t="s">
        <v>13589</v>
      </c>
      <c r="AA703" t="s">
        <v>13590</v>
      </c>
      <c r="AB703" t="s">
        <v>13591</v>
      </c>
      <c r="AC703" t="s">
        <v>13592</v>
      </c>
      <c r="AD703" t="s">
        <v>13593</v>
      </c>
      <c r="AE703" t="s">
        <v>13594</v>
      </c>
      <c r="AF703" t="s">
        <v>74</v>
      </c>
      <c r="AG703">
        <v>24</v>
      </c>
      <c r="AH703">
        <v>17</v>
      </c>
      <c r="AI703">
        <v>19</v>
      </c>
      <c r="AJ703">
        <v>2</v>
      </c>
      <c r="AK703">
        <v>28</v>
      </c>
      <c r="AL703" t="s">
        <v>758</v>
      </c>
      <c r="AM703" t="s">
        <v>759</v>
      </c>
      <c r="AN703" t="s">
        <v>760</v>
      </c>
      <c r="AO703" t="s">
        <v>13595</v>
      </c>
      <c r="AP703" t="s">
        <v>13596</v>
      </c>
      <c r="AQ703" t="s">
        <v>74</v>
      </c>
      <c r="AR703" t="s">
        <v>13597</v>
      </c>
      <c r="AS703" t="s">
        <v>13598</v>
      </c>
      <c r="AT703" t="s">
        <v>13121</v>
      </c>
      <c r="AU703">
        <v>2018</v>
      </c>
      <c r="AV703">
        <v>67</v>
      </c>
      <c r="AW703">
        <v>1</v>
      </c>
      <c r="AX703" t="s">
        <v>74</v>
      </c>
      <c r="AY703" t="s">
        <v>74</v>
      </c>
      <c r="AZ703" t="s">
        <v>74</v>
      </c>
      <c r="BA703" t="s">
        <v>74</v>
      </c>
      <c r="BB703">
        <v>64</v>
      </c>
      <c r="BC703">
        <v>71</v>
      </c>
      <c r="BD703" t="s">
        <v>74</v>
      </c>
      <c r="BE703" t="s">
        <v>13599</v>
      </c>
      <c r="BF703" t="str">
        <f>HYPERLINK("http://dx.doi.org/10.1111/lam.12890","http://dx.doi.org/10.1111/lam.12890")</f>
        <v>http://dx.doi.org/10.1111/lam.12890</v>
      </c>
      <c r="BG703" t="s">
        <v>74</v>
      </c>
      <c r="BH703" t="s">
        <v>74</v>
      </c>
      <c r="BI703">
        <v>8</v>
      </c>
      <c r="BJ703" t="s">
        <v>13600</v>
      </c>
      <c r="BK703" t="s">
        <v>101</v>
      </c>
      <c r="BL703" t="s">
        <v>13600</v>
      </c>
      <c r="BM703" t="s">
        <v>13601</v>
      </c>
      <c r="BN703">
        <v>29604211</v>
      </c>
      <c r="BO703" t="s">
        <v>74</v>
      </c>
      <c r="BP703" t="s">
        <v>74</v>
      </c>
      <c r="BQ703" t="s">
        <v>74</v>
      </c>
      <c r="BR703" t="s">
        <v>104</v>
      </c>
      <c r="BS703" t="s">
        <v>13602</v>
      </c>
      <c r="BT703" t="str">
        <f>HYPERLINK("https%3A%2F%2Fwww.webofscience.com%2Fwos%2Fwoscc%2Ffull-record%2FWOS:000434975700009","View Full Record in Web of Science")</f>
        <v>View Full Record in Web of Science</v>
      </c>
    </row>
    <row r="704" spans="1:72" x14ac:dyDescent="0.15">
      <c r="A704" t="s">
        <v>72</v>
      </c>
      <c r="B704" t="s">
        <v>13603</v>
      </c>
      <c r="C704" t="s">
        <v>74</v>
      </c>
      <c r="D704" t="s">
        <v>74</v>
      </c>
      <c r="E704" t="s">
        <v>74</v>
      </c>
      <c r="F704" t="s">
        <v>13604</v>
      </c>
      <c r="G704" t="s">
        <v>74</v>
      </c>
      <c r="H704" t="s">
        <v>74</v>
      </c>
      <c r="I704" t="s">
        <v>13605</v>
      </c>
      <c r="J704" t="s">
        <v>13606</v>
      </c>
      <c r="K704" t="s">
        <v>74</v>
      </c>
      <c r="L704" t="s">
        <v>74</v>
      </c>
      <c r="M704" t="s">
        <v>78</v>
      </c>
      <c r="N704" t="s">
        <v>79</v>
      </c>
      <c r="O704" t="s">
        <v>74</v>
      </c>
      <c r="P704" t="s">
        <v>74</v>
      </c>
      <c r="Q704" t="s">
        <v>74</v>
      </c>
      <c r="R704" t="s">
        <v>74</v>
      </c>
      <c r="S704" t="s">
        <v>74</v>
      </c>
      <c r="T704" t="s">
        <v>13607</v>
      </c>
      <c r="U704" t="s">
        <v>13608</v>
      </c>
      <c r="V704" t="s">
        <v>13609</v>
      </c>
      <c r="W704" t="s">
        <v>13610</v>
      </c>
      <c r="X704" t="s">
        <v>13611</v>
      </c>
      <c r="Y704" t="s">
        <v>13612</v>
      </c>
      <c r="Z704" t="s">
        <v>13613</v>
      </c>
      <c r="AA704" t="s">
        <v>13614</v>
      </c>
      <c r="AB704" t="s">
        <v>13615</v>
      </c>
      <c r="AC704" t="s">
        <v>13616</v>
      </c>
      <c r="AD704" t="s">
        <v>13617</v>
      </c>
      <c r="AE704" t="s">
        <v>13618</v>
      </c>
      <c r="AF704" t="s">
        <v>74</v>
      </c>
      <c r="AG704">
        <v>75</v>
      </c>
      <c r="AH704">
        <v>12</v>
      </c>
      <c r="AI704">
        <v>15</v>
      </c>
      <c r="AJ704">
        <v>0</v>
      </c>
      <c r="AK704">
        <v>9</v>
      </c>
      <c r="AL704" t="s">
        <v>430</v>
      </c>
      <c r="AM704" t="s">
        <v>286</v>
      </c>
      <c r="AN704" t="s">
        <v>431</v>
      </c>
      <c r="AO704" t="s">
        <v>13619</v>
      </c>
      <c r="AP704" t="s">
        <v>13620</v>
      </c>
      <c r="AQ704" t="s">
        <v>74</v>
      </c>
      <c r="AR704" t="s">
        <v>13606</v>
      </c>
      <c r="AS704" t="s">
        <v>13621</v>
      </c>
      <c r="AT704" t="s">
        <v>13121</v>
      </c>
      <c r="AU704">
        <v>2018</v>
      </c>
      <c r="AV704">
        <v>312</v>
      </c>
      <c r="AW704" t="s">
        <v>74</v>
      </c>
      <c r="AX704" t="s">
        <v>74</v>
      </c>
      <c r="AY704" t="s">
        <v>74</v>
      </c>
      <c r="AZ704" t="s">
        <v>74</v>
      </c>
      <c r="BA704" t="s">
        <v>74</v>
      </c>
      <c r="BB704">
        <v>204</v>
      </c>
      <c r="BC704">
        <v>222</v>
      </c>
      <c r="BD704" t="s">
        <v>74</v>
      </c>
      <c r="BE704" t="s">
        <v>13622</v>
      </c>
      <c r="BF704" t="str">
        <f>HYPERLINK("http://dx.doi.org/10.1016/j.lithos.2018.05.008","http://dx.doi.org/10.1016/j.lithos.2018.05.008")</f>
        <v>http://dx.doi.org/10.1016/j.lithos.2018.05.008</v>
      </c>
      <c r="BG704" t="s">
        <v>74</v>
      </c>
      <c r="BH704" t="s">
        <v>74</v>
      </c>
      <c r="BI704">
        <v>19</v>
      </c>
      <c r="BJ704" t="s">
        <v>13623</v>
      </c>
      <c r="BK704" t="s">
        <v>101</v>
      </c>
      <c r="BL704" t="s">
        <v>13623</v>
      </c>
      <c r="BM704" t="s">
        <v>13624</v>
      </c>
      <c r="BN704" t="s">
        <v>74</v>
      </c>
      <c r="BO704" t="s">
        <v>74</v>
      </c>
      <c r="BP704" t="s">
        <v>74</v>
      </c>
      <c r="BQ704" t="s">
        <v>74</v>
      </c>
      <c r="BR704" t="s">
        <v>104</v>
      </c>
      <c r="BS704" t="s">
        <v>13625</v>
      </c>
      <c r="BT704" t="str">
        <f>HYPERLINK("https%3A%2F%2Fwww.webofscience.com%2Fwos%2Fwoscc%2Ffull-record%2FWOS:000437064600012","View Full Record in Web of Science")</f>
        <v>View Full Record in Web of Science</v>
      </c>
    </row>
    <row r="705" spans="1:72" x14ac:dyDescent="0.15">
      <c r="A705" t="s">
        <v>72</v>
      </c>
      <c r="B705" t="s">
        <v>13626</v>
      </c>
      <c r="C705" t="s">
        <v>74</v>
      </c>
      <c r="D705" t="s">
        <v>74</v>
      </c>
      <c r="E705" t="s">
        <v>74</v>
      </c>
      <c r="F705" t="s">
        <v>13627</v>
      </c>
      <c r="G705" t="s">
        <v>74</v>
      </c>
      <c r="H705" t="s">
        <v>13628</v>
      </c>
      <c r="I705" t="s">
        <v>13629</v>
      </c>
      <c r="J705" t="s">
        <v>7034</v>
      </c>
      <c r="K705" t="s">
        <v>74</v>
      </c>
      <c r="L705" t="s">
        <v>74</v>
      </c>
      <c r="M705" t="s">
        <v>78</v>
      </c>
      <c r="N705" t="s">
        <v>79</v>
      </c>
      <c r="O705" t="s">
        <v>74</v>
      </c>
      <c r="P705" t="s">
        <v>74</v>
      </c>
      <c r="Q705" t="s">
        <v>74</v>
      </c>
      <c r="R705" t="s">
        <v>74</v>
      </c>
      <c r="S705" t="s">
        <v>74</v>
      </c>
      <c r="T705" t="s">
        <v>13630</v>
      </c>
      <c r="U705" t="s">
        <v>13631</v>
      </c>
      <c r="V705" t="s">
        <v>13632</v>
      </c>
      <c r="W705" t="s">
        <v>13633</v>
      </c>
      <c r="X705" t="s">
        <v>13634</v>
      </c>
      <c r="Y705" t="s">
        <v>13635</v>
      </c>
      <c r="Z705" t="s">
        <v>13636</v>
      </c>
      <c r="AA705" t="s">
        <v>74</v>
      </c>
      <c r="AB705" t="s">
        <v>13637</v>
      </c>
      <c r="AC705" t="s">
        <v>13638</v>
      </c>
      <c r="AD705" t="s">
        <v>13639</v>
      </c>
      <c r="AE705" t="s">
        <v>13640</v>
      </c>
      <c r="AF705" t="s">
        <v>74</v>
      </c>
      <c r="AG705">
        <v>41</v>
      </c>
      <c r="AH705">
        <v>10</v>
      </c>
      <c r="AI705">
        <v>10</v>
      </c>
      <c r="AJ705">
        <v>0</v>
      </c>
      <c r="AK705">
        <v>8</v>
      </c>
      <c r="AL705" t="s">
        <v>92</v>
      </c>
      <c r="AM705" t="s">
        <v>93</v>
      </c>
      <c r="AN705" t="s">
        <v>94</v>
      </c>
      <c r="AO705" t="s">
        <v>7047</v>
      </c>
      <c r="AP705" t="s">
        <v>7048</v>
      </c>
      <c r="AQ705" t="s">
        <v>74</v>
      </c>
      <c r="AR705" t="s">
        <v>7049</v>
      </c>
      <c r="AS705" t="s">
        <v>7050</v>
      </c>
      <c r="AT705" t="s">
        <v>13121</v>
      </c>
      <c r="AU705">
        <v>2018</v>
      </c>
      <c r="AV705">
        <v>477</v>
      </c>
      <c r="AW705">
        <v>3</v>
      </c>
      <c r="AX705" t="s">
        <v>74</v>
      </c>
      <c r="AY705" t="s">
        <v>74</v>
      </c>
      <c r="AZ705" t="s">
        <v>74</v>
      </c>
      <c r="BA705" t="s">
        <v>74</v>
      </c>
      <c r="BB705">
        <v>3836</v>
      </c>
      <c r="BC705">
        <v>3844</v>
      </c>
      <c r="BD705" t="s">
        <v>74</v>
      </c>
      <c r="BE705" t="s">
        <v>13641</v>
      </c>
      <c r="BF705" t="str">
        <f>HYPERLINK("http://dx.doi.org/10.1093/mnras/sty560","http://dx.doi.org/10.1093/mnras/sty560")</f>
        <v>http://dx.doi.org/10.1093/mnras/sty560</v>
      </c>
      <c r="BG705" t="s">
        <v>74</v>
      </c>
      <c r="BH705" t="s">
        <v>74</v>
      </c>
      <c r="BI705">
        <v>9</v>
      </c>
      <c r="BJ705" t="s">
        <v>1301</v>
      </c>
      <c r="BK705" t="s">
        <v>101</v>
      </c>
      <c r="BL705" t="s">
        <v>1301</v>
      </c>
      <c r="BM705" t="s">
        <v>13642</v>
      </c>
      <c r="BN705" t="s">
        <v>74</v>
      </c>
      <c r="BO705" t="s">
        <v>1142</v>
      </c>
      <c r="BP705" t="s">
        <v>74</v>
      </c>
      <c r="BQ705" t="s">
        <v>74</v>
      </c>
      <c r="BR705" t="s">
        <v>104</v>
      </c>
      <c r="BS705" t="s">
        <v>13643</v>
      </c>
      <c r="BT705" t="str">
        <f>HYPERLINK("https%3A%2F%2Fwww.webofscience.com%2Fwos%2Fwoscc%2Ffull-record%2FWOS:000433893700071","View Full Record in Web of Science")</f>
        <v>View Full Record in Web of Science</v>
      </c>
    </row>
    <row r="706" spans="1:72" x14ac:dyDescent="0.15">
      <c r="A706" t="s">
        <v>72</v>
      </c>
      <c r="B706" t="s">
        <v>13644</v>
      </c>
      <c r="C706" t="s">
        <v>74</v>
      </c>
      <c r="D706" t="s">
        <v>74</v>
      </c>
      <c r="E706" t="s">
        <v>74</v>
      </c>
      <c r="F706" t="s">
        <v>13645</v>
      </c>
      <c r="G706" t="s">
        <v>74</v>
      </c>
      <c r="H706" t="s">
        <v>74</v>
      </c>
      <c r="I706" t="s">
        <v>13646</v>
      </c>
      <c r="J706" t="s">
        <v>1147</v>
      </c>
      <c r="K706" t="s">
        <v>74</v>
      </c>
      <c r="L706" t="s">
        <v>74</v>
      </c>
      <c r="M706" t="s">
        <v>78</v>
      </c>
      <c r="N706" t="s">
        <v>79</v>
      </c>
      <c r="O706" t="s">
        <v>74</v>
      </c>
      <c r="P706" t="s">
        <v>74</v>
      </c>
      <c r="Q706" t="s">
        <v>74</v>
      </c>
      <c r="R706" t="s">
        <v>74</v>
      </c>
      <c r="S706" t="s">
        <v>74</v>
      </c>
      <c r="T706" t="s">
        <v>74</v>
      </c>
      <c r="U706" t="s">
        <v>13647</v>
      </c>
      <c r="V706" t="s">
        <v>13648</v>
      </c>
      <c r="W706" t="s">
        <v>13649</v>
      </c>
      <c r="X706" t="s">
        <v>13650</v>
      </c>
      <c r="Y706" t="s">
        <v>13651</v>
      </c>
      <c r="Z706" t="s">
        <v>13652</v>
      </c>
      <c r="AA706" t="s">
        <v>13653</v>
      </c>
      <c r="AB706" t="s">
        <v>13654</v>
      </c>
      <c r="AC706" t="s">
        <v>13655</v>
      </c>
      <c r="AD706" t="s">
        <v>13656</v>
      </c>
      <c r="AE706" t="s">
        <v>13657</v>
      </c>
      <c r="AF706" t="s">
        <v>74</v>
      </c>
      <c r="AG706">
        <v>36</v>
      </c>
      <c r="AH706">
        <v>14</v>
      </c>
      <c r="AI706">
        <v>14</v>
      </c>
      <c r="AJ706">
        <v>0</v>
      </c>
      <c r="AK706">
        <v>15</v>
      </c>
      <c r="AL706" t="s">
        <v>1159</v>
      </c>
      <c r="AM706" t="s">
        <v>258</v>
      </c>
      <c r="AN706" t="s">
        <v>1160</v>
      </c>
      <c r="AO706" t="s">
        <v>1161</v>
      </c>
      <c r="AP706" t="s">
        <v>1162</v>
      </c>
      <c r="AQ706" t="s">
        <v>74</v>
      </c>
      <c r="AR706" t="s">
        <v>1163</v>
      </c>
      <c r="AS706" t="s">
        <v>1164</v>
      </c>
      <c r="AT706" t="s">
        <v>13121</v>
      </c>
      <c r="AU706">
        <v>2018</v>
      </c>
      <c r="AV706">
        <v>11</v>
      </c>
      <c r="AW706">
        <v>7</v>
      </c>
      <c r="AX706" t="s">
        <v>74</v>
      </c>
      <c r="AY706" t="s">
        <v>74</v>
      </c>
      <c r="AZ706" t="s">
        <v>74</v>
      </c>
      <c r="BA706" t="s">
        <v>74</v>
      </c>
      <c r="BB706">
        <v>515</v>
      </c>
      <c r="BC706" t="s">
        <v>1137</v>
      </c>
      <c r="BD706" t="s">
        <v>74</v>
      </c>
      <c r="BE706" t="s">
        <v>13658</v>
      </c>
      <c r="BF706" t="str">
        <f>HYPERLINK("http://dx.doi.org/10.1038/s41561-018-0140-6","http://dx.doi.org/10.1038/s41561-018-0140-6")</f>
        <v>http://dx.doi.org/10.1038/s41561-018-0140-6</v>
      </c>
      <c r="BG706" t="s">
        <v>74</v>
      </c>
      <c r="BH706" t="s">
        <v>74</v>
      </c>
      <c r="BI706">
        <v>6</v>
      </c>
      <c r="BJ706" t="s">
        <v>182</v>
      </c>
      <c r="BK706" t="s">
        <v>101</v>
      </c>
      <c r="BL706" t="s">
        <v>183</v>
      </c>
      <c r="BM706" t="s">
        <v>13659</v>
      </c>
      <c r="BN706" t="s">
        <v>74</v>
      </c>
      <c r="BO706" t="s">
        <v>74</v>
      </c>
      <c r="BP706" t="s">
        <v>74</v>
      </c>
      <c r="BQ706" t="s">
        <v>74</v>
      </c>
      <c r="BR706" t="s">
        <v>104</v>
      </c>
      <c r="BS706" t="s">
        <v>13660</v>
      </c>
      <c r="BT706" t="str">
        <f>HYPERLINK("https%3A%2F%2Fwww.webofscience.com%2Fwos%2Fwoscc%2Ffull-record%2FWOS:000438794800015","View Full Record in Web of Science")</f>
        <v>View Full Record in Web of Science</v>
      </c>
    </row>
    <row r="707" spans="1:72" x14ac:dyDescent="0.15">
      <c r="A707" t="s">
        <v>72</v>
      </c>
      <c r="B707" t="s">
        <v>13661</v>
      </c>
      <c r="C707" t="s">
        <v>74</v>
      </c>
      <c r="D707" t="s">
        <v>74</v>
      </c>
      <c r="E707" t="s">
        <v>74</v>
      </c>
      <c r="F707" t="s">
        <v>13662</v>
      </c>
      <c r="G707" t="s">
        <v>74</v>
      </c>
      <c r="H707" t="s">
        <v>74</v>
      </c>
      <c r="I707" t="s">
        <v>13663</v>
      </c>
      <c r="J707" t="s">
        <v>5998</v>
      </c>
      <c r="K707" t="s">
        <v>74</v>
      </c>
      <c r="L707" t="s">
        <v>74</v>
      </c>
      <c r="M707" t="s">
        <v>78</v>
      </c>
      <c r="N707" t="s">
        <v>79</v>
      </c>
      <c r="O707" t="s">
        <v>74</v>
      </c>
      <c r="P707" t="s">
        <v>74</v>
      </c>
      <c r="Q707" t="s">
        <v>74</v>
      </c>
      <c r="R707" t="s">
        <v>74</v>
      </c>
      <c r="S707" t="s">
        <v>74</v>
      </c>
      <c r="T707" t="s">
        <v>13664</v>
      </c>
      <c r="U707" t="s">
        <v>13665</v>
      </c>
      <c r="V707" t="s">
        <v>13666</v>
      </c>
      <c r="W707" t="s">
        <v>13667</v>
      </c>
      <c r="X707" t="s">
        <v>13668</v>
      </c>
      <c r="Y707" t="s">
        <v>13669</v>
      </c>
      <c r="Z707" t="s">
        <v>13670</v>
      </c>
      <c r="AA707" t="s">
        <v>13671</v>
      </c>
      <c r="AB707" t="s">
        <v>13672</v>
      </c>
      <c r="AC707" t="s">
        <v>13673</v>
      </c>
      <c r="AD707" t="s">
        <v>501</v>
      </c>
      <c r="AE707" t="s">
        <v>13674</v>
      </c>
      <c r="AF707" t="s">
        <v>74</v>
      </c>
      <c r="AG707">
        <v>44</v>
      </c>
      <c r="AH707">
        <v>13</v>
      </c>
      <c r="AI707">
        <v>16</v>
      </c>
      <c r="AJ707">
        <v>8</v>
      </c>
      <c r="AK707">
        <v>27</v>
      </c>
      <c r="AL707" t="s">
        <v>503</v>
      </c>
      <c r="AM707" t="s">
        <v>504</v>
      </c>
      <c r="AN707" t="s">
        <v>505</v>
      </c>
      <c r="AO707" t="s">
        <v>6010</v>
      </c>
      <c r="AP707" t="s">
        <v>6011</v>
      </c>
      <c r="AQ707" t="s">
        <v>74</v>
      </c>
      <c r="AR707" t="s">
        <v>6012</v>
      </c>
      <c r="AS707" t="s">
        <v>6013</v>
      </c>
      <c r="AT707" t="s">
        <v>13121</v>
      </c>
      <c r="AU707">
        <v>2018</v>
      </c>
      <c r="AV707">
        <v>33</v>
      </c>
      <c r="AW707">
        <v>7</v>
      </c>
      <c r="AX707" t="s">
        <v>74</v>
      </c>
      <c r="AY707" t="s">
        <v>74</v>
      </c>
      <c r="AZ707" t="s">
        <v>74</v>
      </c>
      <c r="BA707" t="s">
        <v>74</v>
      </c>
      <c r="BB707">
        <v>672</v>
      </c>
      <c r="BC707">
        <v>682</v>
      </c>
      <c r="BD707" t="s">
        <v>74</v>
      </c>
      <c r="BE707" t="s">
        <v>13675</v>
      </c>
      <c r="BF707" t="str">
        <f>HYPERLINK("http://dx.doi.org/10.1029/2017PA003309","http://dx.doi.org/10.1029/2017PA003309")</f>
        <v>http://dx.doi.org/10.1029/2017PA003309</v>
      </c>
      <c r="BG707" t="s">
        <v>74</v>
      </c>
      <c r="BH707" t="s">
        <v>74</v>
      </c>
      <c r="BI707">
        <v>11</v>
      </c>
      <c r="BJ707" t="s">
        <v>6015</v>
      </c>
      <c r="BK707" t="s">
        <v>101</v>
      </c>
      <c r="BL707" t="s">
        <v>6016</v>
      </c>
      <c r="BM707" t="s">
        <v>13676</v>
      </c>
      <c r="BN707" t="s">
        <v>74</v>
      </c>
      <c r="BO707" t="s">
        <v>5731</v>
      </c>
      <c r="BP707" t="s">
        <v>74</v>
      </c>
      <c r="BQ707" t="s">
        <v>74</v>
      </c>
      <c r="BR707" t="s">
        <v>104</v>
      </c>
      <c r="BS707" t="s">
        <v>13677</v>
      </c>
      <c r="BT707" t="str">
        <f>HYPERLINK("https%3A%2F%2Fwww.webofscience.com%2Fwos%2Fwoscc%2Ffull-record%2FWOS:000441277800002","View Full Record in Web of Science")</f>
        <v>View Full Record in Web of Science</v>
      </c>
    </row>
    <row r="708" spans="1:72" x14ac:dyDescent="0.15">
      <c r="A708" t="s">
        <v>72</v>
      </c>
      <c r="B708" t="s">
        <v>13678</v>
      </c>
      <c r="C708" t="s">
        <v>74</v>
      </c>
      <c r="D708" t="s">
        <v>74</v>
      </c>
      <c r="E708" t="s">
        <v>74</v>
      </c>
      <c r="F708" t="s">
        <v>13679</v>
      </c>
      <c r="G708" t="s">
        <v>74</v>
      </c>
      <c r="H708" t="s">
        <v>74</v>
      </c>
      <c r="I708" t="s">
        <v>13680</v>
      </c>
      <c r="J708" t="s">
        <v>5998</v>
      </c>
      <c r="K708" t="s">
        <v>74</v>
      </c>
      <c r="L708" t="s">
        <v>74</v>
      </c>
      <c r="M708" t="s">
        <v>78</v>
      </c>
      <c r="N708" t="s">
        <v>79</v>
      </c>
      <c r="O708" t="s">
        <v>74</v>
      </c>
      <c r="P708" t="s">
        <v>74</v>
      </c>
      <c r="Q708" t="s">
        <v>74</v>
      </c>
      <c r="R708" t="s">
        <v>74</v>
      </c>
      <c r="S708" t="s">
        <v>74</v>
      </c>
      <c r="T708" t="s">
        <v>13681</v>
      </c>
      <c r="U708" t="s">
        <v>13682</v>
      </c>
      <c r="V708" t="s">
        <v>13683</v>
      </c>
      <c r="W708" t="s">
        <v>13684</v>
      </c>
      <c r="X708" t="s">
        <v>13685</v>
      </c>
      <c r="Y708" t="s">
        <v>13686</v>
      </c>
      <c r="Z708" t="s">
        <v>13687</v>
      </c>
      <c r="AA708" t="s">
        <v>13688</v>
      </c>
      <c r="AB708" t="s">
        <v>13689</v>
      </c>
      <c r="AC708" t="s">
        <v>13690</v>
      </c>
      <c r="AD708" t="s">
        <v>13691</v>
      </c>
      <c r="AE708" t="s">
        <v>13692</v>
      </c>
      <c r="AF708" t="s">
        <v>74</v>
      </c>
      <c r="AG708">
        <v>98</v>
      </c>
      <c r="AH708">
        <v>20</v>
      </c>
      <c r="AI708">
        <v>25</v>
      </c>
      <c r="AJ708">
        <v>1</v>
      </c>
      <c r="AK708">
        <v>34</v>
      </c>
      <c r="AL708" t="s">
        <v>503</v>
      </c>
      <c r="AM708" t="s">
        <v>504</v>
      </c>
      <c r="AN708" t="s">
        <v>505</v>
      </c>
      <c r="AO708" t="s">
        <v>6010</v>
      </c>
      <c r="AP708" t="s">
        <v>6011</v>
      </c>
      <c r="AQ708" t="s">
        <v>74</v>
      </c>
      <c r="AR708" t="s">
        <v>6012</v>
      </c>
      <c r="AS708" t="s">
        <v>6013</v>
      </c>
      <c r="AT708" t="s">
        <v>13121</v>
      </c>
      <c r="AU708">
        <v>2018</v>
      </c>
      <c r="AV708">
        <v>33</v>
      </c>
      <c r="AW708">
        <v>7</v>
      </c>
      <c r="AX708" t="s">
        <v>74</v>
      </c>
      <c r="AY708" t="s">
        <v>74</v>
      </c>
      <c r="AZ708" t="s">
        <v>74</v>
      </c>
      <c r="BA708" t="s">
        <v>74</v>
      </c>
      <c r="BB708">
        <v>778</v>
      </c>
      <c r="BC708">
        <v>794</v>
      </c>
      <c r="BD708" t="s">
        <v>74</v>
      </c>
      <c r="BE708" t="s">
        <v>13693</v>
      </c>
      <c r="BF708" t="str">
        <f>HYPERLINK("http://dx.doi.org/10.1029/2017PA003297","http://dx.doi.org/10.1029/2017PA003297")</f>
        <v>http://dx.doi.org/10.1029/2017PA003297</v>
      </c>
      <c r="BG708" t="s">
        <v>74</v>
      </c>
      <c r="BH708" t="s">
        <v>74</v>
      </c>
      <c r="BI708">
        <v>17</v>
      </c>
      <c r="BJ708" t="s">
        <v>6015</v>
      </c>
      <c r="BK708" t="s">
        <v>101</v>
      </c>
      <c r="BL708" t="s">
        <v>6016</v>
      </c>
      <c r="BM708" t="s">
        <v>13676</v>
      </c>
      <c r="BN708" t="s">
        <v>74</v>
      </c>
      <c r="BO708" t="s">
        <v>12738</v>
      </c>
      <c r="BP708" t="s">
        <v>74</v>
      </c>
      <c r="BQ708" t="s">
        <v>74</v>
      </c>
      <c r="BR708" t="s">
        <v>104</v>
      </c>
      <c r="BS708" t="s">
        <v>13694</v>
      </c>
      <c r="BT708" t="str">
        <f>HYPERLINK("https%3A%2F%2Fwww.webofscience.com%2Fwos%2Fwoscc%2Ffull-record%2FWOS:000441277800009","View Full Record in Web of Science")</f>
        <v>View Full Record in Web of Science</v>
      </c>
    </row>
    <row r="709" spans="1:72" x14ac:dyDescent="0.15">
      <c r="A709" t="s">
        <v>72</v>
      </c>
      <c r="B709" t="s">
        <v>13695</v>
      </c>
      <c r="C709" t="s">
        <v>74</v>
      </c>
      <c r="D709" t="s">
        <v>74</v>
      </c>
      <c r="E709" t="s">
        <v>74</v>
      </c>
      <c r="F709" t="s">
        <v>13696</v>
      </c>
      <c r="G709" t="s">
        <v>74</v>
      </c>
      <c r="H709" t="s">
        <v>74</v>
      </c>
      <c r="I709" t="s">
        <v>13697</v>
      </c>
      <c r="J709" t="s">
        <v>1192</v>
      </c>
      <c r="K709" t="s">
        <v>74</v>
      </c>
      <c r="L709" t="s">
        <v>74</v>
      </c>
      <c r="M709" t="s">
        <v>78</v>
      </c>
      <c r="N709" t="s">
        <v>79</v>
      </c>
      <c r="O709" t="s">
        <v>74</v>
      </c>
      <c r="P709" t="s">
        <v>74</v>
      </c>
      <c r="Q709" t="s">
        <v>74</v>
      </c>
      <c r="R709" t="s">
        <v>74</v>
      </c>
      <c r="S709" t="s">
        <v>74</v>
      </c>
      <c r="T709" t="s">
        <v>13698</v>
      </c>
      <c r="U709" t="s">
        <v>13699</v>
      </c>
      <c r="V709" t="s">
        <v>13700</v>
      </c>
      <c r="W709" t="s">
        <v>74</v>
      </c>
      <c r="X709" t="s">
        <v>74</v>
      </c>
      <c r="Y709" t="s">
        <v>74</v>
      </c>
      <c r="Z709" t="s">
        <v>13701</v>
      </c>
      <c r="AA709" t="s">
        <v>13702</v>
      </c>
      <c r="AB709" t="s">
        <v>13703</v>
      </c>
      <c r="AC709" t="s">
        <v>13704</v>
      </c>
      <c r="AD709" t="s">
        <v>13705</v>
      </c>
      <c r="AE709" t="s">
        <v>13706</v>
      </c>
      <c r="AF709" t="s">
        <v>74</v>
      </c>
      <c r="AG709">
        <v>94</v>
      </c>
      <c r="AH709">
        <v>26</v>
      </c>
      <c r="AI709">
        <v>29</v>
      </c>
      <c r="AJ709">
        <v>3</v>
      </c>
      <c r="AK709">
        <v>30</v>
      </c>
      <c r="AL709" t="s">
        <v>337</v>
      </c>
      <c r="AM709" t="s">
        <v>258</v>
      </c>
      <c r="AN709" t="s">
        <v>338</v>
      </c>
      <c r="AO709" t="s">
        <v>1204</v>
      </c>
      <c r="AP709" t="s">
        <v>1205</v>
      </c>
      <c r="AQ709" t="s">
        <v>74</v>
      </c>
      <c r="AR709" t="s">
        <v>1206</v>
      </c>
      <c r="AS709" t="s">
        <v>1207</v>
      </c>
      <c r="AT709" t="s">
        <v>13121</v>
      </c>
      <c r="AU709">
        <v>2018</v>
      </c>
      <c r="AV709">
        <v>41</v>
      </c>
      <c r="AW709">
        <v>7</v>
      </c>
      <c r="AX709" t="s">
        <v>74</v>
      </c>
      <c r="AY709" t="s">
        <v>74</v>
      </c>
      <c r="AZ709" t="s">
        <v>74</v>
      </c>
      <c r="BA709" t="s">
        <v>74</v>
      </c>
      <c r="BB709">
        <v>1505</v>
      </c>
      <c r="BC709">
        <v>1519</v>
      </c>
      <c r="BD709" t="s">
        <v>74</v>
      </c>
      <c r="BE709" t="s">
        <v>13707</v>
      </c>
      <c r="BF709" t="str">
        <f>HYPERLINK("http://dx.doi.org/10.1007/s00300-018-2300-y","http://dx.doi.org/10.1007/s00300-018-2300-y")</f>
        <v>http://dx.doi.org/10.1007/s00300-018-2300-y</v>
      </c>
      <c r="BG709" t="s">
        <v>74</v>
      </c>
      <c r="BH709" t="s">
        <v>74</v>
      </c>
      <c r="BI709">
        <v>15</v>
      </c>
      <c r="BJ709" t="s">
        <v>1209</v>
      </c>
      <c r="BK709" t="s">
        <v>101</v>
      </c>
      <c r="BL709" t="s">
        <v>1210</v>
      </c>
      <c r="BM709" t="s">
        <v>13708</v>
      </c>
      <c r="BN709" t="s">
        <v>74</v>
      </c>
      <c r="BO709" t="s">
        <v>74</v>
      </c>
      <c r="BP709" t="s">
        <v>74</v>
      </c>
      <c r="BQ709" t="s">
        <v>74</v>
      </c>
      <c r="BR709" t="s">
        <v>104</v>
      </c>
      <c r="BS709" t="s">
        <v>13709</v>
      </c>
      <c r="BT709" t="str">
        <f>HYPERLINK("https%3A%2F%2Fwww.webofscience.com%2Fwos%2Fwoscc%2Ffull-record%2FWOS:000437102400015","View Full Record in Web of Science")</f>
        <v>View Full Record in Web of Science</v>
      </c>
    </row>
    <row r="710" spans="1:72" x14ac:dyDescent="0.15">
      <c r="A710" t="s">
        <v>72</v>
      </c>
      <c r="B710" t="s">
        <v>13710</v>
      </c>
      <c r="C710" t="s">
        <v>74</v>
      </c>
      <c r="D710" t="s">
        <v>74</v>
      </c>
      <c r="E710" t="s">
        <v>74</v>
      </c>
      <c r="F710" t="s">
        <v>13711</v>
      </c>
      <c r="G710" t="s">
        <v>74</v>
      </c>
      <c r="H710" t="s">
        <v>74</v>
      </c>
      <c r="I710" t="s">
        <v>13712</v>
      </c>
      <c r="J710" t="s">
        <v>6142</v>
      </c>
      <c r="K710" t="s">
        <v>74</v>
      </c>
      <c r="L710" t="s">
        <v>74</v>
      </c>
      <c r="M710" t="s">
        <v>78</v>
      </c>
      <c r="N710" t="s">
        <v>79</v>
      </c>
      <c r="O710" t="s">
        <v>74</v>
      </c>
      <c r="P710" t="s">
        <v>74</v>
      </c>
      <c r="Q710" t="s">
        <v>74</v>
      </c>
      <c r="R710" t="s">
        <v>74</v>
      </c>
      <c r="S710" t="s">
        <v>74</v>
      </c>
      <c r="T710" t="s">
        <v>13713</v>
      </c>
      <c r="U710" t="s">
        <v>13714</v>
      </c>
      <c r="V710" t="s">
        <v>13715</v>
      </c>
      <c r="W710" t="s">
        <v>13716</v>
      </c>
      <c r="X710" t="s">
        <v>13717</v>
      </c>
      <c r="Y710" t="s">
        <v>13718</v>
      </c>
      <c r="Z710" t="s">
        <v>13719</v>
      </c>
      <c r="AA710" t="s">
        <v>13720</v>
      </c>
      <c r="AB710" t="s">
        <v>13721</v>
      </c>
      <c r="AC710" t="s">
        <v>74</v>
      </c>
      <c r="AD710" t="s">
        <v>74</v>
      </c>
      <c r="AE710" t="s">
        <v>74</v>
      </c>
      <c r="AF710" t="s">
        <v>74</v>
      </c>
      <c r="AG710">
        <v>149</v>
      </c>
      <c r="AH710">
        <v>55</v>
      </c>
      <c r="AI710">
        <v>58</v>
      </c>
      <c r="AJ710">
        <v>3</v>
      </c>
      <c r="AK710">
        <v>26</v>
      </c>
      <c r="AL710" t="s">
        <v>257</v>
      </c>
      <c r="AM710" t="s">
        <v>258</v>
      </c>
      <c r="AN710" t="s">
        <v>259</v>
      </c>
      <c r="AO710" t="s">
        <v>6155</v>
      </c>
      <c r="AP710" t="s">
        <v>6156</v>
      </c>
      <c r="AQ710" t="s">
        <v>74</v>
      </c>
      <c r="AR710" t="s">
        <v>6157</v>
      </c>
      <c r="AS710" t="s">
        <v>6158</v>
      </c>
      <c r="AT710" t="s">
        <v>13121</v>
      </c>
      <c r="AU710">
        <v>2018</v>
      </c>
      <c r="AV710">
        <v>90</v>
      </c>
      <c r="AW710">
        <v>1</v>
      </c>
      <c r="AX710" t="s">
        <v>74</v>
      </c>
      <c r="AY710" t="s">
        <v>74</v>
      </c>
      <c r="AZ710" t="s">
        <v>74</v>
      </c>
      <c r="BA710" t="s">
        <v>74</v>
      </c>
      <c r="BB710">
        <v>222</v>
      </c>
      <c r="BC710">
        <v>243</v>
      </c>
      <c r="BD710" t="s">
        <v>74</v>
      </c>
      <c r="BE710" t="s">
        <v>13722</v>
      </c>
      <c r="BF710" t="str">
        <f>HYPERLINK("http://dx.doi.org/10.1017/qua.2018.37","http://dx.doi.org/10.1017/qua.2018.37")</f>
        <v>http://dx.doi.org/10.1017/qua.2018.37</v>
      </c>
      <c r="BG710" t="s">
        <v>74</v>
      </c>
      <c r="BH710" t="s">
        <v>74</v>
      </c>
      <c r="BI710">
        <v>22</v>
      </c>
      <c r="BJ710" t="s">
        <v>208</v>
      </c>
      <c r="BK710" t="s">
        <v>101</v>
      </c>
      <c r="BL710" t="s">
        <v>209</v>
      </c>
      <c r="BM710" t="s">
        <v>13723</v>
      </c>
      <c r="BN710" t="s">
        <v>74</v>
      </c>
      <c r="BO710" t="s">
        <v>1142</v>
      </c>
      <c r="BP710" t="s">
        <v>74</v>
      </c>
      <c r="BQ710" t="s">
        <v>74</v>
      </c>
      <c r="BR710" t="s">
        <v>104</v>
      </c>
      <c r="BS710" t="s">
        <v>13724</v>
      </c>
      <c r="BT710" t="str">
        <f>HYPERLINK("https%3A%2F%2Fwww.webofscience.com%2Fwos%2Fwoscc%2Ffull-record%2FWOS:000438045900016","View Full Record in Web of Science")</f>
        <v>View Full Record in Web of Science</v>
      </c>
    </row>
    <row r="711" spans="1:72" x14ac:dyDescent="0.15">
      <c r="A711" t="s">
        <v>72</v>
      </c>
      <c r="B711" t="s">
        <v>13725</v>
      </c>
      <c r="C711" t="s">
        <v>74</v>
      </c>
      <c r="D711" t="s">
        <v>74</v>
      </c>
      <c r="E711" t="s">
        <v>74</v>
      </c>
      <c r="F711" t="s">
        <v>13726</v>
      </c>
      <c r="G711" t="s">
        <v>74</v>
      </c>
      <c r="H711" t="s">
        <v>74</v>
      </c>
      <c r="I711" t="s">
        <v>13727</v>
      </c>
      <c r="J711" t="s">
        <v>2804</v>
      </c>
      <c r="K711" t="s">
        <v>74</v>
      </c>
      <c r="L711" t="s">
        <v>74</v>
      </c>
      <c r="M711" t="s">
        <v>78</v>
      </c>
      <c r="N711" t="s">
        <v>79</v>
      </c>
      <c r="O711" t="s">
        <v>74</v>
      </c>
      <c r="P711" t="s">
        <v>74</v>
      </c>
      <c r="Q711" t="s">
        <v>74</v>
      </c>
      <c r="R711" t="s">
        <v>74</v>
      </c>
      <c r="S711" t="s">
        <v>74</v>
      </c>
      <c r="T711" t="s">
        <v>13728</v>
      </c>
      <c r="U711" t="s">
        <v>13729</v>
      </c>
      <c r="V711" t="s">
        <v>13730</v>
      </c>
      <c r="W711" t="s">
        <v>13731</v>
      </c>
      <c r="X711" t="s">
        <v>13732</v>
      </c>
      <c r="Y711" t="s">
        <v>13733</v>
      </c>
      <c r="Z711" t="s">
        <v>13734</v>
      </c>
      <c r="AA711" t="s">
        <v>13735</v>
      </c>
      <c r="AB711" t="s">
        <v>13736</v>
      </c>
      <c r="AC711" t="s">
        <v>13737</v>
      </c>
      <c r="AD711" t="s">
        <v>13738</v>
      </c>
      <c r="AE711" t="s">
        <v>13739</v>
      </c>
      <c r="AF711" t="s">
        <v>74</v>
      </c>
      <c r="AG711">
        <v>76</v>
      </c>
      <c r="AH711">
        <v>14</v>
      </c>
      <c r="AI711">
        <v>17</v>
      </c>
      <c r="AJ711">
        <v>1</v>
      </c>
      <c r="AK711">
        <v>43</v>
      </c>
      <c r="AL711" t="s">
        <v>1053</v>
      </c>
      <c r="AM711" t="s">
        <v>1054</v>
      </c>
      <c r="AN711" t="s">
        <v>1055</v>
      </c>
      <c r="AO711" t="s">
        <v>2816</v>
      </c>
      <c r="AP711" t="s">
        <v>74</v>
      </c>
      <c r="AQ711" t="s">
        <v>74</v>
      </c>
      <c r="AR711" t="s">
        <v>2817</v>
      </c>
      <c r="AS711" t="s">
        <v>2818</v>
      </c>
      <c r="AT711" t="s">
        <v>13121</v>
      </c>
      <c r="AU711">
        <v>2018</v>
      </c>
      <c r="AV711">
        <v>10</v>
      </c>
      <c r="AW711">
        <v>7</v>
      </c>
      <c r="AX711" t="s">
        <v>74</v>
      </c>
      <c r="AY711" t="s">
        <v>74</v>
      </c>
      <c r="AZ711" t="s">
        <v>74</v>
      </c>
      <c r="BA711" t="s">
        <v>74</v>
      </c>
      <c r="BB711" t="s">
        <v>74</v>
      </c>
      <c r="BC711" t="s">
        <v>74</v>
      </c>
      <c r="BD711">
        <v>1045</v>
      </c>
      <c r="BE711" t="s">
        <v>13740</v>
      </c>
      <c r="BF711" t="str">
        <f>HYPERLINK("http://dx.doi.org/10.3390/rs10071045","http://dx.doi.org/10.3390/rs10071045")</f>
        <v>http://dx.doi.org/10.3390/rs10071045</v>
      </c>
      <c r="BG711" t="s">
        <v>74</v>
      </c>
      <c r="BH711" t="s">
        <v>74</v>
      </c>
      <c r="BI711">
        <v>19</v>
      </c>
      <c r="BJ711" t="s">
        <v>2820</v>
      </c>
      <c r="BK711" t="s">
        <v>101</v>
      </c>
      <c r="BL711" t="s">
        <v>2821</v>
      </c>
      <c r="BM711" t="s">
        <v>13741</v>
      </c>
      <c r="BN711" t="s">
        <v>74</v>
      </c>
      <c r="BO711" t="s">
        <v>1524</v>
      </c>
      <c r="BP711" t="s">
        <v>74</v>
      </c>
      <c r="BQ711" t="s">
        <v>74</v>
      </c>
      <c r="BR711" t="s">
        <v>104</v>
      </c>
      <c r="BS711" t="s">
        <v>13742</v>
      </c>
      <c r="BT711" t="str">
        <f>HYPERLINK("https%3A%2F%2Fwww.webofscience.com%2Fwos%2Fwoscc%2Ffull-record%2FWOS:000440332500068","View Full Record in Web of Science")</f>
        <v>View Full Record in Web of Science</v>
      </c>
    </row>
    <row r="712" spans="1:72" x14ac:dyDescent="0.15">
      <c r="A712" t="s">
        <v>72</v>
      </c>
      <c r="B712" t="s">
        <v>13743</v>
      </c>
      <c r="C712" t="s">
        <v>74</v>
      </c>
      <c r="D712" t="s">
        <v>74</v>
      </c>
      <c r="E712" t="s">
        <v>74</v>
      </c>
      <c r="F712" t="s">
        <v>13744</v>
      </c>
      <c r="G712" t="s">
        <v>74</v>
      </c>
      <c r="H712" t="s">
        <v>74</v>
      </c>
      <c r="I712" t="s">
        <v>13745</v>
      </c>
      <c r="J712" t="s">
        <v>5204</v>
      </c>
      <c r="K712" t="s">
        <v>74</v>
      </c>
      <c r="L712" t="s">
        <v>74</v>
      </c>
      <c r="M712" t="s">
        <v>78</v>
      </c>
      <c r="N712" t="s">
        <v>79</v>
      </c>
      <c r="O712" t="s">
        <v>74</v>
      </c>
      <c r="P712" t="s">
        <v>74</v>
      </c>
      <c r="Q712" t="s">
        <v>74</v>
      </c>
      <c r="R712" t="s">
        <v>74</v>
      </c>
      <c r="S712" t="s">
        <v>74</v>
      </c>
      <c r="T712" t="s">
        <v>74</v>
      </c>
      <c r="U712" t="s">
        <v>13746</v>
      </c>
      <c r="V712" t="s">
        <v>13747</v>
      </c>
      <c r="W712" t="s">
        <v>13748</v>
      </c>
      <c r="X712" t="s">
        <v>13749</v>
      </c>
      <c r="Y712" t="s">
        <v>13750</v>
      </c>
      <c r="Z712" t="s">
        <v>13751</v>
      </c>
      <c r="AA712" t="s">
        <v>13752</v>
      </c>
      <c r="AB712" t="s">
        <v>13753</v>
      </c>
      <c r="AC712" t="s">
        <v>13754</v>
      </c>
      <c r="AD712" t="s">
        <v>13755</v>
      </c>
      <c r="AE712" t="s">
        <v>13756</v>
      </c>
      <c r="AF712" t="s">
        <v>74</v>
      </c>
      <c r="AG712">
        <v>67</v>
      </c>
      <c r="AH712">
        <v>19</v>
      </c>
      <c r="AI712">
        <v>21</v>
      </c>
      <c r="AJ712">
        <v>4</v>
      </c>
      <c r="AK712">
        <v>32</v>
      </c>
      <c r="AL712" t="s">
        <v>503</v>
      </c>
      <c r="AM712" t="s">
        <v>504</v>
      </c>
      <c r="AN712" t="s">
        <v>505</v>
      </c>
      <c r="AO712" t="s">
        <v>5217</v>
      </c>
      <c r="AP712" t="s">
        <v>5218</v>
      </c>
      <c r="AQ712" t="s">
        <v>74</v>
      </c>
      <c r="AR712" t="s">
        <v>5219</v>
      </c>
      <c r="AS712" t="s">
        <v>5220</v>
      </c>
      <c r="AT712" t="s">
        <v>13121</v>
      </c>
      <c r="AU712">
        <v>2018</v>
      </c>
      <c r="AV712">
        <v>123</v>
      </c>
      <c r="AW712">
        <v>7</v>
      </c>
      <c r="AX712" t="s">
        <v>74</v>
      </c>
      <c r="AY712" t="s">
        <v>74</v>
      </c>
      <c r="AZ712" t="s">
        <v>74</v>
      </c>
      <c r="BA712" t="s">
        <v>74</v>
      </c>
      <c r="BB712">
        <v>2198</v>
      </c>
      <c r="BC712">
        <v>2211</v>
      </c>
      <c r="BD712" t="s">
        <v>74</v>
      </c>
      <c r="BE712" t="s">
        <v>13757</v>
      </c>
      <c r="BF712" t="str">
        <f>HYPERLINK("http://dx.doi.org/10.1029/2018JG004392","http://dx.doi.org/10.1029/2018JG004392")</f>
        <v>http://dx.doi.org/10.1029/2018JG004392</v>
      </c>
      <c r="BG712" t="s">
        <v>74</v>
      </c>
      <c r="BH712" t="s">
        <v>74</v>
      </c>
      <c r="BI712">
        <v>14</v>
      </c>
      <c r="BJ712" t="s">
        <v>5222</v>
      </c>
      <c r="BK712" t="s">
        <v>101</v>
      </c>
      <c r="BL712" t="s">
        <v>5223</v>
      </c>
      <c r="BM712" t="s">
        <v>13758</v>
      </c>
      <c r="BN712" t="s">
        <v>74</v>
      </c>
      <c r="BO712" t="s">
        <v>5731</v>
      </c>
      <c r="BP712" t="s">
        <v>74</v>
      </c>
      <c r="BQ712" t="s">
        <v>74</v>
      </c>
      <c r="BR712" t="s">
        <v>104</v>
      </c>
      <c r="BS712" t="s">
        <v>13759</v>
      </c>
      <c r="BT712" t="str">
        <f>HYPERLINK("https%3A%2F%2Fwww.webofscience.com%2Fwos%2Fwoscc%2Ffull-record%2FWOS:000450067500013","View Full Record in Web of Science")</f>
        <v>View Full Record in Web of Science</v>
      </c>
    </row>
    <row r="713" spans="1:72" x14ac:dyDescent="0.15">
      <c r="A713" t="s">
        <v>72</v>
      </c>
      <c r="B713" t="s">
        <v>13760</v>
      </c>
      <c r="C713" t="s">
        <v>74</v>
      </c>
      <c r="D713" t="s">
        <v>74</v>
      </c>
      <c r="E713" t="s">
        <v>74</v>
      </c>
      <c r="F713" t="s">
        <v>13761</v>
      </c>
      <c r="G713" t="s">
        <v>74</v>
      </c>
      <c r="H713" t="s">
        <v>74</v>
      </c>
      <c r="I713" t="s">
        <v>13762</v>
      </c>
      <c r="J713" t="s">
        <v>1529</v>
      </c>
      <c r="K713" t="s">
        <v>74</v>
      </c>
      <c r="L713" t="s">
        <v>74</v>
      </c>
      <c r="M713" t="s">
        <v>78</v>
      </c>
      <c r="N713" t="s">
        <v>79</v>
      </c>
      <c r="O713" t="s">
        <v>74</v>
      </c>
      <c r="P713" t="s">
        <v>74</v>
      </c>
      <c r="Q713" t="s">
        <v>74</v>
      </c>
      <c r="R713" t="s">
        <v>74</v>
      </c>
      <c r="S713" t="s">
        <v>74</v>
      </c>
      <c r="T713" t="s">
        <v>13763</v>
      </c>
      <c r="U713" t="s">
        <v>13764</v>
      </c>
      <c r="V713" t="s">
        <v>13765</v>
      </c>
      <c r="W713" t="s">
        <v>13766</v>
      </c>
      <c r="X713" t="s">
        <v>13767</v>
      </c>
      <c r="Y713" t="s">
        <v>13768</v>
      </c>
      <c r="Z713" t="s">
        <v>13769</v>
      </c>
      <c r="AA713" t="s">
        <v>13770</v>
      </c>
      <c r="AB713" t="s">
        <v>13771</v>
      </c>
      <c r="AC713" t="s">
        <v>13772</v>
      </c>
      <c r="AD713" t="s">
        <v>13773</v>
      </c>
      <c r="AE713" t="s">
        <v>13774</v>
      </c>
      <c r="AF713" t="s">
        <v>74</v>
      </c>
      <c r="AG713">
        <v>85</v>
      </c>
      <c r="AH713">
        <v>10</v>
      </c>
      <c r="AI713">
        <v>12</v>
      </c>
      <c r="AJ713">
        <v>1</v>
      </c>
      <c r="AK713">
        <v>7</v>
      </c>
      <c r="AL713" t="s">
        <v>92</v>
      </c>
      <c r="AM713" t="s">
        <v>93</v>
      </c>
      <c r="AN713" t="s">
        <v>94</v>
      </c>
      <c r="AO713" t="s">
        <v>1536</v>
      </c>
      <c r="AP713" t="s">
        <v>1537</v>
      </c>
      <c r="AQ713" t="s">
        <v>74</v>
      </c>
      <c r="AR713" t="s">
        <v>1538</v>
      </c>
      <c r="AS713" t="s">
        <v>1539</v>
      </c>
      <c r="AT713" t="s">
        <v>13121</v>
      </c>
      <c r="AU713">
        <v>2018</v>
      </c>
      <c r="AV713">
        <v>214</v>
      </c>
      <c r="AW713">
        <v>1</v>
      </c>
      <c r="AX713" t="s">
        <v>74</v>
      </c>
      <c r="AY713" t="s">
        <v>74</v>
      </c>
      <c r="AZ713" t="s">
        <v>74</v>
      </c>
      <c r="BA713" t="s">
        <v>74</v>
      </c>
      <c r="BB713">
        <v>485</v>
      </c>
      <c r="BC713">
        <v>507</v>
      </c>
      <c r="BD713" t="s">
        <v>74</v>
      </c>
      <c r="BE713" t="s">
        <v>13775</v>
      </c>
      <c r="BF713" t="str">
        <f>HYPERLINK("http://dx.doi.org/10.1093/gji/ggy141","http://dx.doi.org/10.1093/gji/ggy141")</f>
        <v>http://dx.doi.org/10.1093/gji/ggy141</v>
      </c>
      <c r="BG713" t="s">
        <v>74</v>
      </c>
      <c r="BH713" t="s">
        <v>74</v>
      </c>
      <c r="BI713">
        <v>23</v>
      </c>
      <c r="BJ713" t="s">
        <v>484</v>
      </c>
      <c r="BK713" t="s">
        <v>101</v>
      </c>
      <c r="BL713" t="s">
        <v>484</v>
      </c>
      <c r="BM713" t="s">
        <v>13776</v>
      </c>
      <c r="BN713" t="s">
        <v>74</v>
      </c>
      <c r="BO713" t="s">
        <v>1142</v>
      </c>
      <c r="BP713" t="s">
        <v>74</v>
      </c>
      <c r="BQ713" t="s">
        <v>74</v>
      </c>
      <c r="BR713" t="s">
        <v>104</v>
      </c>
      <c r="BS713" t="s">
        <v>13777</v>
      </c>
      <c r="BT713" t="str">
        <f>HYPERLINK("https%3A%2F%2Fwww.webofscience.com%2Fwos%2Fwoscc%2Ffull-record%2FWOS:000448235200033","View Full Record in Web of Science")</f>
        <v>View Full Record in Web of Science</v>
      </c>
    </row>
    <row r="714" spans="1:72" x14ac:dyDescent="0.15">
      <c r="A714" t="s">
        <v>72</v>
      </c>
      <c r="B714" t="s">
        <v>13778</v>
      </c>
      <c r="C714" t="s">
        <v>74</v>
      </c>
      <c r="D714" t="s">
        <v>74</v>
      </c>
      <c r="E714" t="s">
        <v>74</v>
      </c>
      <c r="F714" t="s">
        <v>13779</v>
      </c>
      <c r="G714" t="s">
        <v>74</v>
      </c>
      <c r="H714" t="s">
        <v>74</v>
      </c>
      <c r="I714" t="s">
        <v>13780</v>
      </c>
      <c r="J714" t="s">
        <v>5550</v>
      </c>
      <c r="K714" t="s">
        <v>74</v>
      </c>
      <c r="L714" t="s">
        <v>74</v>
      </c>
      <c r="M714" t="s">
        <v>78</v>
      </c>
      <c r="N714" t="s">
        <v>79</v>
      </c>
      <c r="O714" t="s">
        <v>74</v>
      </c>
      <c r="P714" t="s">
        <v>74</v>
      </c>
      <c r="Q714" t="s">
        <v>74</v>
      </c>
      <c r="R714" t="s">
        <v>74</v>
      </c>
      <c r="S714" t="s">
        <v>74</v>
      </c>
      <c r="T714" t="s">
        <v>74</v>
      </c>
      <c r="U714" t="s">
        <v>13781</v>
      </c>
      <c r="V714" t="s">
        <v>13782</v>
      </c>
      <c r="W714" t="s">
        <v>13783</v>
      </c>
      <c r="X714" t="s">
        <v>6292</v>
      </c>
      <c r="Y714" t="s">
        <v>13784</v>
      </c>
      <c r="Z714" t="s">
        <v>13785</v>
      </c>
      <c r="AA714" t="s">
        <v>13786</v>
      </c>
      <c r="AB714" t="s">
        <v>13787</v>
      </c>
      <c r="AC714" t="s">
        <v>13788</v>
      </c>
      <c r="AD714" t="s">
        <v>13789</v>
      </c>
      <c r="AE714" t="s">
        <v>13790</v>
      </c>
      <c r="AF714" t="s">
        <v>74</v>
      </c>
      <c r="AG714">
        <v>22</v>
      </c>
      <c r="AH714">
        <v>15</v>
      </c>
      <c r="AI714">
        <v>15</v>
      </c>
      <c r="AJ714">
        <v>1</v>
      </c>
      <c r="AK714">
        <v>14</v>
      </c>
      <c r="AL714" t="s">
        <v>5383</v>
      </c>
      <c r="AM714" t="s">
        <v>258</v>
      </c>
      <c r="AN714" t="s">
        <v>5384</v>
      </c>
      <c r="AO714" t="s">
        <v>5560</v>
      </c>
      <c r="AP714" t="s">
        <v>5561</v>
      </c>
      <c r="AQ714" t="s">
        <v>74</v>
      </c>
      <c r="AR714" t="s">
        <v>5562</v>
      </c>
      <c r="AS714" t="s">
        <v>5563</v>
      </c>
      <c r="AT714" t="s">
        <v>13121</v>
      </c>
      <c r="AU714">
        <v>2018</v>
      </c>
      <c r="AV714">
        <v>58</v>
      </c>
      <c r="AW714">
        <v>4</v>
      </c>
      <c r="AX714" t="s">
        <v>74</v>
      </c>
      <c r="AY714" t="s">
        <v>74</v>
      </c>
      <c r="AZ714" t="s">
        <v>74</v>
      </c>
      <c r="BA714" t="s">
        <v>74</v>
      </c>
      <c r="BB714">
        <v>503</v>
      </c>
      <c r="BC714">
        <v>516</v>
      </c>
      <c r="BD714" t="s">
        <v>74</v>
      </c>
      <c r="BE714" t="s">
        <v>13791</v>
      </c>
      <c r="BF714" t="str">
        <f>HYPERLINK("http://dx.doi.org/10.1134/S0001437018040100","http://dx.doi.org/10.1134/S0001437018040100")</f>
        <v>http://dx.doi.org/10.1134/S0001437018040100</v>
      </c>
      <c r="BG714" t="s">
        <v>74</v>
      </c>
      <c r="BH714" t="s">
        <v>74</v>
      </c>
      <c r="BI714">
        <v>14</v>
      </c>
      <c r="BJ714" t="s">
        <v>157</v>
      </c>
      <c r="BK714" t="s">
        <v>101</v>
      </c>
      <c r="BL714" t="s">
        <v>157</v>
      </c>
      <c r="BM714" t="s">
        <v>13792</v>
      </c>
      <c r="BN714" t="s">
        <v>74</v>
      </c>
      <c r="BO714" t="s">
        <v>74</v>
      </c>
      <c r="BP714" t="s">
        <v>74</v>
      </c>
      <c r="BQ714" t="s">
        <v>74</v>
      </c>
      <c r="BR714" t="s">
        <v>104</v>
      </c>
      <c r="BS714" t="s">
        <v>13793</v>
      </c>
      <c r="BT714" t="str">
        <f>HYPERLINK("https%3A%2F%2Fwww.webofscience.com%2Fwos%2Fwoscc%2Ffull-record%2FWOS:000446502900001","View Full Record in Web of Science")</f>
        <v>View Full Record in Web of Science</v>
      </c>
    </row>
    <row r="715" spans="1:72" x14ac:dyDescent="0.15">
      <c r="A715" t="s">
        <v>72</v>
      </c>
      <c r="B715" t="s">
        <v>13794</v>
      </c>
      <c r="C715" t="s">
        <v>74</v>
      </c>
      <c r="D715" t="s">
        <v>74</v>
      </c>
      <c r="E715" t="s">
        <v>74</v>
      </c>
      <c r="F715" t="s">
        <v>13795</v>
      </c>
      <c r="G715" t="s">
        <v>74</v>
      </c>
      <c r="H715" t="s">
        <v>74</v>
      </c>
      <c r="I715" t="s">
        <v>13796</v>
      </c>
      <c r="J715" t="s">
        <v>5550</v>
      </c>
      <c r="K715" t="s">
        <v>74</v>
      </c>
      <c r="L715" t="s">
        <v>74</v>
      </c>
      <c r="M715" t="s">
        <v>78</v>
      </c>
      <c r="N715" t="s">
        <v>79</v>
      </c>
      <c r="O715" t="s">
        <v>74</v>
      </c>
      <c r="P715" t="s">
        <v>74</v>
      </c>
      <c r="Q715" t="s">
        <v>74</v>
      </c>
      <c r="R715" t="s">
        <v>74</v>
      </c>
      <c r="S715" t="s">
        <v>74</v>
      </c>
      <c r="T715" t="s">
        <v>74</v>
      </c>
      <c r="U715" t="s">
        <v>74</v>
      </c>
      <c r="V715" t="s">
        <v>13797</v>
      </c>
      <c r="W715" t="s">
        <v>13798</v>
      </c>
      <c r="X715" t="s">
        <v>13799</v>
      </c>
      <c r="Y715" t="s">
        <v>13800</v>
      </c>
      <c r="Z715" t="s">
        <v>13801</v>
      </c>
      <c r="AA715" t="s">
        <v>13802</v>
      </c>
      <c r="AB715" t="s">
        <v>13803</v>
      </c>
      <c r="AC715" t="s">
        <v>13804</v>
      </c>
      <c r="AD715" t="s">
        <v>13805</v>
      </c>
      <c r="AE715" t="s">
        <v>13806</v>
      </c>
      <c r="AF715" t="s">
        <v>74</v>
      </c>
      <c r="AG715">
        <v>23</v>
      </c>
      <c r="AH715">
        <v>2</v>
      </c>
      <c r="AI715">
        <v>2</v>
      </c>
      <c r="AJ715">
        <v>0</v>
      </c>
      <c r="AK715">
        <v>6</v>
      </c>
      <c r="AL715" t="s">
        <v>5383</v>
      </c>
      <c r="AM715" t="s">
        <v>258</v>
      </c>
      <c r="AN715" t="s">
        <v>5384</v>
      </c>
      <c r="AO715" t="s">
        <v>5560</v>
      </c>
      <c r="AP715" t="s">
        <v>5561</v>
      </c>
      <c r="AQ715" t="s">
        <v>74</v>
      </c>
      <c r="AR715" t="s">
        <v>5562</v>
      </c>
      <c r="AS715" t="s">
        <v>5563</v>
      </c>
      <c r="AT715" t="s">
        <v>13121</v>
      </c>
      <c r="AU715">
        <v>2018</v>
      </c>
      <c r="AV715">
        <v>58</v>
      </c>
      <c r="AW715">
        <v>4</v>
      </c>
      <c r="AX715" t="s">
        <v>74</v>
      </c>
      <c r="AY715" t="s">
        <v>74</v>
      </c>
      <c r="AZ715" t="s">
        <v>74</v>
      </c>
      <c r="BA715" t="s">
        <v>74</v>
      </c>
      <c r="BB715">
        <v>517</v>
      </c>
      <c r="BC715">
        <v>524</v>
      </c>
      <c r="BD715" t="s">
        <v>74</v>
      </c>
      <c r="BE715" t="s">
        <v>13807</v>
      </c>
      <c r="BF715" t="str">
        <f>HYPERLINK("http://dx.doi.org/10.1134/S0001437018040136","http://dx.doi.org/10.1134/S0001437018040136")</f>
        <v>http://dx.doi.org/10.1134/S0001437018040136</v>
      </c>
      <c r="BG715" t="s">
        <v>74</v>
      </c>
      <c r="BH715" t="s">
        <v>74</v>
      </c>
      <c r="BI715">
        <v>8</v>
      </c>
      <c r="BJ715" t="s">
        <v>157</v>
      </c>
      <c r="BK715" t="s">
        <v>101</v>
      </c>
      <c r="BL715" t="s">
        <v>157</v>
      </c>
      <c r="BM715" t="s">
        <v>13792</v>
      </c>
      <c r="BN715" t="s">
        <v>74</v>
      </c>
      <c r="BO715" t="s">
        <v>74</v>
      </c>
      <c r="BP715" t="s">
        <v>74</v>
      </c>
      <c r="BQ715" t="s">
        <v>74</v>
      </c>
      <c r="BR715" t="s">
        <v>104</v>
      </c>
      <c r="BS715" t="s">
        <v>13808</v>
      </c>
      <c r="BT715" t="str">
        <f>HYPERLINK("https%3A%2F%2Fwww.webofscience.com%2Fwos%2Fwoscc%2Ffull-record%2FWOS:000446502900002","View Full Record in Web of Science")</f>
        <v>View Full Record in Web of Science</v>
      </c>
    </row>
    <row r="716" spans="1:72" x14ac:dyDescent="0.15">
      <c r="A716" t="s">
        <v>72</v>
      </c>
      <c r="B716" t="s">
        <v>13809</v>
      </c>
      <c r="C716" t="s">
        <v>74</v>
      </c>
      <c r="D716" t="s">
        <v>74</v>
      </c>
      <c r="E716" t="s">
        <v>74</v>
      </c>
      <c r="F716" t="s">
        <v>13810</v>
      </c>
      <c r="G716" t="s">
        <v>74</v>
      </c>
      <c r="H716" t="s">
        <v>74</v>
      </c>
      <c r="I716" t="s">
        <v>13811</v>
      </c>
      <c r="J716" t="s">
        <v>5550</v>
      </c>
      <c r="K716" t="s">
        <v>74</v>
      </c>
      <c r="L716" t="s">
        <v>74</v>
      </c>
      <c r="M716" t="s">
        <v>78</v>
      </c>
      <c r="N716" t="s">
        <v>79</v>
      </c>
      <c r="O716" t="s">
        <v>74</v>
      </c>
      <c r="P716" t="s">
        <v>74</v>
      </c>
      <c r="Q716" t="s">
        <v>74</v>
      </c>
      <c r="R716" t="s">
        <v>74</v>
      </c>
      <c r="S716" t="s">
        <v>74</v>
      </c>
      <c r="T716" t="s">
        <v>74</v>
      </c>
      <c r="U716" t="s">
        <v>13812</v>
      </c>
      <c r="V716" t="s">
        <v>13813</v>
      </c>
      <c r="W716" t="s">
        <v>13814</v>
      </c>
      <c r="X716" t="s">
        <v>13815</v>
      </c>
      <c r="Y716" t="s">
        <v>13816</v>
      </c>
      <c r="Z716" t="s">
        <v>13817</v>
      </c>
      <c r="AA716" t="s">
        <v>13818</v>
      </c>
      <c r="AB716" t="s">
        <v>13819</v>
      </c>
      <c r="AC716" t="s">
        <v>13820</v>
      </c>
      <c r="AD716" t="s">
        <v>13821</v>
      </c>
      <c r="AE716" t="s">
        <v>13822</v>
      </c>
      <c r="AF716" t="s">
        <v>74</v>
      </c>
      <c r="AG716">
        <v>27</v>
      </c>
      <c r="AH716">
        <v>0</v>
      </c>
      <c r="AI716">
        <v>0</v>
      </c>
      <c r="AJ716">
        <v>0</v>
      </c>
      <c r="AK716">
        <v>2</v>
      </c>
      <c r="AL716" t="s">
        <v>5383</v>
      </c>
      <c r="AM716" t="s">
        <v>258</v>
      </c>
      <c r="AN716" t="s">
        <v>5384</v>
      </c>
      <c r="AO716" t="s">
        <v>5560</v>
      </c>
      <c r="AP716" t="s">
        <v>5561</v>
      </c>
      <c r="AQ716" t="s">
        <v>74</v>
      </c>
      <c r="AR716" t="s">
        <v>5562</v>
      </c>
      <c r="AS716" t="s">
        <v>5563</v>
      </c>
      <c r="AT716" t="s">
        <v>13121</v>
      </c>
      <c r="AU716">
        <v>2018</v>
      </c>
      <c r="AV716">
        <v>58</v>
      </c>
      <c r="AW716">
        <v>4</v>
      </c>
      <c r="AX716" t="s">
        <v>74</v>
      </c>
      <c r="AY716" t="s">
        <v>74</v>
      </c>
      <c r="AZ716" t="s">
        <v>74</v>
      </c>
      <c r="BA716" t="s">
        <v>74</v>
      </c>
      <c r="BB716">
        <v>601</v>
      </c>
      <c r="BC716">
        <v>605</v>
      </c>
      <c r="BD716" t="s">
        <v>74</v>
      </c>
      <c r="BE716" t="s">
        <v>13823</v>
      </c>
      <c r="BF716" t="str">
        <f>HYPERLINK("http://dx.doi.org/10.1134/S0001437018040082","http://dx.doi.org/10.1134/S0001437018040082")</f>
        <v>http://dx.doi.org/10.1134/S0001437018040082</v>
      </c>
      <c r="BG716" t="s">
        <v>74</v>
      </c>
      <c r="BH716" t="s">
        <v>74</v>
      </c>
      <c r="BI716">
        <v>5</v>
      </c>
      <c r="BJ716" t="s">
        <v>157</v>
      </c>
      <c r="BK716" t="s">
        <v>101</v>
      </c>
      <c r="BL716" t="s">
        <v>157</v>
      </c>
      <c r="BM716" t="s">
        <v>13792</v>
      </c>
      <c r="BN716" t="s">
        <v>74</v>
      </c>
      <c r="BO716" t="s">
        <v>74</v>
      </c>
      <c r="BP716" t="s">
        <v>74</v>
      </c>
      <c r="BQ716" t="s">
        <v>74</v>
      </c>
      <c r="BR716" t="s">
        <v>104</v>
      </c>
      <c r="BS716" t="s">
        <v>13824</v>
      </c>
      <c r="BT716" t="str">
        <f>HYPERLINK("https%3A%2F%2Fwww.webofscience.com%2Fwos%2Fwoscc%2Ffull-record%2FWOS:000446502900010","View Full Record in Web of Science")</f>
        <v>View Full Record in Web of Science</v>
      </c>
    </row>
    <row r="717" spans="1:72" x14ac:dyDescent="0.15">
      <c r="A717" t="s">
        <v>72</v>
      </c>
      <c r="B717" t="s">
        <v>13825</v>
      </c>
      <c r="C717" t="s">
        <v>74</v>
      </c>
      <c r="D717" t="s">
        <v>74</v>
      </c>
      <c r="E717" t="s">
        <v>74</v>
      </c>
      <c r="F717" t="s">
        <v>13826</v>
      </c>
      <c r="G717" t="s">
        <v>74</v>
      </c>
      <c r="H717" t="s">
        <v>74</v>
      </c>
      <c r="I717" t="s">
        <v>13827</v>
      </c>
      <c r="J717" t="s">
        <v>5067</v>
      </c>
      <c r="K717" t="s">
        <v>74</v>
      </c>
      <c r="L717" t="s">
        <v>74</v>
      </c>
      <c r="M717" t="s">
        <v>78</v>
      </c>
      <c r="N717" t="s">
        <v>79</v>
      </c>
      <c r="O717" t="s">
        <v>74</v>
      </c>
      <c r="P717" t="s">
        <v>74</v>
      </c>
      <c r="Q717" t="s">
        <v>74</v>
      </c>
      <c r="R717" t="s">
        <v>74</v>
      </c>
      <c r="S717" t="s">
        <v>74</v>
      </c>
      <c r="T717" t="s">
        <v>13828</v>
      </c>
      <c r="U717" t="s">
        <v>13829</v>
      </c>
      <c r="V717" t="s">
        <v>13830</v>
      </c>
      <c r="W717" t="s">
        <v>13831</v>
      </c>
      <c r="X717" t="s">
        <v>13832</v>
      </c>
      <c r="Y717" t="s">
        <v>13833</v>
      </c>
      <c r="Z717" t="s">
        <v>13834</v>
      </c>
      <c r="AA717" t="s">
        <v>74</v>
      </c>
      <c r="AB717" t="s">
        <v>74</v>
      </c>
      <c r="AC717" t="s">
        <v>13835</v>
      </c>
      <c r="AD717" t="s">
        <v>13835</v>
      </c>
      <c r="AE717" t="s">
        <v>13836</v>
      </c>
      <c r="AF717" t="s">
        <v>74</v>
      </c>
      <c r="AG717">
        <v>28</v>
      </c>
      <c r="AH717">
        <v>1</v>
      </c>
      <c r="AI717">
        <v>1</v>
      </c>
      <c r="AJ717">
        <v>0</v>
      </c>
      <c r="AK717">
        <v>1</v>
      </c>
      <c r="AL717" t="s">
        <v>5078</v>
      </c>
      <c r="AM717" t="s">
        <v>2037</v>
      </c>
      <c r="AN717" t="s">
        <v>5079</v>
      </c>
      <c r="AO717" t="s">
        <v>5080</v>
      </c>
      <c r="AP717" t="s">
        <v>5081</v>
      </c>
      <c r="AQ717" t="s">
        <v>74</v>
      </c>
      <c r="AR717" t="s">
        <v>5082</v>
      </c>
      <c r="AS717" t="s">
        <v>5083</v>
      </c>
      <c r="AT717" t="s">
        <v>13121</v>
      </c>
      <c r="AU717">
        <v>2018</v>
      </c>
      <c r="AV717">
        <v>47</v>
      </c>
      <c r="AW717">
        <v>7</v>
      </c>
      <c r="AX717" t="s">
        <v>74</v>
      </c>
      <c r="AY717" t="s">
        <v>74</v>
      </c>
      <c r="AZ717" t="s">
        <v>74</v>
      </c>
      <c r="BA717" t="s">
        <v>74</v>
      </c>
      <c r="BB717">
        <v>1345</v>
      </c>
      <c r="BC717">
        <v>1352</v>
      </c>
      <c r="BD717" t="s">
        <v>74</v>
      </c>
      <c r="BE717" t="s">
        <v>74</v>
      </c>
      <c r="BF717" t="s">
        <v>74</v>
      </c>
      <c r="BG717" t="s">
        <v>74</v>
      </c>
      <c r="BH717" t="s">
        <v>74</v>
      </c>
      <c r="BI717">
        <v>8</v>
      </c>
      <c r="BJ717" t="s">
        <v>157</v>
      </c>
      <c r="BK717" t="s">
        <v>101</v>
      </c>
      <c r="BL717" t="s">
        <v>157</v>
      </c>
      <c r="BM717" t="s">
        <v>13837</v>
      </c>
      <c r="BN717" t="s">
        <v>74</v>
      </c>
      <c r="BO717" t="s">
        <v>74</v>
      </c>
      <c r="BP717" t="s">
        <v>74</v>
      </c>
      <c r="BQ717" t="s">
        <v>74</v>
      </c>
      <c r="BR717" t="s">
        <v>104</v>
      </c>
      <c r="BS717" t="s">
        <v>13838</v>
      </c>
      <c r="BT717" t="str">
        <f>HYPERLINK("https%3A%2F%2Fwww.webofscience.com%2Fwos%2Fwoscc%2Ffull-record%2FWOS:000444221600003","View Full Record in Web of Science")</f>
        <v>View Full Record in Web of Science</v>
      </c>
    </row>
    <row r="718" spans="1:72" x14ac:dyDescent="0.15">
      <c r="A718" t="s">
        <v>72</v>
      </c>
      <c r="B718" t="s">
        <v>13839</v>
      </c>
      <c r="C718" t="s">
        <v>74</v>
      </c>
      <c r="D718" t="s">
        <v>74</v>
      </c>
      <c r="E718" t="s">
        <v>74</v>
      </c>
      <c r="F718" t="s">
        <v>13840</v>
      </c>
      <c r="G718" t="s">
        <v>74</v>
      </c>
      <c r="H718" t="s">
        <v>74</v>
      </c>
      <c r="I718" t="s">
        <v>13841</v>
      </c>
      <c r="J718" t="s">
        <v>9497</v>
      </c>
      <c r="K718" t="s">
        <v>74</v>
      </c>
      <c r="L718" t="s">
        <v>74</v>
      </c>
      <c r="M718" t="s">
        <v>78</v>
      </c>
      <c r="N718" t="s">
        <v>79</v>
      </c>
      <c r="O718" t="s">
        <v>74</v>
      </c>
      <c r="P718" t="s">
        <v>74</v>
      </c>
      <c r="Q718" t="s">
        <v>74</v>
      </c>
      <c r="R718" t="s">
        <v>74</v>
      </c>
      <c r="S718" t="s">
        <v>74</v>
      </c>
      <c r="T718" t="s">
        <v>13842</v>
      </c>
      <c r="U718" t="s">
        <v>13843</v>
      </c>
      <c r="V718" t="s">
        <v>13844</v>
      </c>
      <c r="W718" t="s">
        <v>13845</v>
      </c>
      <c r="X718" t="s">
        <v>9502</v>
      </c>
      <c r="Y718" t="s">
        <v>9503</v>
      </c>
      <c r="Z718" t="s">
        <v>13846</v>
      </c>
      <c r="AA718" t="s">
        <v>13847</v>
      </c>
      <c r="AB718" t="s">
        <v>13848</v>
      </c>
      <c r="AC718" t="s">
        <v>13849</v>
      </c>
      <c r="AD718" t="s">
        <v>13850</v>
      </c>
      <c r="AE718" t="s">
        <v>13851</v>
      </c>
      <c r="AF718" t="s">
        <v>74</v>
      </c>
      <c r="AG718">
        <v>47</v>
      </c>
      <c r="AH718">
        <v>16</v>
      </c>
      <c r="AI718">
        <v>17</v>
      </c>
      <c r="AJ718">
        <v>1</v>
      </c>
      <c r="AK718">
        <v>34</v>
      </c>
      <c r="AL718" t="s">
        <v>285</v>
      </c>
      <c r="AM718" t="s">
        <v>286</v>
      </c>
      <c r="AN718" t="s">
        <v>287</v>
      </c>
      <c r="AO718" t="s">
        <v>9510</v>
      </c>
      <c r="AP718" t="s">
        <v>13852</v>
      </c>
      <c r="AQ718" t="s">
        <v>74</v>
      </c>
      <c r="AR718" t="s">
        <v>9511</v>
      </c>
      <c r="AS718" t="s">
        <v>9512</v>
      </c>
      <c r="AT718" t="s">
        <v>13121</v>
      </c>
      <c r="AU718">
        <v>2018</v>
      </c>
      <c r="AV718">
        <v>46</v>
      </c>
      <c r="AW718" t="s">
        <v>74</v>
      </c>
      <c r="AX718" t="s">
        <v>74</v>
      </c>
      <c r="AY718" t="s">
        <v>74</v>
      </c>
      <c r="AZ718" t="s">
        <v>74</v>
      </c>
      <c r="BA718" t="s">
        <v>74</v>
      </c>
      <c r="BB718">
        <v>413</v>
      </c>
      <c r="BC718">
        <v>422</v>
      </c>
      <c r="BD718" t="s">
        <v>74</v>
      </c>
      <c r="BE718" t="s">
        <v>13853</v>
      </c>
      <c r="BF718" t="str">
        <f>HYPERLINK("http://dx.doi.org/10.1016/j.jff.2018.05.008","http://dx.doi.org/10.1016/j.jff.2018.05.008")</f>
        <v>http://dx.doi.org/10.1016/j.jff.2018.05.008</v>
      </c>
      <c r="BG718" t="s">
        <v>74</v>
      </c>
      <c r="BH718" t="s">
        <v>74</v>
      </c>
      <c r="BI718">
        <v>10</v>
      </c>
      <c r="BJ718" t="s">
        <v>9365</v>
      </c>
      <c r="BK718" t="s">
        <v>101</v>
      </c>
      <c r="BL718" t="s">
        <v>9365</v>
      </c>
      <c r="BM718" t="s">
        <v>13854</v>
      </c>
      <c r="BN718" t="s">
        <v>74</v>
      </c>
      <c r="BO718" t="s">
        <v>74</v>
      </c>
      <c r="BP718" t="s">
        <v>74</v>
      </c>
      <c r="BQ718" t="s">
        <v>74</v>
      </c>
      <c r="BR718" t="s">
        <v>104</v>
      </c>
      <c r="BS718" t="s">
        <v>13855</v>
      </c>
      <c r="BT718" t="str">
        <f>HYPERLINK("https%3A%2F%2Fwww.webofscience.com%2Fwos%2Fwoscc%2Ffull-record%2FWOS:000443630000045","View Full Record in Web of Science")</f>
        <v>View Full Record in Web of Science</v>
      </c>
    </row>
    <row r="719" spans="1:72" x14ac:dyDescent="0.15">
      <c r="A719" t="s">
        <v>72</v>
      </c>
      <c r="B719" t="s">
        <v>13856</v>
      </c>
      <c r="C719" t="s">
        <v>74</v>
      </c>
      <c r="D719" t="s">
        <v>74</v>
      </c>
      <c r="E719" t="s">
        <v>74</v>
      </c>
      <c r="F719" t="s">
        <v>13857</v>
      </c>
      <c r="G719" t="s">
        <v>74</v>
      </c>
      <c r="H719" t="s">
        <v>74</v>
      </c>
      <c r="I719" t="s">
        <v>13858</v>
      </c>
      <c r="J719" t="s">
        <v>13859</v>
      </c>
      <c r="K719" t="s">
        <v>74</v>
      </c>
      <c r="L719" t="s">
        <v>74</v>
      </c>
      <c r="M719" t="s">
        <v>78</v>
      </c>
      <c r="N719" t="s">
        <v>79</v>
      </c>
      <c r="O719" t="s">
        <v>74</v>
      </c>
      <c r="P719" t="s">
        <v>74</v>
      </c>
      <c r="Q719" t="s">
        <v>74</v>
      </c>
      <c r="R719" t="s">
        <v>74</v>
      </c>
      <c r="S719" t="s">
        <v>74</v>
      </c>
      <c r="T719" t="s">
        <v>13860</v>
      </c>
      <c r="U719" t="s">
        <v>13861</v>
      </c>
      <c r="V719" t="s">
        <v>13862</v>
      </c>
      <c r="W719" t="s">
        <v>13863</v>
      </c>
      <c r="X719" t="s">
        <v>13864</v>
      </c>
      <c r="Y719" t="s">
        <v>13865</v>
      </c>
      <c r="Z719" t="s">
        <v>13866</v>
      </c>
      <c r="AA719" t="s">
        <v>13867</v>
      </c>
      <c r="AB719" t="s">
        <v>13868</v>
      </c>
      <c r="AC719" t="s">
        <v>13869</v>
      </c>
      <c r="AD719" t="s">
        <v>13870</v>
      </c>
      <c r="AE719" t="s">
        <v>13871</v>
      </c>
      <c r="AF719" t="s">
        <v>74</v>
      </c>
      <c r="AG719">
        <v>21</v>
      </c>
      <c r="AH719">
        <v>1</v>
      </c>
      <c r="AI719">
        <v>8</v>
      </c>
      <c r="AJ719">
        <v>1</v>
      </c>
      <c r="AK719">
        <v>15</v>
      </c>
      <c r="AL719" t="s">
        <v>1053</v>
      </c>
      <c r="AM719" t="s">
        <v>1054</v>
      </c>
      <c r="AN719" t="s">
        <v>1055</v>
      </c>
      <c r="AO719" t="s">
        <v>74</v>
      </c>
      <c r="AP719" t="s">
        <v>13872</v>
      </c>
      <c r="AQ719" t="s">
        <v>74</v>
      </c>
      <c r="AR719" t="s">
        <v>13873</v>
      </c>
      <c r="AS719" t="s">
        <v>13874</v>
      </c>
      <c r="AT719" t="s">
        <v>13121</v>
      </c>
      <c r="AU719">
        <v>2018</v>
      </c>
      <c r="AV719">
        <v>18</v>
      </c>
      <c r="AW719">
        <v>7</v>
      </c>
      <c r="AX719" t="s">
        <v>74</v>
      </c>
      <c r="AY719" t="s">
        <v>74</v>
      </c>
      <c r="AZ719" t="s">
        <v>74</v>
      </c>
      <c r="BA719" t="s">
        <v>74</v>
      </c>
      <c r="BB719" t="s">
        <v>74</v>
      </c>
      <c r="BC719" t="s">
        <v>74</v>
      </c>
      <c r="BD719">
        <v>2209</v>
      </c>
      <c r="BE719" t="s">
        <v>13875</v>
      </c>
      <c r="BF719" t="str">
        <f>HYPERLINK("http://dx.doi.org/10.3390/s18072209","http://dx.doi.org/10.3390/s18072209")</f>
        <v>http://dx.doi.org/10.3390/s18072209</v>
      </c>
      <c r="BG719" t="s">
        <v>74</v>
      </c>
      <c r="BH719" t="s">
        <v>74</v>
      </c>
      <c r="BI719">
        <v>20</v>
      </c>
      <c r="BJ719" t="s">
        <v>13876</v>
      </c>
      <c r="BK719" t="s">
        <v>101</v>
      </c>
      <c r="BL719" t="s">
        <v>13877</v>
      </c>
      <c r="BM719" t="s">
        <v>13878</v>
      </c>
      <c r="BN719" t="s">
        <v>74</v>
      </c>
      <c r="BO719" t="s">
        <v>13879</v>
      </c>
      <c r="BP719" t="s">
        <v>74</v>
      </c>
      <c r="BQ719" t="s">
        <v>74</v>
      </c>
      <c r="BR719" t="s">
        <v>104</v>
      </c>
      <c r="BS719" t="s">
        <v>13880</v>
      </c>
      <c r="BT719" t="str">
        <f>HYPERLINK("https%3A%2F%2Fwww.webofscience.com%2Fwos%2Fwoscc%2Ffull-record%2FWOS:000441334300231","View Full Record in Web of Science")</f>
        <v>View Full Record in Web of Science</v>
      </c>
    </row>
    <row r="720" spans="1:72" x14ac:dyDescent="0.15">
      <c r="A720" t="s">
        <v>72</v>
      </c>
      <c r="B720" t="s">
        <v>13881</v>
      </c>
      <c r="C720" t="s">
        <v>74</v>
      </c>
      <c r="D720" t="s">
        <v>74</v>
      </c>
      <c r="E720" t="s">
        <v>74</v>
      </c>
      <c r="F720" t="s">
        <v>13882</v>
      </c>
      <c r="G720" t="s">
        <v>74</v>
      </c>
      <c r="H720" t="s">
        <v>74</v>
      </c>
      <c r="I720" t="s">
        <v>13883</v>
      </c>
      <c r="J720" t="s">
        <v>5031</v>
      </c>
      <c r="K720" t="s">
        <v>74</v>
      </c>
      <c r="L720" t="s">
        <v>74</v>
      </c>
      <c r="M720" t="s">
        <v>78</v>
      </c>
      <c r="N720" t="s">
        <v>79</v>
      </c>
      <c r="O720" t="s">
        <v>74</v>
      </c>
      <c r="P720" t="s">
        <v>74</v>
      </c>
      <c r="Q720" t="s">
        <v>74</v>
      </c>
      <c r="R720" t="s">
        <v>74</v>
      </c>
      <c r="S720" t="s">
        <v>74</v>
      </c>
      <c r="T720" t="s">
        <v>13884</v>
      </c>
      <c r="U720" t="s">
        <v>13885</v>
      </c>
      <c r="V720" t="s">
        <v>13886</v>
      </c>
      <c r="W720" t="s">
        <v>13887</v>
      </c>
      <c r="X720" t="s">
        <v>13888</v>
      </c>
      <c r="Y720" t="s">
        <v>13889</v>
      </c>
      <c r="Z720" t="s">
        <v>13890</v>
      </c>
      <c r="AA720" t="s">
        <v>13891</v>
      </c>
      <c r="AB720" t="s">
        <v>13892</v>
      </c>
      <c r="AC720" t="s">
        <v>13893</v>
      </c>
      <c r="AD720" t="s">
        <v>13894</v>
      </c>
      <c r="AE720" t="s">
        <v>13895</v>
      </c>
      <c r="AF720" t="s">
        <v>74</v>
      </c>
      <c r="AG720">
        <v>86</v>
      </c>
      <c r="AH720">
        <v>14</v>
      </c>
      <c r="AI720">
        <v>14</v>
      </c>
      <c r="AJ720">
        <v>0</v>
      </c>
      <c r="AK720">
        <v>21</v>
      </c>
      <c r="AL720" t="s">
        <v>503</v>
      </c>
      <c r="AM720" t="s">
        <v>504</v>
      </c>
      <c r="AN720" t="s">
        <v>505</v>
      </c>
      <c r="AO720" t="s">
        <v>5042</v>
      </c>
      <c r="AP720" t="s">
        <v>74</v>
      </c>
      <c r="AQ720" t="s">
        <v>74</v>
      </c>
      <c r="AR720" t="s">
        <v>5043</v>
      </c>
      <c r="AS720" t="s">
        <v>5044</v>
      </c>
      <c r="AT720" t="s">
        <v>13121</v>
      </c>
      <c r="AU720">
        <v>2018</v>
      </c>
      <c r="AV720">
        <v>19</v>
      </c>
      <c r="AW720">
        <v>7</v>
      </c>
      <c r="AX720" t="s">
        <v>74</v>
      </c>
      <c r="AY720" t="s">
        <v>74</v>
      </c>
      <c r="AZ720" t="s">
        <v>74</v>
      </c>
      <c r="BA720" t="s">
        <v>74</v>
      </c>
      <c r="BB720">
        <v>2179</v>
      </c>
      <c r="BC720">
        <v>2193</v>
      </c>
      <c r="BD720" t="s">
        <v>74</v>
      </c>
      <c r="BE720" t="s">
        <v>13896</v>
      </c>
      <c r="BF720" t="str">
        <f>HYPERLINK("http://dx.doi.org/10.1029/2017GC007286","http://dx.doi.org/10.1029/2017GC007286")</f>
        <v>http://dx.doi.org/10.1029/2017GC007286</v>
      </c>
      <c r="BG720" t="s">
        <v>74</v>
      </c>
      <c r="BH720" t="s">
        <v>74</v>
      </c>
      <c r="BI720">
        <v>15</v>
      </c>
      <c r="BJ720" t="s">
        <v>484</v>
      </c>
      <c r="BK720" t="s">
        <v>101</v>
      </c>
      <c r="BL720" t="s">
        <v>484</v>
      </c>
      <c r="BM720" t="s">
        <v>13897</v>
      </c>
      <c r="BN720" t="s">
        <v>74</v>
      </c>
      <c r="BO720" t="s">
        <v>74</v>
      </c>
      <c r="BP720" t="s">
        <v>74</v>
      </c>
      <c r="BQ720" t="s">
        <v>74</v>
      </c>
      <c r="BR720" t="s">
        <v>104</v>
      </c>
      <c r="BS720" t="s">
        <v>13898</v>
      </c>
      <c r="BT720" t="str">
        <f>HYPERLINK("https%3A%2F%2Fwww.webofscience.com%2Fwos%2Fwoscc%2Ffull-record%2FWOS:000443389300016","View Full Record in Web of Science")</f>
        <v>View Full Record in Web of Science</v>
      </c>
    </row>
    <row r="721" spans="1:72" x14ac:dyDescent="0.15">
      <c r="A721" t="s">
        <v>72</v>
      </c>
      <c r="B721" t="s">
        <v>13899</v>
      </c>
      <c r="C721" t="s">
        <v>74</v>
      </c>
      <c r="D721" t="s">
        <v>74</v>
      </c>
      <c r="E721" t="s">
        <v>74</v>
      </c>
      <c r="F721" t="s">
        <v>13900</v>
      </c>
      <c r="G721" t="s">
        <v>74</v>
      </c>
      <c r="H721" t="s">
        <v>74</v>
      </c>
      <c r="I721" t="s">
        <v>13901</v>
      </c>
      <c r="J721" t="s">
        <v>1371</v>
      </c>
      <c r="K721" t="s">
        <v>74</v>
      </c>
      <c r="L721" t="s">
        <v>74</v>
      </c>
      <c r="M721" t="s">
        <v>78</v>
      </c>
      <c r="N721" t="s">
        <v>79</v>
      </c>
      <c r="O721" t="s">
        <v>74</v>
      </c>
      <c r="P721" t="s">
        <v>74</v>
      </c>
      <c r="Q721" t="s">
        <v>74</v>
      </c>
      <c r="R721" t="s">
        <v>74</v>
      </c>
      <c r="S721" t="s">
        <v>74</v>
      </c>
      <c r="T721" t="s">
        <v>74</v>
      </c>
      <c r="U721" t="s">
        <v>13902</v>
      </c>
      <c r="V721" t="s">
        <v>13903</v>
      </c>
      <c r="W721" t="s">
        <v>13904</v>
      </c>
      <c r="X721" t="s">
        <v>13905</v>
      </c>
      <c r="Y721" t="s">
        <v>13906</v>
      </c>
      <c r="Z721" t="s">
        <v>13907</v>
      </c>
      <c r="AA721" t="s">
        <v>13908</v>
      </c>
      <c r="AB721" t="s">
        <v>13909</v>
      </c>
      <c r="AC721" t="s">
        <v>13910</v>
      </c>
      <c r="AD721" t="s">
        <v>13911</v>
      </c>
      <c r="AE721" t="s">
        <v>13912</v>
      </c>
      <c r="AF721" t="s">
        <v>74</v>
      </c>
      <c r="AG721">
        <v>36</v>
      </c>
      <c r="AH721">
        <v>26</v>
      </c>
      <c r="AI721">
        <v>30</v>
      </c>
      <c r="AJ721">
        <v>2</v>
      </c>
      <c r="AK721">
        <v>4</v>
      </c>
      <c r="AL721" t="s">
        <v>503</v>
      </c>
      <c r="AM721" t="s">
        <v>504</v>
      </c>
      <c r="AN721" t="s">
        <v>505</v>
      </c>
      <c r="AO721" t="s">
        <v>1383</v>
      </c>
      <c r="AP721" t="s">
        <v>1384</v>
      </c>
      <c r="AQ721" t="s">
        <v>74</v>
      </c>
      <c r="AR721" t="s">
        <v>1385</v>
      </c>
      <c r="AS721" t="s">
        <v>1386</v>
      </c>
      <c r="AT721" t="s">
        <v>13121</v>
      </c>
      <c r="AU721">
        <v>2018</v>
      </c>
      <c r="AV721">
        <v>123</v>
      </c>
      <c r="AW721">
        <v>7</v>
      </c>
      <c r="AX721" t="s">
        <v>74</v>
      </c>
      <c r="AY721" t="s">
        <v>74</v>
      </c>
      <c r="AZ721" t="s">
        <v>74</v>
      </c>
      <c r="BA721" t="s">
        <v>74</v>
      </c>
      <c r="BB721">
        <v>5528</v>
      </c>
      <c r="BC721">
        <v>5537</v>
      </c>
      <c r="BD721" t="s">
        <v>74</v>
      </c>
      <c r="BE721" t="s">
        <v>13913</v>
      </c>
      <c r="BF721" t="str">
        <f>HYPERLINK("http://dx.doi.org/10.1029/2018JA025637","http://dx.doi.org/10.1029/2018JA025637")</f>
        <v>http://dx.doi.org/10.1029/2018JA025637</v>
      </c>
      <c r="BG721" t="s">
        <v>74</v>
      </c>
      <c r="BH721" t="s">
        <v>74</v>
      </c>
      <c r="BI721">
        <v>10</v>
      </c>
      <c r="BJ721" t="s">
        <v>1301</v>
      </c>
      <c r="BK721" t="s">
        <v>101</v>
      </c>
      <c r="BL721" t="s">
        <v>1301</v>
      </c>
      <c r="BM721" t="s">
        <v>13525</v>
      </c>
      <c r="BN721" t="s">
        <v>74</v>
      </c>
      <c r="BO721" t="s">
        <v>211</v>
      </c>
      <c r="BP721" t="s">
        <v>74</v>
      </c>
      <c r="BQ721" t="s">
        <v>74</v>
      </c>
      <c r="BR721" t="s">
        <v>104</v>
      </c>
      <c r="BS721" t="s">
        <v>13914</v>
      </c>
      <c r="BT721" t="str">
        <f>HYPERLINK("https%3A%2F%2Fwww.webofscience.com%2Fwos%2Fwoscc%2Ffull-record%2FWOS:000442664300019","View Full Record in Web of Science")</f>
        <v>View Full Record in Web of Science</v>
      </c>
    </row>
    <row r="722" spans="1:72" x14ac:dyDescent="0.15">
      <c r="A722" t="s">
        <v>72</v>
      </c>
      <c r="B722" t="s">
        <v>13915</v>
      </c>
      <c r="C722" t="s">
        <v>74</v>
      </c>
      <c r="D722" t="s">
        <v>74</v>
      </c>
      <c r="E722" t="s">
        <v>74</v>
      </c>
      <c r="F722" t="s">
        <v>13916</v>
      </c>
      <c r="G722" t="s">
        <v>74</v>
      </c>
      <c r="H722" t="s">
        <v>74</v>
      </c>
      <c r="I722" t="s">
        <v>13917</v>
      </c>
      <c r="J722" t="s">
        <v>1371</v>
      </c>
      <c r="K722" t="s">
        <v>74</v>
      </c>
      <c r="L722" t="s">
        <v>74</v>
      </c>
      <c r="M722" t="s">
        <v>78</v>
      </c>
      <c r="N722" t="s">
        <v>79</v>
      </c>
      <c r="O722" t="s">
        <v>74</v>
      </c>
      <c r="P722" t="s">
        <v>74</v>
      </c>
      <c r="Q722" t="s">
        <v>74</v>
      </c>
      <c r="R722" t="s">
        <v>74</v>
      </c>
      <c r="S722" t="s">
        <v>74</v>
      </c>
      <c r="T722" t="s">
        <v>74</v>
      </c>
      <c r="U722" t="s">
        <v>13918</v>
      </c>
      <c r="V722" t="s">
        <v>13919</v>
      </c>
      <c r="W722" t="s">
        <v>13920</v>
      </c>
      <c r="X722" t="s">
        <v>13921</v>
      </c>
      <c r="Y722" t="s">
        <v>13922</v>
      </c>
      <c r="Z722" t="s">
        <v>13923</v>
      </c>
      <c r="AA722" t="s">
        <v>13924</v>
      </c>
      <c r="AB722" t="s">
        <v>13925</v>
      </c>
      <c r="AC722" t="s">
        <v>13926</v>
      </c>
      <c r="AD722" t="s">
        <v>12709</v>
      </c>
      <c r="AE722" t="s">
        <v>13927</v>
      </c>
      <c r="AF722" t="s">
        <v>74</v>
      </c>
      <c r="AG722">
        <v>50</v>
      </c>
      <c r="AH722">
        <v>16</v>
      </c>
      <c r="AI722">
        <v>16</v>
      </c>
      <c r="AJ722">
        <v>4</v>
      </c>
      <c r="AK722">
        <v>63</v>
      </c>
      <c r="AL722" t="s">
        <v>503</v>
      </c>
      <c r="AM722" t="s">
        <v>504</v>
      </c>
      <c r="AN722" t="s">
        <v>505</v>
      </c>
      <c r="AO722" t="s">
        <v>1383</v>
      </c>
      <c r="AP722" t="s">
        <v>1384</v>
      </c>
      <c r="AQ722" t="s">
        <v>74</v>
      </c>
      <c r="AR722" t="s">
        <v>1385</v>
      </c>
      <c r="AS722" t="s">
        <v>1386</v>
      </c>
      <c r="AT722" t="s">
        <v>13121</v>
      </c>
      <c r="AU722">
        <v>2018</v>
      </c>
      <c r="AV722">
        <v>123</v>
      </c>
      <c r="AW722">
        <v>7</v>
      </c>
      <c r="AX722" t="s">
        <v>74</v>
      </c>
      <c r="AY722" t="s">
        <v>74</v>
      </c>
      <c r="AZ722" t="s">
        <v>74</v>
      </c>
      <c r="BA722" t="s">
        <v>74</v>
      </c>
      <c r="BB722">
        <v>6031</v>
      </c>
      <c r="BC722">
        <v>6041</v>
      </c>
      <c r="BD722" t="s">
        <v>74</v>
      </c>
      <c r="BE722" t="s">
        <v>13928</v>
      </c>
      <c r="BF722" t="str">
        <f>HYPERLINK("http://dx.doi.org/10.1029/2018JA025596","http://dx.doi.org/10.1029/2018JA025596")</f>
        <v>http://dx.doi.org/10.1029/2018JA025596</v>
      </c>
      <c r="BG722" t="s">
        <v>74</v>
      </c>
      <c r="BH722" t="s">
        <v>74</v>
      </c>
      <c r="BI722">
        <v>11</v>
      </c>
      <c r="BJ722" t="s">
        <v>1301</v>
      </c>
      <c r="BK722" t="s">
        <v>101</v>
      </c>
      <c r="BL722" t="s">
        <v>1301</v>
      </c>
      <c r="BM722" t="s">
        <v>13525</v>
      </c>
      <c r="BN722" t="s">
        <v>74</v>
      </c>
      <c r="BO722" t="s">
        <v>74</v>
      </c>
      <c r="BP722" t="s">
        <v>74</v>
      </c>
      <c r="BQ722" t="s">
        <v>74</v>
      </c>
      <c r="BR722" t="s">
        <v>104</v>
      </c>
      <c r="BS722" t="s">
        <v>13929</v>
      </c>
      <c r="BT722" t="str">
        <f>HYPERLINK("https%3A%2F%2Fwww.webofscience.com%2Fwos%2Fwoscc%2Ffull-record%2FWOS:000442664300053","View Full Record in Web of Science")</f>
        <v>View Full Record in Web of Science</v>
      </c>
    </row>
    <row r="723" spans="1:72" x14ac:dyDescent="0.15">
      <c r="A723" t="s">
        <v>72</v>
      </c>
      <c r="B723" t="s">
        <v>13930</v>
      </c>
      <c r="C723" t="s">
        <v>74</v>
      </c>
      <c r="D723" t="s">
        <v>74</v>
      </c>
      <c r="E723" t="s">
        <v>74</v>
      </c>
      <c r="F723" t="s">
        <v>13931</v>
      </c>
      <c r="G723" t="s">
        <v>74</v>
      </c>
      <c r="H723" t="s">
        <v>74</v>
      </c>
      <c r="I723" t="s">
        <v>13932</v>
      </c>
      <c r="J723" t="s">
        <v>798</v>
      </c>
      <c r="K723" t="s">
        <v>74</v>
      </c>
      <c r="L723" t="s">
        <v>74</v>
      </c>
      <c r="M723" t="s">
        <v>78</v>
      </c>
      <c r="N723" t="s">
        <v>79</v>
      </c>
      <c r="O723" t="s">
        <v>74</v>
      </c>
      <c r="P723" t="s">
        <v>74</v>
      </c>
      <c r="Q723" t="s">
        <v>74</v>
      </c>
      <c r="R723" t="s">
        <v>74</v>
      </c>
      <c r="S723" t="s">
        <v>74</v>
      </c>
      <c r="T723" t="s">
        <v>13933</v>
      </c>
      <c r="U723" t="s">
        <v>13934</v>
      </c>
      <c r="V723" t="s">
        <v>13935</v>
      </c>
      <c r="W723" t="s">
        <v>13936</v>
      </c>
      <c r="X723" t="s">
        <v>13937</v>
      </c>
      <c r="Y723" t="s">
        <v>13938</v>
      </c>
      <c r="Z723" t="s">
        <v>13939</v>
      </c>
      <c r="AA723" t="s">
        <v>3134</v>
      </c>
      <c r="AB723" t="s">
        <v>13940</v>
      </c>
      <c r="AC723" t="s">
        <v>13941</v>
      </c>
      <c r="AD723" t="s">
        <v>8123</v>
      </c>
      <c r="AE723" t="s">
        <v>13942</v>
      </c>
      <c r="AF723" t="s">
        <v>74</v>
      </c>
      <c r="AG723">
        <v>59</v>
      </c>
      <c r="AH723">
        <v>42</v>
      </c>
      <c r="AI723">
        <v>43</v>
      </c>
      <c r="AJ723">
        <v>2</v>
      </c>
      <c r="AK723">
        <v>15</v>
      </c>
      <c r="AL723" t="s">
        <v>503</v>
      </c>
      <c r="AM723" t="s">
        <v>504</v>
      </c>
      <c r="AN723" t="s">
        <v>505</v>
      </c>
      <c r="AO723" t="s">
        <v>811</v>
      </c>
      <c r="AP723" t="s">
        <v>812</v>
      </c>
      <c r="AQ723" t="s">
        <v>74</v>
      </c>
      <c r="AR723" t="s">
        <v>813</v>
      </c>
      <c r="AS723" t="s">
        <v>814</v>
      </c>
      <c r="AT723" t="s">
        <v>13121</v>
      </c>
      <c r="AU723">
        <v>2018</v>
      </c>
      <c r="AV723">
        <v>123</v>
      </c>
      <c r="AW723">
        <v>7</v>
      </c>
      <c r="AX723" t="s">
        <v>74</v>
      </c>
      <c r="AY723" t="s">
        <v>74</v>
      </c>
      <c r="AZ723" t="s">
        <v>74</v>
      </c>
      <c r="BA723" t="s">
        <v>74</v>
      </c>
      <c r="BB723">
        <v>4560</v>
      </c>
      <c r="BC723">
        <v>4575</v>
      </c>
      <c r="BD723" t="s">
        <v>74</v>
      </c>
      <c r="BE723" t="s">
        <v>13943</v>
      </c>
      <c r="BF723" t="str">
        <f>HYPERLINK("http://dx.doi.org/10.1029/2018JC013750","http://dx.doi.org/10.1029/2018JC013750")</f>
        <v>http://dx.doi.org/10.1029/2018JC013750</v>
      </c>
      <c r="BG723" t="s">
        <v>74</v>
      </c>
      <c r="BH723" t="s">
        <v>74</v>
      </c>
      <c r="BI723">
        <v>16</v>
      </c>
      <c r="BJ723" t="s">
        <v>157</v>
      </c>
      <c r="BK723" t="s">
        <v>101</v>
      </c>
      <c r="BL723" t="s">
        <v>157</v>
      </c>
      <c r="BM723" t="s">
        <v>13944</v>
      </c>
      <c r="BN723" t="s">
        <v>74</v>
      </c>
      <c r="BO723" t="s">
        <v>13945</v>
      </c>
      <c r="BP723" t="s">
        <v>74</v>
      </c>
      <c r="BQ723" t="s">
        <v>74</v>
      </c>
      <c r="BR723" t="s">
        <v>104</v>
      </c>
      <c r="BS723" t="s">
        <v>13946</v>
      </c>
      <c r="BT723" t="str">
        <f>HYPERLINK("https%3A%2F%2Fwww.webofscience.com%2Fwos%2Fwoscc%2Ffull-record%2FWOS:000441888200008","View Full Record in Web of Science")</f>
        <v>View Full Record in Web of Science</v>
      </c>
    </row>
    <row r="724" spans="1:72" x14ac:dyDescent="0.15">
      <c r="A724" t="s">
        <v>72</v>
      </c>
      <c r="B724" t="s">
        <v>13947</v>
      </c>
      <c r="C724" t="s">
        <v>74</v>
      </c>
      <c r="D724" t="s">
        <v>74</v>
      </c>
      <c r="E724" t="s">
        <v>74</v>
      </c>
      <c r="F724" t="s">
        <v>13948</v>
      </c>
      <c r="G724" t="s">
        <v>74</v>
      </c>
      <c r="H724" t="s">
        <v>74</v>
      </c>
      <c r="I724" t="s">
        <v>13949</v>
      </c>
      <c r="J724" t="s">
        <v>798</v>
      </c>
      <c r="K724" t="s">
        <v>74</v>
      </c>
      <c r="L724" t="s">
        <v>74</v>
      </c>
      <c r="M724" t="s">
        <v>78</v>
      </c>
      <c r="N724" t="s">
        <v>79</v>
      </c>
      <c r="O724" t="s">
        <v>74</v>
      </c>
      <c r="P724" t="s">
        <v>74</v>
      </c>
      <c r="Q724" t="s">
        <v>74</v>
      </c>
      <c r="R724" t="s">
        <v>74</v>
      </c>
      <c r="S724" t="s">
        <v>74</v>
      </c>
      <c r="T724" t="s">
        <v>74</v>
      </c>
      <c r="U724" t="s">
        <v>13950</v>
      </c>
      <c r="V724" t="s">
        <v>13951</v>
      </c>
      <c r="W724" t="s">
        <v>13952</v>
      </c>
      <c r="X724" t="s">
        <v>13953</v>
      </c>
      <c r="Y724" t="s">
        <v>13954</v>
      </c>
      <c r="Z724" t="s">
        <v>13955</v>
      </c>
      <c r="AA724" t="s">
        <v>13956</v>
      </c>
      <c r="AB724" t="s">
        <v>13957</v>
      </c>
      <c r="AC724" t="s">
        <v>13958</v>
      </c>
      <c r="AD724" t="s">
        <v>13959</v>
      </c>
      <c r="AE724" t="s">
        <v>13960</v>
      </c>
      <c r="AF724" t="s">
        <v>74</v>
      </c>
      <c r="AG724">
        <v>59</v>
      </c>
      <c r="AH724">
        <v>20</v>
      </c>
      <c r="AI724">
        <v>21</v>
      </c>
      <c r="AJ724">
        <v>0</v>
      </c>
      <c r="AK724">
        <v>2</v>
      </c>
      <c r="AL724" t="s">
        <v>503</v>
      </c>
      <c r="AM724" t="s">
        <v>504</v>
      </c>
      <c r="AN724" t="s">
        <v>505</v>
      </c>
      <c r="AO724" t="s">
        <v>811</v>
      </c>
      <c r="AP724" t="s">
        <v>812</v>
      </c>
      <c r="AQ724" t="s">
        <v>74</v>
      </c>
      <c r="AR724" t="s">
        <v>813</v>
      </c>
      <c r="AS724" t="s">
        <v>814</v>
      </c>
      <c r="AT724" t="s">
        <v>13121</v>
      </c>
      <c r="AU724">
        <v>2018</v>
      </c>
      <c r="AV724">
        <v>123</v>
      </c>
      <c r="AW724">
        <v>7</v>
      </c>
      <c r="AX724" t="s">
        <v>74</v>
      </c>
      <c r="AY724" t="s">
        <v>74</v>
      </c>
      <c r="AZ724" t="s">
        <v>74</v>
      </c>
      <c r="BA724" t="s">
        <v>74</v>
      </c>
      <c r="BB724">
        <v>4610</v>
      </c>
      <c r="BC724">
        <v>4623</v>
      </c>
      <c r="BD724" t="s">
        <v>74</v>
      </c>
      <c r="BE724" t="s">
        <v>13961</v>
      </c>
      <c r="BF724" t="str">
        <f>HYPERLINK("http://dx.doi.org/10.1029/2018JC013982","http://dx.doi.org/10.1029/2018JC013982")</f>
        <v>http://dx.doi.org/10.1029/2018JC013982</v>
      </c>
      <c r="BG724" t="s">
        <v>74</v>
      </c>
      <c r="BH724" t="s">
        <v>74</v>
      </c>
      <c r="BI724">
        <v>14</v>
      </c>
      <c r="BJ724" t="s">
        <v>157</v>
      </c>
      <c r="BK724" t="s">
        <v>101</v>
      </c>
      <c r="BL724" t="s">
        <v>157</v>
      </c>
      <c r="BM724" t="s">
        <v>13944</v>
      </c>
      <c r="BN724" t="s">
        <v>74</v>
      </c>
      <c r="BO724" t="s">
        <v>1667</v>
      </c>
      <c r="BP724" t="s">
        <v>74</v>
      </c>
      <c r="BQ724" t="s">
        <v>74</v>
      </c>
      <c r="BR724" t="s">
        <v>104</v>
      </c>
      <c r="BS724" t="s">
        <v>13962</v>
      </c>
      <c r="BT724" t="str">
        <f>HYPERLINK("https%3A%2F%2Fwww.webofscience.com%2Fwos%2Fwoscc%2Ffull-record%2FWOS:000441888200011","View Full Record in Web of Science")</f>
        <v>View Full Record in Web of Science</v>
      </c>
    </row>
    <row r="725" spans="1:72" x14ac:dyDescent="0.15">
      <c r="A725" t="s">
        <v>72</v>
      </c>
      <c r="B725" t="s">
        <v>13963</v>
      </c>
      <c r="C725" t="s">
        <v>74</v>
      </c>
      <c r="D725" t="s">
        <v>74</v>
      </c>
      <c r="E725" t="s">
        <v>74</v>
      </c>
      <c r="F725" t="s">
        <v>13964</v>
      </c>
      <c r="G725" t="s">
        <v>74</v>
      </c>
      <c r="H725" t="s">
        <v>74</v>
      </c>
      <c r="I725" t="s">
        <v>13965</v>
      </c>
      <c r="J725" t="s">
        <v>798</v>
      </c>
      <c r="K725" t="s">
        <v>74</v>
      </c>
      <c r="L725" t="s">
        <v>74</v>
      </c>
      <c r="M725" t="s">
        <v>78</v>
      </c>
      <c r="N725" t="s">
        <v>79</v>
      </c>
      <c r="O725" t="s">
        <v>74</v>
      </c>
      <c r="P725" t="s">
        <v>74</v>
      </c>
      <c r="Q725" t="s">
        <v>74</v>
      </c>
      <c r="R725" t="s">
        <v>74</v>
      </c>
      <c r="S725" t="s">
        <v>74</v>
      </c>
      <c r="T725" t="s">
        <v>74</v>
      </c>
      <c r="U725" t="s">
        <v>13966</v>
      </c>
      <c r="V725" t="s">
        <v>13967</v>
      </c>
      <c r="W725" t="s">
        <v>13968</v>
      </c>
      <c r="X725" t="s">
        <v>13969</v>
      </c>
      <c r="Y725" t="s">
        <v>13970</v>
      </c>
      <c r="Z725" t="s">
        <v>13971</v>
      </c>
      <c r="AA725" t="s">
        <v>13972</v>
      </c>
      <c r="AB725" t="s">
        <v>13973</v>
      </c>
      <c r="AC725" t="s">
        <v>13974</v>
      </c>
      <c r="AD725" t="s">
        <v>13975</v>
      </c>
      <c r="AE725" t="s">
        <v>13976</v>
      </c>
      <c r="AF725" t="s">
        <v>74</v>
      </c>
      <c r="AG725">
        <v>76</v>
      </c>
      <c r="AH725">
        <v>42</v>
      </c>
      <c r="AI725">
        <v>45</v>
      </c>
      <c r="AJ725">
        <v>0</v>
      </c>
      <c r="AK725">
        <v>9</v>
      </c>
      <c r="AL725" t="s">
        <v>503</v>
      </c>
      <c r="AM725" t="s">
        <v>504</v>
      </c>
      <c r="AN725" t="s">
        <v>505</v>
      </c>
      <c r="AO725" t="s">
        <v>811</v>
      </c>
      <c r="AP725" t="s">
        <v>812</v>
      </c>
      <c r="AQ725" t="s">
        <v>74</v>
      </c>
      <c r="AR725" t="s">
        <v>813</v>
      </c>
      <c r="AS725" t="s">
        <v>814</v>
      </c>
      <c r="AT725" t="s">
        <v>13121</v>
      </c>
      <c r="AU725">
        <v>2018</v>
      </c>
      <c r="AV725">
        <v>123</v>
      </c>
      <c r="AW725">
        <v>7</v>
      </c>
      <c r="AX725" t="s">
        <v>74</v>
      </c>
      <c r="AY725" t="s">
        <v>74</v>
      </c>
      <c r="AZ725" t="s">
        <v>74</v>
      </c>
      <c r="BA725" t="s">
        <v>74</v>
      </c>
      <c r="BB725">
        <v>4624</v>
      </c>
      <c r="BC725">
        <v>4648</v>
      </c>
      <c r="BD725" t="s">
        <v>74</v>
      </c>
      <c r="BE725" t="s">
        <v>13977</v>
      </c>
      <c r="BF725" t="str">
        <f>HYPERLINK("http://dx.doi.org/10.1029/2018JC013907","http://dx.doi.org/10.1029/2018JC013907")</f>
        <v>http://dx.doi.org/10.1029/2018JC013907</v>
      </c>
      <c r="BG725" t="s">
        <v>74</v>
      </c>
      <c r="BH725" t="s">
        <v>74</v>
      </c>
      <c r="BI725">
        <v>25</v>
      </c>
      <c r="BJ725" t="s">
        <v>157</v>
      </c>
      <c r="BK725" t="s">
        <v>101</v>
      </c>
      <c r="BL725" t="s">
        <v>157</v>
      </c>
      <c r="BM725" t="s">
        <v>13944</v>
      </c>
      <c r="BN725" t="s">
        <v>74</v>
      </c>
      <c r="BO725" t="s">
        <v>835</v>
      </c>
      <c r="BP725" t="s">
        <v>74</v>
      </c>
      <c r="BQ725" t="s">
        <v>74</v>
      </c>
      <c r="BR725" t="s">
        <v>104</v>
      </c>
      <c r="BS725" t="s">
        <v>13978</v>
      </c>
      <c r="BT725" t="str">
        <f>HYPERLINK("https%3A%2F%2Fwww.webofscience.com%2Fwos%2Fwoscc%2Ffull-record%2FWOS:000441888200012","View Full Record in Web of Science")</f>
        <v>View Full Record in Web of Science</v>
      </c>
    </row>
    <row r="726" spans="1:72" x14ac:dyDescent="0.15">
      <c r="A726" t="s">
        <v>72</v>
      </c>
      <c r="B726" t="s">
        <v>13979</v>
      </c>
      <c r="C726" t="s">
        <v>74</v>
      </c>
      <c r="D726" t="s">
        <v>74</v>
      </c>
      <c r="E726" t="s">
        <v>74</v>
      </c>
      <c r="F726" t="s">
        <v>13980</v>
      </c>
      <c r="G726" t="s">
        <v>74</v>
      </c>
      <c r="H726" t="s">
        <v>74</v>
      </c>
      <c r="I726" t="s">
        <v>13981</v>
      </c>
      <c r="J726" t="s">
        <v>798</v>
      </c>
      <c r="K726" t="s">
        <v>74</v>
      </c>
      <c r="L726" t="s">
        <v>74</v>
      </c>
      <c r="M726" t="s">
        <v>78</v>
      </c>
      <c r="N726" t="s">
        <v>79</v>
      </c>
      <c r="O726" t="s">
        <v>74</v>
      </c>
      <c r="P726" t="s">
        <v>74</v>
      </c>
      <c r="Q726" t="s">
        <v>74</v>
      </c>
      <c r="R726" t="s">
        <v>74</v>
      </c>
      <c r="S726" t="s">
        <v>74</v>
      </c>
      <c r="T726" t="s">
        <v>13982</v>
      </c>
      <c r="U726" t="s">
        <v>13983</v>
      </c>
      <c r="V726" t="s">
        <v>13984</v>
      </c>
      <c r="W726" t="s">
        <v>13985</v>
      </c>
      <c r="X726" t="s">
        <v>13986</v>
      </c>
      <c r="Y726" t="s">
        <v>13987</v>
      </c>
      <c r="Z726" t="s">
        <v>13988</v>
      </c>
      <c r="AA726" t="s">
        <v>13989</v>
      </c>
      <c r="AB726" t="s">
        <v>13990</v>
      </c>
      <c r="AC726" t="s">
        <v>13991</v>
      </c>
      <c r="AD726" t="s">
        <v>13992</v>
      </c>
      <c r="AE726" t="s">
        <v>13993</v>
      </c>
      <c r="AF726" t="s">
        <v>74</v>
      </c>
      <c r="AG726">
        <v>52</v>
      </c>
      <c r="AH726">
        <v>41</v>
      </c>
      <c r="AI726">
        <v>43</v>
      </c>
      <c r="AJ726">
        <v>0</v>
      </c>
      <c r="AK726">
        <v>13</v>
      </c>
      <c r="AL726" t="s">
        <v>503</v>
      </c>
      <c r="AM726" t="s">
        <v>504</v>
      </c>
      <c r="AN726" t="s">
        <v>505</v>
      </c>
      <c r="AO726" t="s">
        <v>811</v>
      </c>
      <c r="AP726" t="s">
        <v>812</v>
      </c>
      <c r="AQ726" t="s">
        <v>74</v>
      </c>
      <c r="AR726" t="s">
        <v>813</v>
      </c>
      <c r="AS726" t="s">
        <v>814</v>
      </c>
      <c r="AT726" t="s">
        <v>13121</v>
      </c>
      <c r="AU726">
        <v>2018</v>
      </c>
      <c r="AV726">
        <v>123</v>
      </c>
      <c r="AW726">
        <v>7</v>
      </c>
      <c r="AX726" t="s">
        <v>74</v>
      </c>
      <c r="AY726" t="s">
        <v>74</v>
      </c>
      <c r="AZ726" t="s">
        <v>74</v>
      </c>
      <c r="BA726" t="s">
        <v>74</v>
      </c>
      <c r="BB726">
        <v>4833</v>
      </c>
      <c r="BC726">
        <v>4852</v>
      </c>
      <c r="BD726" t="s">
        <v>74</v>
      </c>
      <c r="BE726" t="s">
        <v>13994</v>
      </c>
      <c r="BF726" t="str">
        <f>HYPERLINK("http://dx.doi.org/10.1029/2017JC012917","http://dx.doi.org/10.1029/2017JC012917")</f>
        <v>http://dx.doi.org/10.1029/2017JC012917</v>
      </c>
      <c r="BG726" t="s">
        <v>74</v>
      </c>
      <c r="BH726" t="s">
        <v>74</v>
      </c>
      <c r="BI726">
        <v>20</v>
      </c>
      <c r="BJ726" t="s">
        <v>157</v>
      </c>
      <c r="BK726" t="s">
        <v>101</v>
      </c>
      <c r="BL726" t="s">
        <v>157</v>
      </c>
      <c r="BM726" t="s">
        <v>13944</v>
      </c>
      <c r="BN726" t="s">
        <v>74</v>
      </c>
      <c r="BO726" t="s">
        <v>835</v>
      </c>
      <c r="BP726" t="s">
        <v>74</v>
      </c>
      <c r="BQ726" t="s">
        <v>74</v>
      </c>
      <c r="BR726" t="s">
        <v>104</v>
      </c>
      <c r="BS726" t="s">
        <v>13995</v>
      </c>
      <c r="BT726" t="str">
        <f>HYPERLINK("https%3A%2F%2Fwww.webofscience.com%2Fwos%2Fwoscc%2Ffull-record%2FWOS:000441888200023","View Full Record in Web of Science")</f>
        <v>View Full Record in Web of Science</v>
      </c>
    </row>
    <row r="727" spans="1:72" x14ac:dyDescent="0.15">
      <c r="A727" t="s">
        <v>72</v>
      </c>
      <c r="B727" t="s">
        <v>13996</v>
      </c>
      <c r="C727" t="s">
        <v>74</v>
      </c>
      <c r="D727" t="s">
        <v>74</v>
      </c>
      <c r="E727" t="s">
        <v>74</v>
      </c>
      <c r="F727" t="s">
        <v>13997</v>
      </c>
      <c r="G727" t="s">
        <v>74</v>
      </c>
      <c r="H727" t="s">
        <v>74</v>
      </c>
      <c r="I727" t="s">
        <v>13998</v>
      </c>
      <c r="J727" t="s">
        <v>5325</v>
      </c>
      <c r="K727" t="s">
        <v>74</v>
      </c>
      <c r="L727" t="s">
        <v>74</v>
      </c>
      <c r="M727" t="s">
        <v>78</v>
      </c>
      <c r="N727" t="s">
        <v>79</v>
      </c>
      <c r="O727" t="s">
        <v>74</v>
      </c>
      <c r="P727" t="s">
        <v>74</v>
      </c>
      <c r="Q727" t="s">
        <v>74</v>
      </c>
      <c r="R727" t="s">
        <v>74</v>
      </c>
      <c r="S727" t="s">
        <v>74</v>
      </c>
      <c r="T727" t="s">
        <v>13999</v>
      </c>
      <c r="U727" t="s">
        <v>14000</v>
      </c>
      <c r="V727" t="s">
        <v>14001</v>
      </c>
      <c r="W727" t="s">
        <v>14002</v>
      </c>
      <c r="X727" t="s">
        <v>14003</v>
      </c>
      <c r="Y727" t="s">
        <v>14004</v>
      </c>
      <c r="Z727" t="s">
        <v>14005</v>
      </c>
      <c r="AA727" t="s">
        <v>14006</v>
      </c>
      <c r="AB727" t="s">
        <v>74</v>
      </c>
      <c r="AC727" t="s">
        <v>14007</v>
      </c>
      <c r="AD727" t="s">
        <v>14008</v>
      </c>
      <c r="AE727" t="s">
        <v>14009</v>
      </c>
      <c r="AF727" t="s">
        <v>74</v>
      </c>
      <c r="AG727">
        <v>40</v>
      </c>
      <c r="AH727">
        <v>5</v>
      </c>
      <c r="AI727">
        <v>5</v>
      </c>
      <c r="AJ727">
        <v>0</v>
      </c>
      <c r="AK727">
        <v>7</v>
      </c>
      <c r="AL727" t="s">
        <v>1793</v>
      </c>
      <c r="AM727" t="s">
        <v>1794</v>
      </c>
      <c r="AN727" t="s">
        <v>5337</v>
      </c>
      <c r="AO727" t="s">
        <v>5338</v>
      </c>
      <c r="AP727" t="s">
        <v>13543</v>
      </c>
      <c r="AQ727" t="s">
        <v>74</v>
      </c>
      <c r="AR727" t="s">
        <v>5339</v>
      </c>
      <c r="AS727" t="s">
        <v>5340</v>
      </c>
      <c r="AT727" t="s">
        <v>13121</v>
      </c>
      <c r="AU727">
        <v>2018</v>
      </c>
      <c r="AV727">
        <v>36</v>
      </c>
      <c r="AW727">
        <v>4</v>
      </c>
      <c r="AX727" t="s">
        <v>74</v>
      </c>
      <c r="AY727" t="s">
        <v>74</v>
      </c>
      <c r="AZ727" t="s">
        <v>74</v>
      </c>
      <c r="BA727" t="s">
        <v>74</v>
      </c>
      <c r="BB727">
        <v>1315</v>
      </c>
      <c r="BC727">
        <v>1328</v>
      </c>
      <c r="BD727" t="s">
        <v>74</v>
      </c>
      <c r="BE727" t="s">
        <v>14010</v>
      </c>
      <c r="BF727" t="str">
        <f>HYPERLINK("http://dx.doi.org/10.1007/s00343-018-7088-7","http://dx.doi.org/10.1007/s00343-018-7088-7")</f>
        <v>http://dx.doi.org/10.1007/s00343-018-7088-7</v>
      </c>
      <c r="BG727" t="s">
        <v>74</v>
      </c>
      <c r="BH727" t="s">
        <v>74</v>
      </c>
      <c r="BI727">
        <v>14</v>
      </c>
      <c r="BJ727" t="s">
        <v>1837</v>
      </c>
      <c r="BK727" t="s">
        <v>101</v>
      </c>
      <c r="BL727" t="s">
        <v>1838</v>
      </c>
      <c r="BM727" t="s">
        <v>13545</v>
      </c>
      <c r="BN727" t="s">
        <v>74</v>
      </c>
      <c r="BO727" t="s">
        <v>74</v>
      </c>
      <c r="BP727" t="s">
        <v>74</v>
      </c>
      <c r="BQ727" t="s">
        <v>74</v>
      </c>
      <c r="BR727" t="s">
        <v>104</v>
      </c>
      <c r="BS727" t="s">
        <v>14011</v>
      </c>
      <c r="BT727" t="str">
        <f>HYPERLINK("https%3A%2F%2Fwww.webofscience.com%2Fwos%2Fwoscc%2Ffull-record%2FWOS:000441231100026","View Full Record in Web of Science")</f>
        <v>View Full Record in Web of Science</v>
      </c>
    </row>
    <row r="728" spans="1:72" x14ac:dyDescent="0.15">
      <c r="A728" t="s">
        <v>72</v>
      </c>
      <c r="B728" t="s">
        <v>14012</v>
      </c>
      <c r="C728" t="s">
        <v>74</v>
      </c>
      <c r="D728" t="s">
        <v>74</v>
      </c>
      <c r="E728" t="s">
        <v>74</v>
      </c>
      <c r="F728" t="s">
        <v>14013</v>
      </c>
      <c r="G728" t="s">
        <v>74</v>
      </c>
      <c r="H728" t="s">
        <v>74</v>
      </c>
      <c r="I728" t="s">
        <v>14014</v>
      </c>
      <c r="J728" t="s">
        <v>10808</v>
      </c>
      <c r="K728" t="s">
        <v>74</v>
      </c>
      <c r="L728" t="s">
        <v>74</v>
      </c>
      <c r="M728" t="s">
        <v>78</v>
      </c>
      <c r="N728" t="s">
        <v>79</v>
      </c>
      <c r="O728" t="s">
        <v>74</v>
      </c>
      <c r="P728" t="s">
        <v>74</v>
      </c>
      <c r="Q728" t="s">
        <v>74</v>
      </c>
      <c r="R728" t="s">
        <v>74</v>
      </c>
      <c r="S728" t="s">
        <v>74</v>
      </c>
      <c r="T728" t="s">
        <v>14015</v>
      </c>
      <c r="U728" t="s">
        <v>14016</v>
      </c>
      <c r="V728" t="s">
        <v>14017</v>
      </c>
      <c r="W728" t="s">
        <v>14018</v>
      </c>
      <c r="X728" t="s">
        <v>7256</v>
      </c>
      <c r="Y728" t="s">
        <v>14019</v>
      </c>
      <c r="Z728" t="s">
        <v>4536</v>
      </c>
      <c r="AA728" t="s">
        <v>7259</v>
      </c>
      <c r="AB728" t="s">
        <v>14020</v>
      </c>
      <c r="AC728" t="s">
        <v>14021</v>
      </c>
      <c r="AD728" t="s">
        <v>14022</v>
      </c>
      <c r="AE728" t="s">
        <v>14023</v>
      </c>
      <c r="AF728" t="s">
        <v>74</v>
      </c>
      <c r="AG728">
        <v>100</v>
      </c>
      <c r="AH728">
        <v>23</v>
      </c>
      <c r="AI728">
        <v>23</v>
      </c>
      <c r="AJ728">
        <v>4</v>
      </c>
      <c r="AK728">
        <v>32</v>
      </c>
      <c r="AL728" t="s">
        <v>758</v>
      </c>
      <c r="AM728" t="s">
        <v>759</v>
      </c>
      <c r="AN728" t="s">
        <v>760</v>
      </c>
      <c r="AO728" t="s">
        <v>10821</v>
      </c>
      <c r="AP728" t="s">
        <v>74</v>
      </c>
      <c r="AQ728" t="s">
        <v>74</v>
      </c>
      <c r="AR728" t="s">
        <v>10808</v>
      </c>
      <c r="AS728" t="s">
        <v>10822</v>
      </c>
      <c r="AT728" t="s">
        <v>13121</v>
      </c>
      <c r="AU728">
        <v>2018</v>
      </c>
      <c r="AV728">
        <v>9</v>
      </c>
      <c r="AW728">
        <v>7</v>
      </c>
      <c r="AX728" t="s">
        <v>74</v>
      </c>
      <c r="AY728" t="s">
        <v>74</v>
      </c>
      <c r="AZ728" t="s">
        <v>74</v>
      </c>
      <c r="BA728" t="s">
        <v>74</v>
      </c>
      <c r="BB728" t="s">
        <v>74</v>
      </c>
      <c r="BC728" t="s">
        <v>74</v>
      </c>
      <c r="BD728" t="s">
        <v>14024</v>
      </c>
      <c r="BE728" t="s">
        <v>14025</v>
      </c>
      <c r="BF728" t="str">
        <f>HYPERLINK("http://dx.doi.org/10.1002/ecs2.2358","http://dx.doi.org/10.1002/ecs2.2358")</f>
        <v>http://dx.doi.org/10.1002/ecs2.2358</v>
      </c>
      <c r="BG728" t="s">
        <v>74</v>
      </c>
      <c r="BH728" t="s">
        <v>74</v>
      </c>
      <c r="BI728">
        <v>15</v>
      </c>
      <c r="BJ728" t="s">
        <v>2087</v>
      </c>
      <c r="BK728" t="s">
        <v>101</v>
      </c>
      <c r="BL728" t="s">
        <v>559</v>
      </c>
      <c r="BM728" t="s">
        <v>14026</v>
      </c>
      <c r="BN728" t="s">
        <v>74</v>
      </c>
      <c r="BO728" t="s">
        <v>439</v>
      </c>
      <c r="BP728" t="s">
        <v>74</v>
      </c>
      <c r="BQ728" t="s">
        <v>74</v>
      </c>
      <c r="BR728" t="s">
        <v>104</v>
      </c>
      <c r="BS728" t="s">
        <v>14027</v>
      </c>
      <c r="BT728" t="str">
        <f>HYPERLINK("https%3A%2F%2Fwww.webofscience.com%2Fwos%2Fwoscc%2Ffull-record%2FWOS:000441526900021","View Full Record in Web of Science")</f>
        <v>View Full Record in Web of Science</v>
      </c>
    </row>
    <row r="729" spans="1:72" x14ac:dyDescent="0.15">
      <c r="A729" t="s">
        <v>72</v>
      </c>
      <c r="B729" t="s">
        <v>14028</v>
      </c>
      <c r="C729" t="s">
        <v>74</v>
      </c>
      <c r="D729" t="s">
        <v>74</v>
      </c>
      <c r="E729" t="s">
        <v>74</v>
      </c>
      <c r="F729" t="s">
        <v>14029</v>
      </c>
      <c r="G729" t="s">
        <v>74</v>
      </c>
      <c r="H729" t="s">
        <v>74</v>
      </c>
      <c r="I729" t="s">
        <v>14030</v>
      </c>
      <c r="J729" t="s">
        <v>5998</v>
      </c>
      <c r="K729" t="s">
        <v>74</v>
      </c>
      <c r="L729" t="s">
        <v>74</v>
      </c>
      <c r="M729" t="s">
        <v>78</v>
      </c>
      <c r="N729" t="s">
        <v>79</v>
      </c>
      <c r="O729" t="s">
        <v>74</v>
      </c>
      <c r="P729" t="s">
        <v>74</v>
      </c>
      <c r="Q729" t="s">
        <v>74</v>
      </c>
      <c r="R729" t="s">
        <v>74</v>
      </c>
      <c r="S729" t="s">
        <v>74</v>
      </c>
      <c r="T729" t="s">
        <v>14031</v>
      </c>
      <c r="U729" t="s">
        <v>14032</v>
      </c>
      <c r="V729" t="s">
        <v>14033</v>
      </c>
      <c r="W729" t="s">
        <v>14034</v>
      </c>
      <c r="X729" t="s">
        <v>1575</v>
      </c>
      <c r="Y729" t="s">
        <v>14035</v>
      </c>
      <c r="Z729" t="s">
        <v>14036</v>
      </c>
      <c r="AA729" t="s">
        <v>14037</v>
      </c>
      <c r="AB729" t="s">
        <v>14038</v>
      </c>
      <c r="AC729" t="s">
        <v>14039</v>
      </c>
      <c r="AD729" t="s">
        <v>14040</v>
      </c>
      <c r="AE729" t="s">
        <v>14041</v>
      </c>
      <c r="AF729" t="s">
        <v>74</v>
      </c>
      <c r="AG729">
        <v>62</v>
      </c>
      <c r="AH729">
        <v>3</v>
      </c>
      <c r="AI729">
        <v>3</v>
      </c>
      <c r="AJ729">
        <v>2</v>
      </c>
      <c r="AK729">
        <v>21</v>
      </c>
      <c r="AL729" t="s">
        <v>503</v>
      </c>
      <c r="AM729" t="s">
        <v>504</v>
      </c>
      <c r="AN729" t="s">
        <v>505</v>
      </c>
      <c r="AO729" t="s">
        <v>6010</v>
      </c>
      <c r="AP729" t="s">
        <v>6011</v>
      </c>
      <c r="AQ729" t="s">
        <v>74</v>
      </c>
      <c r="AR729" t="s">
        <v>6012</v>
      </c>
      <c r="AS729" t="s">
        <v>6013</v>
      </c>
      <c r="AT729" t="s">
        <v>13121</v>
      </c>
      <c r="AU729">
        <v>2018</v>
      </c>
      <c r="AV729">
        <v>33</v>
      </c>
      <c r="AW729">
        <v>7</v>
      </c>
      <c r="AX729" t="s">
        <v>74</v>
      </c>
      <c r="AY729" t="s">
        <v>74</v>
      </c>
      <c r="AZ729" t="s">
        <v>74</v>
      </c>
      <c r="BA729" t="s">
        <v>74</v>
      </c>
      <c r="BB729">
        <v>795</v>
      </c>
      <c r="BC729">
        <v>806</v>
      </c>
      <c r="BD729" t="s">
        <v>74</v>
      </c>
      <c r="BE729" t="s">
        <v>14042</v>
      </c>
      <c r="BF729" t="str">
        <f>HYPERLINK("http://dx.doi.org/10.1029/2017PA003278","http://dx.doi.org/10.1029/2017PA003278")</f>
        <v>http://dx.doi.org/10.1029/2017PA003278</v>
      </c>
      <c r="BG729" t="s">
        <v>74</v>
      </c>
      <c r="BH729" t="s">
        <v>74</v>
      </c>
      <c r="BI729">
        <v>12</v>
      </c>
      <c r="BJ729" t="s">
        <v>6015</v>
      </c>
      <c r="BK729" t="s">
        <v>101</v>
      </c>
      <c r="BL729" t="s">
        <v>6016</v>
      </c>
      <c r="BM729" t="s">
        <v>13676</v>
      </c>
      <c r="BN729" t="s">
        <v>74</v>
      </c>
      <c r="BO729" t="s">
        <v>74</v>
      </c>
      <c r="BP729" t="s">
        <v>74</v>
      </c>
      <c r="BQ729" t="s">
        <v>74</v>
      </c>
      <c r="BR729" t="s">
        <v>104</v>
      </c>
      <c r="BS729" t="s">
        <v>14043</v>
      </c>
      <c r="BT729" t="str">
        <f>HYPERLINK("https%3A%2F%2Fwww.webofscience.com%2Fwos%2Fwoscc%2Ffull-record%2FWOS:000441277800010","View Full Record in Web of Science")</f>
        <v>View Full Record in Web of Science</v>
      </c>
    </row>
    <row r="730" spans="1:72" x14ac:dyDescent="0.15">
      <c r="A730" t="s">
        <v>72</v>
      </c>
      <c r="B730" t="s">
        <v>14044</v>
      </c>
      <c r="C730" t="s">
        <v>74</v>
      </c>
      <c r="D730" t="s">
        <v>74</v>
      </c>
      <c r="E730" t="s">
        <v>74</v>
      </c>
      <c r="F730" t="s">
        <v>14045</v>
      </c>
      <c r="G730" t="s">
        <v>74</v>
      </c>
      <c r="H730" t="s">
        <v>74</v>
      </c>
      <c r="I730" t="s">
        <v>14046</v>
      </c>
      <c r="J730" t="s">
        <v>5998</v>
      </c>
      <c r="K730" t="s">
        <v>74</v>
      </c>
      <c r="L730" t="s">
        <v>74</v>
      </c>
      <c r="M730" t="s">
        <v>78</v>
      </c>
      <c r="N730" t="s">
        <v>79</v>
      </c>
      <c r="O730" t="s">
        <v>74</v>
      </c>
      <c r="P730" t="s">
        <v>74</v>
      </c>
      <c r="Q730" t="s">
        <v>74</v>
      </c>
      <c r="R730" t="s">
        <v>74</v>
      </c>
      <c r="S730" t="s">
        <v>74</v>
      </c>
      <c r="T730" t="s">
        <v>74</v>
      </c>
      <c r="U730" t="s">
        <v>14047</v>
      </c>
      <c r="V730" t="s">
        <v>14048</v>
      </c>
      <c r="W730" t="s">
        <v>14049</v>
      </c>
      <c r="X730" t="s">
        <v>14050</v>
      </c>
      <c r="Y730" t="s">
        <v>14051</v>
      </c>
      <c r="Z730" t="s">
        <v>14052</v>
      </c>
      <c r="AA730" t="s">
        <v>14053</v>
      </c>
      <c r="AB730" t="s">
        <v>14054</v>
      </c>
      <c r="AC730" t="s">
        <v>14055</v>
      </c>
      <c r="AD730" t="s">
        <v>14056</v>
      </c>
      <c r="AE730" t="s">
        <v>14057</v>
      </c>
      <c r="AF730" t="s">
        <v>74</v>
      </c>
      <c r="AG730">
        <v>95</v>
      </c>
      <c r="AH730">
        <v>7</v>
      </c>
      <c r="AI730">
        <v>9</v>
      </c>
      <c r="AJ730">
        <v>0</v>
      </c>
      <c r="AK730">
        <v>24</v>
      </c>
      <c r="AL730" t="s">
        <v>503</v>
      </c>
      <c r="AM730" t="s">
        <v>504</v>
      </c>
      <c r="AN730" t="s">
        <v>505</v>
      </c>
      <c r="AO730" t="s">
        <v>6010</v>
      </c>
      <c r="AP730" t="s">
        <v>6011</v>
      </c>
      <c r="AQ730" t="s">
        <v>74</v>
      </c>
      <c r="AR730" t="s">
        <v>6012</v>
      </c>
      <c r="AS730" t="s">
        <v>6013</v>
      </c>
      <c r="AT730" t="s">
        <v>13121</v>
      </c>
      <c r="AU730">
        <v>2018</v>
      </c>
      <c r="AV730">
        <v>33</v>
      </c>
      <c r="AW730">
        <v>7</v>
      </c>
      <c r="AX730" t="s">
        <v>74</v>
      </c>
      <c r="AY730" t="s">
        <v>74</v>
      </c>
      <c r="AZ730" t="s">
        <v>74</v>
      </c>
      <c r="BA730" t="s">
        <v>74</v>
      </c>
      <c r="BB730">
        <v>825</v>
      </c>
      <c r="BC730">
        <v>839</v>
      </c>
      <c r="BD730" t="s">
        <v>74</v>
      </c>
      <c r="BE730" t="s">
        <v>14058</v>
      </c>
      <c r="BF730" t="str">
        <f>HYPERLINK("http://dx.doi.org/10.1029/2017PA003269","http://dx.doi.org/10.1029/2017PA003269")</f>
        <v>http://dx.doi.org/10.1029/2017PA003269</v>
      </c>
      <c r="BG730" t="s">
        <v>74</v>
      </c>
      <c r="BH730" t="s">
        <v>74</v>
      </c>
      <c r="BI730">
        <v>15</v>
      </c>
      <c r="BJ730" t="s">
        <v>6015</v>
      </c>
      <c r="BK730" t="s">
        <v>101</v>
      </c>
      <c r="BL730" t="s">
        <v>6016</v>
      </c>
      <c r="BM730" t="s">
        <v>13676</v>
      </c>
      <c r="BN730" t="s">
        <v>74</v>
      </c>
      <c r="BO730" t="s">
        <v>74</v>
      </c>
      <c r="BP730" t="s">
        <v>74</v>
      </c>
      <c r="BQ730" t="s">
        <v>74</v>
      </c>
      <c r="BR730" t="s">
        <v>104</v>
      </c>
      <c r="BS730" t="s">
        <v>14059</v>
      </c>
      <c r="BT730" t="str">
        <f>HYPERLINK("https%3A%2F%2Fwww.webofscience.com%2Fwos%2Fwoscc%2Ffull-record%2FWOS:000441277800012","View Full Record in Web of Science")</f>
        <v>View Full Record in Web of Science</v>
      </c>
    </row>
    <row r="731" spans="1:72" x14ac:dyDescent="0.15">
      <c r="A731" t="s">
        <v>72</v>
      </c>
      <c r="B731" t="s">
        <v>14060</v>
      </c>
      <c r="C731" t="s">
        <v>74</v>
      </c>
      <c r="D731" t="s">
        <v>74</v>
      </c>
      <c r="E731" t="s">
        <v>74</v>
      </c>
      <c r="F731" t="s">
        <v>14061</v>
      </c>
      <c r="G731" t="s">
        <v>74</v>
      </c>
      <c r="H731" t="s">
        <v>74</v>
      </c>
      <c r="I731" t="s">
        <v>14062</v>
      </c>
      <c r="J731" t="s">
        <v>5998</v>
      </c>
      <c r="K731" t="s">
        <v>74</v>
      </c>
      <c r="L731" t="s">
        <v>74</v>
      </c>
      <c r="M731" t="s">
        <v>78</v>
      </c>
      <c r="N731" t="s">
        <v>79</v>
      </c>
      <c r="O731" t="s">
        <v>74</v>
      </c>
      <c r="P731" t="s">
        <v>74</v>
      </c>
      <c r="Q731" t="s">
        <v>74</v>
      </c>
      <c r="R731" t="s">
        <v>74</v>
      </c>
      <c r="S731" t="s">
        <v>74</v>
      </c>
      <c r="T731" t="s">
        <v>74</v>
      </c>
      <c r="U731" t="s">
        <v>14063</v>
      </c>
      <c r="V731" t="s">
        <v>14064</v>
      </c>
      <c r="W731" t="s">
        <v>14065</v>
      </c>
      <c r="X731" t="s">
        <v>14066</v>
      </c>
      <c r="Y731" t="s">
        <v>14067</v>
      </c>
      <c r="Z731" t="s">
        <v>14068</v>
      </c>
      <c r="AA731" t="s">
        <v>14069</v>
      </c>
      <c r="AB731" t="s">
        <v>14070</v>
      </c>
      <c r="AC731" t="s">
        <v>14071</v>
      </c>
      <c r="AD731" t="s">
        <v>14072</v>
      </c>
      <c r="AE731" t="s">
        <v>14073</v>
      </c>
      <c r="AF731" t="s">
        <v>74</v>
      </c>
      <c r="AG731">
        <v>89</v>
      </c>
      <c r="AH731">
        <v>7</v>
      </c>
      <c r="AI731">
        <v>7</v>
      </c>
      <c r="AJ731">
        <v>0</v>
      </c>
      <c r="AK731">
        <v>14</v>
      </c>
      <c r="AL731" t="s">
        <v>503</v>
      </c>
      <c r="AM731" t="s">
        <v>504</v>
      </c>
      <c r="AN731" t="s">
        <v>505</v>
      </c>
      <c r="AO731" t="s">
        <v>6010</v>
      </c>
      <c r="AP731" t="s">
        <v>6011</v>
      </c>
      <c r="AQ731" t="s">
        <v>74</v>
      </c>
      <c r="AR731" t="s">
        <v>6012</v>
      </c>
      <c r="AS731" t="s">
        <v>6013</v>
      </c>
      <c r="AT731" t="s">
        <v>13121</v>
      </c>
      <c r="AU731">
        <v>2018</v>
      </c>
      <c r="AV731">
        <v>33</v>
      </c>
      <c r="AW731">
        <v>7</v>
      </c>
      <c r="AX731" t="s">
        <v>74</v>
      </c>
      <c r="AY731" t="s">
        <v>74</v>
      </c>
      <c r="AZ731" t="s">
        <v>74</v>
      </c>
      <c r="BA731" t="s">
        <v>74</v>
      </c>
      <c r="BB731">
        <v>840</v>
      </c>
      <c r="BC731">
        <v>859</v>
      </c>
      <c r="BD731" t="s">
        <v>74</v>
      </c>
      <c r="BE731" t="s">
        <v>14074</v>
      </c>
      <c r="BF731" t="str">
        <f>HYPERLINK("http://dx.doi.org/10.1029/2018PA003364","http://dx.doi.org/10.1029/2018PA003364")</f>
        <v>http://dx.doi.org/10.1029/2018PA003364</v>
      </c>
      <c r="BG731" t="s">
        <v>74</v>
      </c>
      <c r="BH731" t="s">
        <v>74</v>
      </c>
      <c r="BI731">
        <v>20</v>
      </c>
      <c r="BJ731" t="s">
        <v>6015</v>
      </c>
      <c r="BK731" t="s">
        <v>101</v>
      </c>
      <c r="BL731" t="s">
        <v>6016</v>
      </c>
      <c r="BM731" t="s">
        <v>13676</v>
      </c>
      <c r="BN731" t="s">
        <v>74</v>
      </c>
      <c r="BO731" t="s">
        <v>835</v>
      </c>
      <c r="BP731" t="s">
        <v>74</v>
      </c>
      <c r="BQ731" t="s">
        <v>74</v>
      </c>
      <c r="BR731" t="s">
        <v>104</v>
      </c>
      <c r="BS731" t="s">
        <v>14075</v>
      </c>
      <c r="BT731" t="str">
        <f>HYPERLINK("https%3A%2F%2Fwww.webofscience.com%2Fwos%2Fwoscc%2Ffull-record%2FWOS:000441277800013","View Full Record in Web of Science")</f>
        <v>View Full Record in Web of Science</v>
      </c>
    </row>
    <row r="732" spans="1:72" x14ac:dyDescent="0.15">
      <c r="A732" t="s">
        <v>72</v>
      </c>
      <c r="B732" t="s">
        <v>14076</v>
      </c>
      <c r="C732" t="s">
        <v>74</v>
      </c>
      <c r="D732" t="s">
        <v>74</v>
      </c>
      <c r="E732" t="s">
        <v>74</v>
      </c>
      <c r="F732" t="s">
        <v>14077</v>
      </c>
      <c r="G732" t="s">
        <v>74</v>
      </c>
      <c r="H732" t="s">
        <v>74</v>
      </c>
      <c r="I732" t="s">
        <v>14078</v>
      </c>
      <c r="J732" t="s">
        <v>13174</v>
      </c>
      <c r="K732" t="s">
        <v>74</v>
      </c>
      <c r="L732" t="s">
        <v>74</v>
      </c>
      <c r="M732" t="s">
        <v>78</v>
      </c>
      <c r="N732" t="s">
        <v>133</v>
      </c>
      <c r="O732" t="s">
        <v>13175</v>
      </c>
      <c r="P732" t="s">
        <v>13176</v>
      </c>
      <c r="Q732" t="s">
        <v>13177</v>
      </c>
      <c r="R732" t="s">
        <v>74</v>
      </c>
      <c r="S732" t="s">
        <v>74</v>
      </c>
      <c r="T732" t="s">
        <v>14079</v>
      </c>
      <c r="U732" t="s">
        <v>14080</v>
      </c>
      <c r="V732" t="s">
        <v>14081</v>
      </c>
      <c r="W732" t="s">
        <v>14082</v>
      </c>
      <c r="X732" t="s">
        <v>14083</v>
      </c>
      <c r="Y732" t="s">
        <v>14084</v>
      </c>
      <c r="Z732" t="s">
        <v>14085</v>
      </c>
      <c r="AA732" t="s">
        <v>14086</v>
      </c>
      <c r="AB732" t="s">
        <v>14087</v>
      </c>
      <c r="AC732" t="s">
        <v>14088</v>
      </c>
      <c r="AD732" t="s">
        <v>14089</v>
      </c>
      <c r="AE732" t="s">
        <v>14090</v>
      </c>
      <c r="AF732" t="s">
        <v>74</v>
      </c>
      <c r="AG732">
        <v>59</v>
      </c>
      <c r="AH732">
        <v>2</v>
      </c>
      <c r="AI732">
        <v>2</v>
      </c>
      <c r="AJ732">
        <v>0</v>
      </c>
      <c r="AK732">
        <v>2</v>
      </c>
      <c r="AL732" t="s">
        <v>257</v>
      </c>
      <c r="AM732" t="s">
        <v>730</v>
      </c>
      <c r="AN732" t="s">
        <v>1559</v>
      </c>
      <c r="AO732" t="s">
        <v>13190</v>
      </c>
      <c r="AP732" t="s">
        <v>13191</v>
      </c>
      <c r="AQ732" t="s">
        <v>74</v>
      </c>
      <c r="AR732" t="s">
        <v>13192</v>
      </c>
      <c r="AS732" t="s">
        <v>13193</v>
      </c>
      <c r="AT732" t="s">
        <v>13121</v>
      </c>
      <c r="AU732">
        <v>2018</v>
      </c>
      <c r="AV732">
        <v>59</v>
      </c>
      <c r="AW732">
        <v>76</v>
      </c>
      <c r="AX732">
        <v>2</v>
      </c>
      <c r="AY732" t="s">
        <v>74</v>
      </c>
      <c r="AZ732" t="s">
        <v>74</v>
      </c>
      <c r="BA732" t="s">
        <v>74</v>
      </c>
      <c r="BB732">
        <v>83</v>
      </c>
      <c r="BC732">
        <v>100</v>
      </c>
      <c r="BD732" t="s">
        <v>74</v>
      </c>
      <c r="BE732" t="s">
        <v>14091</v>
      </c>
      <c r="BF732" t="str">
        <f>HYPERLINK("http://dx.doi.org/10.1017/aog.2018.10","http://dx.doi.org/10.1017/aog.2018.10")</f>
        <v>http://dx.doi.org/10.1017/aog.2018.10</v>
      </c>
      <c r="BG732" t="s">
        <v>74</v>
      </c>
      <c r="BH732" t="s">
        <v>74</v>
      </c>
      <c r="BI732">
        <v>18</v>
      </c>
      <c r="BJ732" t="s">
        <v>208</v>
      </c>
      <c r="BK732" t="s">
        <v>158</v>
      </c>
      <c r="BL732" t="s">
        <v>209</v>
      </c>
      <c r="BM732" t="s">
        <v>13195</v>
      </c>
      <c r="BN732" t="s">
        <v>74</v>
      </c>
      <c r="BO732" t="s">
        <v>1584</v>
      </c>
      <c r="BP732" t="s">
        <v>74</v>
      </c>
      <c r="BQ732" t="s">
        <v>74</v>
      </c>
      <c r="BR732" t="s">
        <v>104</v>
      </c>
      <c r="BS732" t="s">
        <v>14092</v>
      </c>
      <c r="BT732" t="str">
        <f>HYPERLINK("https%3A%2F%2Fwww.webofscience.com%2Fwos%2Fwoscc%2Ffull-record%2FWOS:000440821800002","View Full Record in Web of Science")</f>
        <v>View Full Record in Web of Science</v>
      </c>
    </row>
    <row r="733" spans="1:72" x14ac:dyDescent="0.15">
      <c r="A733" t="s">
        <v>72</v>
      </c>
      <c r="B733" t="s">
        <v>14093</v>
      </c>
      <c r="C733" t="s">
        <v>74</v>
      </c>
      <c r="D733" t="s">
        <v>74</v>
      </c>
      <c r="E733" t="s">
        <v>74</v>
      </c>
      <c r="F733" t="s">
        <v>14094</v>
      </c>
      <c r="G733" t="s">
        <v>74</v>
      </c>
      <c r="H733" t="s">
        <v>74</v>
      </c>
      <c r="I733" t="s">
        <v>14095</v>
      </c>
      <c r="J733" t="s">
        <v>14096</v>
      </c>
      <c r="K733" t="s">
        <v>74</v>
      </c>
      <c r="L733" t="s">
        <v>74</v>
      </c>
      <c r="M733" t="s">
        <v>78</v>
      </c>
      <c r="N733" t="s">
        <v>79</v>
      </c>
      <c r="O733" t="s">
        <v>74</v>
      </c>
      <c r="P733" t="s">
        <v>74</v>
      </c>
      <c r="Q733" t="s">
        <v>74</v>
      </c>
      <c r="R733" t="s">
        <v>74</v>
      </c>
      <c r="S733" t="s">
        <v>74</v>
      </c>
      <c r="T733" t="s">
        <v>74</v>
      </c>
      <c r="U733" t="s">
        <v>14097</v>
      </c>
      <c r="V733" t="s">
        <v>14098</v>
      </c>
      <c r="W733" t="s">
        <v>14099</v>
      </c>
      <c r="X733" t="s">
        <v>14100</v>
      </c>
      <c r="Y733" t="s">
        <v>14101</v>
      </c>
      <c r="Z733" t="s">
        <v>14102</v>
      </c>
      <c r="AA733" t="s">
        <v>14103</v>
      </c>
      <c r="AB733" t="s">
        <v>74</v>
      </c>
      <c r="AC733" t="s">
        <v>74</v>
      </c>
      <c r="AD733" t="s">
        <v>74</v>
      </c>
      <c r="AE733" t="s">
        <v>74</v>
      </c>
      <c r="AF733" t="s">
        <v>74</v>
      </c>
      <c r="AG733">
        <v>15</v>
      </c>
      <c r="AH733">
        <v>7</v>
      </c>
      <c r="AI733">
        <v>7</v>
      </c>
      <c r="AJ733">
        <v>0</v>
      </c>
      <c r="AK733">
        <v>7</v>
      </c>
      <c r="AL733" t="s">
        <v>5383</v>
      </c>
      <c r="AM733" t="s">
        <v>258</v>
      </c>
      <c r="AN733" t="s">
        <v>5384</v>
      </c>
      <c r="AO733" t="s">
        <v>14104</v>
      </c>
      <c r="AP733" t="s">
        <v>14105</v>
      </c>
      <c r="AQ733" t="s">
        <v>74</v>
      </c>
      <c r="AR733" t="s">
        <v>14106</v>
      </c>
      <c r="AS733" t="s">
        <v>14107</v>
      </c>
      <c r="AT733" t="s">
        <v>13121</v>
      </c>
      <c r="AU733">
        <v>2018</v>
      </c>
      <c r="AV733">
        <v>481</v>
      </c>
      <c r="AW733">
        <v>1</v>
      </c>
      <c r="AX733" t="s">
        <v>74</v>
      </c>
      <c r="AY733" t="s">
        <v>74</v>
      </c>
      <c r="AZ733" t="s">
        <v>74</v>
      </c>
      <c r="BA733" t="s">
        <v>74</v>
      </c>
      <c r="BB733">
        <v>958</v>
      </c>
      <c r="BC733">
        <v>962</v>
      </c>
      <c r="BD733" t="s">
        <v>74</v>
      </c>
      <c r="BE733" t="s">
        <v>14108</v>
      </c>
      <c r="BF733" t="str">
        <f>HYPERLINK("http://dx.doi.org/10.1134/S1028334X18070292","http://dx.doi.org/10.1134/S1028334X18070292")</f>
        <v>http://dx.doi.org/10.1134/S1028334X18070292</v>
      </c>
      <c r="BG733" t="s">
        <v>74</v>
      </c>
      <c r="BH733" t="s">
        <v>74</v>
      </c>
      <c r="BI733">
        <v>5</v>
      </c>
      <c r="BJ733" t="s">
        <v>182</v>
      </c>
      <c r="BK733" t="s">
        <v>101</v>
      </c>
      <c r="BL733" t="s">
        <v>183</v>
      </c>
      <c r="BM733" t="s">
        <v>14109</v>
      </c>
      <c r="BN733" t="s">
        <v>74</v>
      </c>
      <c r="BO733" t="s">
        <v>74</v>
      </c>
      <c r="BP733" t="s">
        <v>74</v>
      </c>
      <c r="BQ733" t="s">
        <v>74</v>
      </c>
      <c r="BR733" t="s">
        <v>104</v>
      </c>
      <c r="BS733" t="s">
        <v>14110</v>
      </c>
      <c r="BT733" t="str">
        <f>HYPERLINK("https%3A%2F%2Fwww.webofscience.com%2Fwos%2Fwoscc%2Ffull-record%2FWOS:000441005300029","View Full Record in Web of Science")</f>
        <v>View Full Record in Web of Science</v>
      </c>
    </row>
    <row r="734" spans="1:72" x14ac:dyDescent="0.15">
      <c r="A734" t="s">
        <v>72</v>
      </c>
      <c r="B734" t="s">
        <v>14111</v>
      </c>
      <c r="C734" t="s">
        <v>74</v>
      </c>
      <c r="D734" t="s">
        <v>74</v>
      </c>
      <c r="E734" t="s">
        <v>74</v>
      </c>
      <c r="F734" t="s">
        <v>14112</v>
      </c>
      <c r="G734" t="s">
        <v>74</v>
      </c>
      <c r="H734" t="s">
        <v>74</v>
      </c>
      <c r="I734" t="s">
        <v>14113</v>
      </c>
      <c r="J734" t="s">
        <v>1690</v>
      </c>
      <c r="K734" t="s">
        <v>74</v>
      </c>
      <c r="L734" t="s">
        <v>74</v>
      </c>
      <c r="M734" t="s">
        <v>78</v>
      </c>
      <c r="N734" t="s">
        <v>79</v>
      </c>
      <c r="O734" t="s">
        <v>74</v>
      </c>
      <c r="P734" t="s">
        <v>74</v>
      </c>
      <c r="Q734" t="s">
        <v>74</v>
      </c>
      <c r="R734" t="s">
        <v>74</v>
      </c>
      <c r="S734" t="s">
        <v>74</v>
      </c>
      <c r="T734" t="s">
        <v>14114</v>
      </c>
      <c r="U734" t="s">
        <v>14115</v>
      </c>
      <c r="V734" t="s">
        <v>14116</v>
      </c>
      <c r="W734" t="s">
        <v>14117</v>
      </c>
      <c r="X734" t="s">
        <v>14118</v>
      </c>
      <c r="Y734" t="s">
        <v>14119</v>
      </c>
      <c r="Z734" t="s">
        <v>14120</v>
      </c>
      <c r="AA734" t="s">
        <v>14121</v>
      </c>
      <c r="AB734" t="s">
        <v>14122</v>
      </c>
      <c r="AC734" t="s">
        <v>14123</v>
      </c>
      <c r="AD734" t="s">
        <v>14124</v>
      </c>
      <c r="AE734" t="s">
        <v>14125</v>
      </c>
      <c r="AF734" t="s">
        <v>74</v>
      </c>
      <c r="AG734">
        <v>71</v>
      </c>
      <c r="AH734">
        <v>13</v>
      </c>
      <c r="AI734">
        <v>13</v>
      </c>
      <c r="AJ734">
        <v>1</v>
      </c>
      <c r="AK734">
        <v>18</v>
      </c>
      <c r="AL734" t="s">
        <v>758</v>
      </c>
      <c r="AM734" t="s">
        <v>759</v>
      </c>
      <c r="AN734" t="s">
        <v>760</v>
      </c>
      <c r="AO734" t="s">
        <v>1703</v>
      </c>
      <c r="AP734" t="s">
        <v>1704</v>
      </c>
      <c r="AQ734" t="s">
        <v>74</v>
      </c>
      <c r="AR734" t="s">
        <v>1705</v>
      </c>
      <c r="AS734" t="s">
        <v>1706</v>
      </c>
      <c r="AT734" t="s">
        <v>13121</v>
      </c>
      <c r="AU734">
        <v>2018</v>
      </c>
      <c r="AV734">
        <v>34</v>
      </c>
      <c r="AW734">
        <v>3</v>
      </c>
      <c r="AX734" t="s">
        <v>74</v>
      </c>
      <c r="AY734" t="s">
        <v>74</v>
      </c>
      <c r="AZ734" t="s">
        <v>74</v>
      </c>
      <c r="BA734" t="s">
        <v>74</v>
      </c>
      <c r="BB734">
        <v>595</v>
      </c>
      <c r="BC734">
        <v>615</v>
      </c>
      <c r="BD734" t="s">
        <v>74</v>
      </c>
      <c r="BE734" t="s">
        <v>14126</v>
      </c>
      <c r="BF734" t="str">
        <f>HYPERLINK("http://dx.doi.org/10.1111/mms.12469","http://dx.doi.org/10.1111/mms.12469")</f>
        <v>http://dx.doi.org/10.1111/mms.12469</v>
      </c>
      <c r="BG734" t="s">
        <v>74</v>
      </c>
      <c r="BH734" t="s">
        <v>74</v>
      </c>
      <c r="BI734">
        <v>21</v>
      </c>
      <c r="BJ734" t="s">
        <v>1425</v>
      </c>
      <c r="BK734" t="s">
        <v>101</v>
      </c>
      <c r="BL734" t="s">
        <v>1425</v>
      </c>
      <c r="BM734" t="s">
        <v>14127</v>
      </c>
      <c r="BN734" t="s">
        <v>74</v>
      </c>
      <c r="BO734" t="s">
        <v>74</v>
      </c>
      <c r="BP734" t="s">
        <v>74</v>
      </c>
      <c r="BQ734" t="s">
        <v>74</v>
      </c>
      <c r="BR734" t="s">
        <v>104</v>
      </c>
      <c r="BS734" t="s">
        <v>14128</v>
      </c>
      <c r="BT734" t="str">
        <f>HYPERLINK("https%3A%2F%2Fwww.webofscience.com%2Fwos%2Fwoscc%2Ffull-record%2FWOS:000440304300002","View Full Record in Web of Science")</f>
        <v>View Full Record in Web of Science</v>
      </c>
    </row>
    <row r="735" spans="1:72" x14ac:dyDescent="0.15">
      <c r="A735" t="s">
        <v>72</v>
      </c>
      <c r="B735" t="s">
        <v>14129</v>
      </c>
      <c r="C735" t="s">
        <v>74</v>
      </c>
      <c r="D735" t="s">
        <v>74</v>
      </c>
      <c r="E735" t="s">
        <v>74</v>
      </c>
      <c r="F735" t="s">
        <v>14130</v>
      </c>
      <c r="G735" t="s">
        <v>74</v>
      </c>
      <c r="H735" t="s">
        <v>74</v>
      </c>
      <c r="I735" t="s">
        <v>14131</v>
      </c>
      <c r="J735" t="s">
        <v>1690</v>
      </c>
      <c r="K735" t="s">
        <v>74</v>
      </c>
      <c r="L735" t="s">
        <v>74</v>
      </c>
      <c r="M735" t="s">
        <v>78</v>
      </c>
      <c r="N735" t="s">
        <v>79</v>
      </c>
      <c r="O735" t="s">
        <v>74</v>
      </c>
      <c r="P735" t="s">
        <v>74</v>
      </c>
      <c r="Q735" t="s">
        <v>74</v>
      </c>
      <c r="R735" t="s">
        <v>74</v>
      </c>
      <c r="S735" t="s">
        <v>74</v>
      </c>
      <c r="T735" t="s">
        <v>74</v>
      </c>
      <c r="U735" t="s">
        <v>14132</v>
      </c>
      <c r="V735" t="s">
        <v>74</v>
      </c>
      <c r="W735" t="s">
        <v>14133</v>
      </c>
      <c r="X735" t="s">
        <v>14134</v>
      </c>
      <c r="Y735" t="s">
        <v>14135</v>
      </c>
      <c r="Z735" t="s">
        <v>14136</v>
      </c>
      <c r="AA735" t="s">
        <v>74</v>
      </c>
      <c r="AB735" t="s">
        <v>14137</v>
      </c>
      <c r="AC735" t="s">
        <v>14138</v>
      </c>
      <c r="AD735" t="s">
        <v>14138</v>
      </c>
      <c r="AE735" t="s">
        <v>14139</v>
      </c>
      <c r="AF735" t="s">
        <v>74</v>
      </c>
      <c r="AG735">
        <v>31</v>
      </c>
      <c r="AH735">
        <v>3</v>
      </c>
      <c r="AI735">
        <v>3</v>
      </c>
      <c r="AJ735">
        <v>0</v>
      </c>
      <c r="AK735">
        <v>3</v>
      </c>
      <c r="AL735" t="s">
        <v>758</v>
      </c>
      <c r="AM735" t="s">
        <v>759</v>
      </c>
      <c r="AN735" t="s">
        <v>760</v>
      </c>
      <c r="AO735" t="s">
        <v>1703</v>
      </c>
      <c r="AP735" t="s">
        <v>1704</v>
      </c>
      <c r="AQ735" t="s">
        <v>74</v>
      </c>
      <c r="AR735" t="s">
        <v>1705</v>
      </c>
      <c r="AS735" t="s">
        <v>1706</v>
      </c>
      <c r="AT735" t="s">
        <v>13121</v>
      </c>
      <c r="AU735">
        <v>2018</v>
      </c>
      <c r="AV735">
        <v>34</v>
      </c>
      <c r="AW735">
        <v>3</v>
      </c>
      <c r="AX735" t="s">
        <v>74</v>
      </c>
      <c r="AY735" t="s">
        <v>74</v>
      </c>
      <c r="AZ735" t="s">
        <v>74</v>
      </c>
      <c r="BA735" t="s">
        <v>74</v>
      </c>
      <c r="BB735">
        <v>829</v>
      </c>
      <c r="BC735">
        <v>840</v>
      </c>
      <c r="BD735" t="s">
        <v>74</v>
      </c>
      <c r="BE735" t="s">
        <v>14140</v>
      </c>
      <c r="BF735" t="str">
        <f>HYPERLINK("http://dx.doi.org/10.1111/mms.12478","http://dx.doi.org/10.1111/mms.12478")</f>
        <v>http://dx.doi.org/10.1111/mms.12478</v>
      </c>
      <c r="BG735" t="s">
        <v>74</v>
      </c>
      <c r="BH735" t="s">
        <v>74</v>
      </c>
      <c r="BI735">
        <v>12</v>
      </c>
      <c r="BJ735" t="s">
        <v>1425</v>
      </c>
      <c r="BK735" t="s">
        <v>101</v>
      </c>
      <c r="BL735" t="s">
        <v>1425</v>
      </c>
      <c r="BM735" t="s">
        <v>14127</v>
      </c>
      <c r="BN735" t="s">
        <v>74</v>
      </c>
      <c r="BO735" t="s">
        <v>74</v>
      </c>
      <c r="BP735" t="s">
        <v>74</v>
      </c>
      <c r="BQ735" t="s">
        <v>74</v>
      </c>
      <c r="BR735" t="s">
        <v>104</v>
      </c>
      <c r="BS735" t="s">
        <v>14141</v>
      </c>
      <c r="BT735" t="str">
        <f>HYPERLINK("https%3A%2F%2Fwww.webofscience.com%2Fwos%2Fwoscc%2Ffull-record%2FWOS:000440304300014","View Full Record in Web of Science")</f>
        <v>View Full Record in Web of Science</v>
      </c>
    </row>
    <row r="736" spans="1:72" x14ac:dyDescent="0.15">
      <c r="A736" t="s">
        <v>72</v>
      </c>
      <c r="B736" t="s">
        <v>9690</v>
      </c>
      <c r="C736" t="s">
        <v>74</v>
      </c>
      <c r="D736" t="s">
        <v>74</v>
      </c>
      <c r="E736" t="s">
        <v>74</v>
      </c>
      <c r="F736" t="s">
        <v>9690</v>
      </c>
      <c r="G736" t="s">
        <v>74</v>
      </c>
      <c r="H736" t="s">
        <v>74</v>
      </c>
      <c r="I736" t="s">
        <v>14142</v>
      </c>
      <c r="J736" t="s">
        <v>9692</v>
      </c>
      <c r="K736" t="s">
        <v>74</v>
      </c>
      <c r="L736" t="s">
        <v>74</v>
      </c>
      <c r="M736" t="s">
        <v>78</v>
      </c>
      <c r="N736" t="s">
        <v>6598</v>
      </c>
      <c r="O736" t="s">
        <v>74</v>
      </c>
      <c r="P736" t="s">
        <v>74</v>
      </c>
      <c r="Q736" t="s">
        <v>74</v>
      </c>
      <c r="R736" t="s">
        <v>74</v>
      </c>
      <c r="S736" t="s">
        <v>74</v>
      </c>
      <c r="T736" t="s">
        <v>74</v>
      </c>
      <c r="U736" t="s">
        <v>74</v>
      </c>
      <c r="V736" t="s">
        <v>74</v>
      </c>
      <c r="W736" t="s">
        <v>74</v>
      </c>
      <c r="X736" t="s">
        <v>74</v>
      </c>
      <c r="Y736" t="s">
        <v>74</v>
      </c>
      <c r="Z736" t="s">
        <v>74</v>
      </c>
      <c r="AA736" t="s">
        <v>74</v>
      </c>
      <c r="AB736" t="s">
        <v>74</v>
      </c>
      <c r="AC736" t="s">
        <v>74</v>
      </c>
      <c r="AD736" t="s">
        <v>74</v>
      </c>
      <c r="AE736" t="s">
        <v>74</v>
      </c>
      <c r="AF736" t="s">
        <v>74</v>
      </c>
      <c r="AG736">
        <v>0</v>
      </c>
      <c r="AH736">
        <v>0</v>
      </c>
      <c r="AI736">
        <v>0</v>
      </c>
      <c r="AJ736">
        <v>0</v>
      </c>
      <c r="AK736">
        <v>0</v>
      </c>
      <c r="AL736" t="s">
        <v>149</v>
      </c>
      <c r="AM736" t="s">
        <v>93</v>
      </c>
      <c r="AN736" t="s">
        <v>150</v>
      </c>
      <c r="AO736" t="s">
        <v>9693</v>
      </c>
      <c r="AP736" t="s">
        <v>9694</v>
      </c>
      <c r="AQ736" t="s">
        <v>74</v>
      </c>
      <c r="AR736" t="s">
        <v>9695</v>
      </c>
      <c r="AS736" t="s">
        <v>9696</v>
      </c>
      <c r="AT736" t="s">
        <v>13121</v>
      </c>
      <c r="AU736">
        <v>2018</v>
      </c>
      <c r="AV736">
        <v>132</v>
      </c>
      <c r="AW736" t="s">
        <v>74</v>
      </c>
      <c r="AX736" t="s">
        <v>14143</v>
      </c>
      <c r="AY736" t="s">
        <v>74</v>
      </c>
      <c r="AZ736" t="s">
        <v>155</v>
      </c>
      <c r="BA736" t="s">
        <v>74</v>
      </c>
      <c r="BB736">
        <v>105</v>
      </c>
      <c r="BC736">
        <v>105</v>
      </c>
      <c r="BD736" t="s">
        <v>74</v>
      </c>
      <c r="BE736" t="s">
        <v>74</v>
      </c>
      <c r="BF736" t="s">
        <v>74</v>
      </c>
      <c r="BG736" t="s">
        <v>74</v>
      </c>
      <c r="BH736" t="s">
        <v>74</v>
      </c>
      <c r="BI736">
        <v>1</v>
      </c>
      <c r="BJ736" t="s">
        <v>3450</v>
      </c>
      <c r="BK736" t="s">
        <v>101</v>
      </c>
      <c r="BL736" t="s">
        <v>3451</v>
      </c>
      <c r="BM736" t="s">
        <v>14144</v>
      </c>
      <c r="BN736" t="s">
        <v>74</v>
      </c>
      <c r="BO736" t="s">
        <v>74</v>
      </c>
      <c r="BP736" t="s">
        <v>74</v>
      </c>
      <c r="BQ736" t="s">
        <v>74</v>
      </c>
      <c r="BR736" t="s">
        <v>104</v>
      </c>
      <c r="BS736" t="s">
        <v>14145</v>
      </c>
      <c r="BT736" t="str">
        <f>HYPERLINK("https%3A%2F%2Fwww.webofscience.com%2Fwos%2Fwoscc%2Ffull-record%2FWOS:000440117100022","View Full Record in Web of Science")</f>
        <v>View Full Record in Web of Science</v>
      </c>
    </row>
    <row r="737" spans="1:72" x14ac:dyDescent="0.15">
      <c r="A737" t="s">
        <v>72</v>
      </c>
      <c r="B737" t="s">
        <v>14146</v>
      </c>
      <c r="C737" t="s">
        <v>74</v>
      </c>
      <c r="D737" t="s">
        <v>74</v>
      </c>
      <c r="E737" t="s">
        <v>74</v>
      </c>
      <c r="F737" t="s">
        <v>14147</v>
      </c>
      <c r="G737" t="s">
        <v>74</v>
      </c>
      <c r="H737" t="s">
        <v>74</v>
      </c>
      <c r="I737" t="s">
        <v>14148</v>
      </c>
      <c r="J737" t="s">
        <v>4729</v>
      </c>
      <c r="K737" t="s">
        <v>74</v>
      </c>
      <c r="L737" t="s">
        <v>74</v>
      </c>
      <c r="M737" t="s">
        <v>78</v>
      </c>
      <c r="N737" t="s">
        <v>79</v>
      </c>
      <c r="O737" t="s">
        <v>74</v>
      </c>
      <c r="P737" t="s">
        <v>74</v>
      </c>
      <c r="Q737" t="s">
        <v>74</v>
      </c>
      <c r="R737" t="s">
        <v>74</v>
      </c>
      <c r="S737" t="s">
        <v>74</v>
      </c>
      <c r="T737" t="s">
        <v>14149</v>
      </c>
      <c r="U737" t="s">
        <v>14150</v>
      </c>
      <c r="V737" t="s">
        <v>14151</v>
      </c>
      <c r="W737" t="s">
        <v>14152</v>
      </c>
      <c r="X737" t="s">
        <v>14153</v>
      </c>
      <c r="Y737" t="s">
        <v>14154</v>
      </c>
      <c r="Z737" t="s">
        <v>14155</v>
      </c>
      <c r="AA737" t="s">
        <v>14156</v>
      </c>
      <c r="AB737" t="s">
        <v>14157</v>
      </c>
      <c r="AC737" t="s">
        <v>14158</v>
      </c>
      <c r="AD737" t="s">
        <v>14159</v>
      </c>
      <c r="AE737" t="s">
        <v>14160</v>
      </c>
      <c r="AF737" t="s">
        <v>74</v>
      </c>
      <c r="AG737">
        <v>56</v>
      </c>
      <c r="AH737">
        <v>29</v>
      </c>
      <c r="AI737">
        <v>29</v>
      </c>
      <c r="AJ737">
        <v>0</v>
      </c>
      <c r="AK737">
        <v>6</v>
      </c>
      <c r="AL737" t="s">
        <v>430</v>
      </c>
      <c r="AM737" t="s">
        <v>286</v>
      </c>
      <c r="AN737" t="s">
        <v>431</v>
      </c>
      <c r="AO737" t="s">
        <v>4742</v>
      </c>
      <c r="AP737" t="s">
        <v>4743</v>
      </c>
      <c r="AQ737" t="s">
        <v>74</v>
      </c>
      <c r="AR737" t="s">
        <v>4744</v>
      </c>
      <c r="AS737" t="s">
        <v>4745</v>
      </c>
      <c r="AT737" t="s">
        <v>13121</v>
      </c>
      <c r="AU737">
        <v>2018</v>
      </c>
      <c r="AV737">
        <v>59</v>
      </c>
      <c r="AW737" t="s">
        <v>74</v>
      </c>
      <c r="AX737" t="s">
        <v>74</v>
      </c>
      <c r="AY737" t="s">
        <v>74</v>
      </c>
      <c r="AZ737" t="s">
        <v>74</v>
      </c>
      <c r="BA737" t="s">
        <v>74</v>
      </c>
      <c r="BB737">
        <v>97</v>
      </c>
      <c r="BC737">
        <v>107</v>
      </c>
      <c r="BD737" t="s">
        <v>74</v>
      </c>
      <c r="BE737" t="s">
        <v>14161</v>
      </c>
      <c r="BF737" t="str">
        <f>HYPERLINK("http://dx.doi.org/10.1016/j.gr.2018.02.019","http://dx.doi.org/10.1016/j.gr.2018.02.019")</f>
        <v>http://dx.doi.org/10.1016/j.gr.2018.02.019</v>
      </c>
      <c r="BG737" t="s">
        <v>74</v>
      </c>
      <c r="BH737" t="s">
        <v>74</v>
      </c>
      <c r="BI737">
        <v>11</v>
      </c>
      <c r="BJ737" t="s">
        <v>182</v>
      </c>
      <c r="BK737" t="s">
        <v>101</v>
      </c>
      <c r="BL737" t="s">
        <v>183</v>
      </c>
      <c r="BM737" t="s">
        <v>13439</v>
      </c>
      <c r="BN737" t="s">
        <v>74</v>
      </c>
      <c r="BO737" t="s">
        <v>740</v>
      </c>
      <c r="BP737" t="s">
        <v>74</v>
      </c>
      <c r="BQ737" t="s">
        <v>74</v>
      </c>
      <c r="BR737" t="s">
        <v>104</v>
      </c>
      <c r="BS737" t="s">
        <v>14162</v>
      </c>
      <c r="BT737" t="str">
        <f>HYPERLINK("https%3A%2F%2Fwww.webofscience.com%2Fwos%2Fwoscc%2Ffull-record%2FWOS:000440265400008","View Full Record in Web of Science")</f>
        <v>View Full Record in Web of Science</v>
      </c>
    </row>
    <row r="738" spans="1:72" x14ac:dyDescent="0.15">
      <c r="A738" t="s">
        <v>72</v>
      </c>
      <c r="B738" t="s">
        <v>14163</v>
      </c>
      <c r="C738" t="s">
        <v>74</v>
      </c>
      <c r="D738" t="s">
        <v>74</v>
      </c>
      <c r="E738" t="s">
        <v>74</v>
      </c>
      <c r="F738" t="s">
        <v>14164</v>
      </c>
      <c r="G738" t="s">
        <v>74</v>
      </c>
      <c r="H738" t="s">
        <v>74</v>
      </c>
      <c r="I738" t="s">
        <v>14165</v>
      </c>
      <c r="J738" t="s">
        <v>14166</v>
      </c>
      <c r="K738" t="s">
        <v>74</v>
      </c>
      <c r="L738" t="s">
        <v>74</v>
      </c>
      <c r="M738" t="s">
        <v>78</v>
      </c>
      <c r="N738" t="s">
        <v>79</v>
      </c>
      <c r="O738" t="s">
        <v>74</v>
      </c>
      <c r="P738" t="s">
        <v>74</v>
      </c>
      <c r="Q738" t="s">
        <v>74</v>
      </c>
      <c r="R738" t="s">
        <v>74</v>
      </c>
      <c r="S738" t="s">
        <v>74</v>
      </c>
      <c r="T738" t="s">
        <v>14167</v>
      </c>
      <c r="U738" t="s">
        <v>14168</v>
      </c>
      <c r="V738" t="s">
        <v>14169</v>
      </c>
      <c r="W738" t="s">
        <v>14170</v>
      </c>
      <c r="X738" t="s">
        <v>14171</v>
      </c>
      <c r="Y738" t="s">
        <v>14172</v>
      </c>
      <c r="Z738" t="s">
        <v>14173</v>
      </c>
      <c r="AA738" t="s">
        <v>14174</v>
      </c>
      <c r="AB738" t="s">
        <v>14175</v>
      </c>
      <c r="AC738" t="s">
        <v>14176</v>
      </c>
      <c r="AD738" t="s">
        <v>14177</v>
      </c>
      <c r="AE738" t="s">
        <v>14178</v>
      </c>
      <c r="AF738" t="s">
        <v>74</v>
      </c>
      <c r="AG738">
        <v>30</v>
      </c>
      <c r="AH738">
        <v>13</v>
      </c>
      <c r="AI738">
        <v>13</v>
      </c>
      <c r="AJ738">
        <v>0</v>
      </c>
      <c r="AK738">
        <v>7</v>
      </c>
      <c r="AL738" t="s">
        <v>1319</v>
      </c>
      <c r="AM738" t="s">
        <v>704</v>
      </c>
      <c r="AN738" t="s">
        <v>1320</v>
      </c>
      <c r="AO738" t="s">
        <v>14179</v>
      </c>
      <c r="AP738" t="s">
        <v>14180</v>
      </c>
      <c r="AQ738" t="s">
        <v>74</v>
      </c>
      <c r="AR738" t="s">
        <v>14181</v>
      </c>
      <c r="AS738" t="s">
        <v>14182</v>
      </c>
      <c r="AT738" t="s">
        <v>13121</v>
      </c>
      <c r="AU738">
        <v>2018</v>
      </c>
      <c r="AV738">
        <v>14</v>
      </c>
      <c r="AW738">
        <v>7</v>
      </c>
      <c r="AX738" t="s">
        <v>74</v>
      </c>
      <c r="AY738" t="s">
        <v>74</v>
      </c>
      <c r="AZ738" t="s">
        <v>74</v>
      </c>
      <c r="BA738" t="s">
        <v>74</v>
      </c>
      <c r="BB738" t="s">
        <v>74</v>
      </c>
      <c r="BC738" t="s">
        <v>74</v>
      </c>
      <c r="BD738">
        <v>20180140</v>
      </c>
      <c r="BE738" t="s">
        <v>14183</v>
      </c>
      <c r="BF738" t="str">
        <f>HYPERLINK("http://dx.doi.org/10.1098/rsbl.2018.0140","http://dx.doi.org/10.1098/rsbl.2018.0140")</f>
        <v>http://dx.doi.org/10.1098/rsbl.2018.0140</v>
      </c>
      <c r="BG738" t="s">
        <v>74</v>
      </c>
      <c r="BH738" t="s">
        <v>74</v>
      </c>
      <c r="BI738">
        <v>5</v>
      </c>
      <c r="BJ738" t="s">
        <v>12735</v>
      </c>
      <c r="BK738" t="s">
        <v>101</v>
      </c>
      <c r="BL738" t="s">
        <v>12736</v>
      </c>
      <c r="BM738" t="s">
        <v>14184</v>
      </c>
      <c r="BN738">
        <v>30045902</v>
      </c>
      <c r="BO738" t="s">
        <v>3156</v>
      </c>
      <c r="BP738" t="s">
        <v>74</v>
      </c>
      <c r="BQ738" t="s">
        <v>74</v>
      </c>
      <c r="BR738" t="s">
        <v>104</v>
      </c>
      <c r="BS738" t="s">
        <v>14185</v>
      </c>
      <c r="BT738" t="str">
        <f>HYPERLINK("https%3A%2F%2Fwww.webofscience.com%2Fwos%2Fwoscc%2Ffull-record%2FWOS:000440138500005","View Full Record in Web of Science")</f>
        <v>View Full Record in Web of Science</v>
      </c>
    </row>
    <row r="739" spans="1:72" x14ac:dyDescent="0.15">
      <c r="A739" t="s">
        <v>72</v>
      </c>
      <c r="B739" t="s">
        <v>14186</v>
      </c>
      <c r="C739" t="s">
        <v>74</v>
      </c>
      <c r="D739" t="s">
        <v>74</v>
      </c>
      <c r="E739" t="s">
        <v>74</v>
      </c>
      <c r="F739" t="s">
        <v>14187</v>
      </c>
      <c r="G739" t="s">
        <v>74</v>
      </c>
      <c r="H739" t="s">
        <v>74</v>
      </c>
      <c r="I739" t="s">
        <v>14188</v>
      </c>
      <c r="J739" t="s">
        <v>14189</v>
      </c>
      <c r="K739" t="s">
        <v>74</v>
      </c>
      <c r="L739" t="s">
        <v>74</v>
      </c>
      <c r="M739" t="s">
        <v>78</v>
      </c>
      <c r="N739" t="s">
        <v>79</v>
      </c>
      <c r="O739" t="s">
        <v>74</v>
      </c>
      <c r="P739" t="s">
        <v>74</v>
      </c>
      <c r="Q739" t="s">
        <v>74</v>
      </c>
      <c r="R739" t="s">
        <v>74</v>
      </c>
      <c r="S739" t="s">
        <v>74</v>
      </c>
      <c r="T739" t="s">
        <v>14190</v>
      </c>
      <c r="U739" t="s">
        <v>14191</v>
      </c>
      <c r="V739" t="s">
        <v>14192</v>
      </c>
      <c r="W739" t="s">
        <v>14193</v>
      </c>
      <c r="X739" t="s">
        <v>14194</v>
      </c>
      <c r="Y739" t="s">
        <v>14195</v>
      </c>
      <c r="Z739" t="s">
        <v>14196</v>
      </c>
      <c r="AA739" t="s">
        <v>14197</v>
      </c>
      <c r="AB739" t="s">
        <v>14198</v>
      </c>
      <c r="AC739" t="s">
        <v>14199</v>
      </c>
      <c r="AD739" t="s">
        <v>14199</v>
      </c>
      <c r="AE739" t="s">
        <v>14200</v>
      </c>
      <c r="AF739" t="s">
        <v>74</v>
      </c>
      <c r="AG739">
        <v>56</v>
      </c>
      <c r="AH739">
        <v>12</v>
      </c>
      <c r="AI739">
        <v>12</v>
      </c>
      <c r="AJ739">
        <v>3</v>
      </c>
      <c r="AK739">
        <v>27</v>
      </c>
      <c r="AL739" t="s">
        <v>1053</v>
      </c>
      <c r="AM739" t="s">
        <v>1054</v>
      </c>
      <c r="AN739" t="s">
        <v>1055</v>
      </c>
      <c r="AO739" t="s">
        <v>74</v>
      </c>
      <c r="AP739" t="s">
        <v>14201</v>
      </c>
      <c r="AQ739" t="s">
        <v>74</v>
      </c>
      <c r="AR739" t="s">
        <v>14189</v>
      </c>
      <c r="AS739" t="s">
        <v>14202</v>
      </c>
      <c r="AT739" t="s">
        <v>13121</v>
      </c>
      <c r="AU739">
        <v>2018</v>
      </c>
      <c r="AV739">
        <v>8</v>
      </c>
      <c r="AW739">
        <v>7</v>
      </c>
      <c r="AX739" t="s">
        <v>74</v>
      </c>
      <c r="AY739" t="s">
        <v>74</v>
      </c>
      <c r="AZ739" t="s">
        <v>74</v>
      </c>
      <c r="BA739" t="s">
        <v>74</v>
      </c>
      <c r="BB739" t="s">
        <v>74</v>
      </c>
      <c r="BC739" t="s">
        <v>74</v>
      </c>
      <c r="BD739">
        <v>289</v>
      </c>
      <c r="BE739" t="s">
        <v>14203</v>
      </c>
      <c r="BF739" t="str">
        <f>HYPERLINK("http://dx.doi.org/10.3390/catal8070289","http://dx.doi.org/10.3390/catal8070289")</f>
        <v>http://dx.doi.org/10.3390/catal8070289</v>
      </c>
      <c r="BG739" t="s">
        <v>74</v>
      </c>
      <c r="BH739" t="s">
        <v>74</v>
      </c>
      <c r="BI739">
        <v>15</v>
      </c>
      <c r="BJ739" t="s">
        <v>2878</v>
      </c>
      <c r="BK739" t="s">
        <v>101</v>
      </c>
      <c r="BL739" t="s">
        <v>2879</v>
      </c>
      <c r="BM739" t="s">
        <v>14204</v>
      </c>
      <c r="BN739" t="s">
        <v>74</v>
      </c>
      <c r="BO739" t="s">
        <v>11831</v>
      </c>
      <c r="BP739" t="s">
        <v>74</v>
      </c>
      <c r="BQ739" t="s">
        <v>74</v>
      </c>
      <c r="BR739" t="s">
        <v>104</v>
      </c>
      <c r="BS739" t="s">
        <v>14205</v>
      </c>
      <c r="BT739" t="str">
        <f>HYPERLINK("https%3A%2F%2Fwww.webofscience.com%2Fwos%2Fwoscc%2Ffull-record%2FWOS:000440016400036","View Full Record in Web of Science")</f>
        <v>View Full Record in Web of Science</v>
      </c>
    </row>
    <row r="740" spans="1:72" x14ac:dyDescent="0.15">
      <c r="A740" t="s">
        <v>72</v>
      </c>
      <c r="B740" t="s">
        <v>14206</v>
      </c>
      <c r="C740" t="s">
        <v>74</v>
      </c>
      <c r="D740" t="s">
        <v>74</v>
      </c>
      <c r="E740" t="s">
        <v>74</v>
      </c>
      <c r="F740" t="s">
        <v>14207</v>
      </c>
      <c r="G740" t="s">
        <v>74</v>
      </c>
      <c r="H740" t="s">
        <v>74</v>
      </c>
      <c r="I740" t="s">
        <v>14208</v>
      </c>
      <c r="J740" t="s">
        <v>616</v>
      </c>
      <c r="K740" t="s">
        <v>74</v>
      </c>
      <c r="L740" t="s">
        <v>74</v>
      </c>
      <c r="M740" t="s">
        <v>78</v>
      </c>
      <c r="N740" t="s">
        <v>79</v>
      </c>
      <c r="O740" t="s">
        <v>74</v>
      </c>
      <c r="P740" t="s">
        <v>74</v>
      </c>
      <c r="Q740" t="s">
        <v>74</v>
      </c>
      <c r="R740" t="s">
        <v>74</v>
      </c>
      <c r="S740" t="s">
        <v>74</v>
      </c>
      <c r="T740" t="s">
        <v>14209</v>
      </c>
      <c r="U740" t="s">
        <v>14210</v>
      </c>
      <c r="V740" t="s">
        <v>14211</v>
      </c>
      <c r="W740" t="s">
        <v>14212</v>
      </c>
      <c r="X740" t="s">
        <v>14213</v>
      </c>
      <c r="Y740" t="s">
        <v>14214</v>
      </c>
      <c r="Z740" t="s">
        <v>14215</v>
      </c>
      <c r="AA740" t="s">
        <v>74</v>
      </c>
      <c r="AB740" t="s">
        <v>14216</v>
      </c>
      <c r="AC740" t="s">
        <v>14217</v>
      </c>
      <c r="AD740" t="s">
        <v>14218</v>
      </c>
      <c r="AE740" t="s">
        <v>14219</v>
      </c>
      <c r="AF740" t="s">
        <v>74</v>
      </c>
      <c r="AG740">
        <v>104</v>
      </c>
      <c r="AH740">
        <v>25</v>
      </c>
      <c r="AI740">
        <v>27</v>
      </c>
      <c r="AJ740">
        <v>16</v>
      </c>
      <c r="AK740">
        <v>98</v>
      </c>
      <c r="AL740" t="s">
        <v>92</v>
      </c>
      <c r="AM740" t="s">
        <v>93</v>
      </c>
      <c r="AN740" t="s">
        <v>94</v>
      </c>
      <c r="AO740" t="s">
        <v>628</v>
      </c>
      <c r="AP740" t="s">
        <v>629</v>
      </c>
      <c r="AQ740" t="s">
        <v>74</v>
      </c>
      <c r="AR740" t="s">
        <v>630</v>
      </c>
      <c r="AS740" t="s">
        <v>631</v>
      </c>
      <c r="AT740" t="s">
        <v>13121</v>
      </c>
      <c r="AU740">
        <v>2018</v>
      </c>
      <c r="AV740">
        <v>94</v>
      </c>
      <c r="AW740">
        <v>7</v>
      </c>
      <c r="AX740" t="s">
        <v>74</v>
      </c>
      <c r="AY740" t="s">
        <v>74</v>
      </c>
      <c r="AZ740" t="s">
        <v>74</v>
      </c>
      <c r="BA740" t="s">
        <v>74</v>
      </c>
      <c r="BB740" t="s">
        <v>74</v>
      </c>
      <c r="BC740" t="s">
        <v>74</v>
      </c>
      <c r="BD740" t="s">
        <v>14220</v>
      </c>
      <c r="BE740" t="s">
        <v>14221</v>
      </c>
      <c r="BF740" t="str">
        <f>HYPERLINK("http://dx.doi.org/10.1093/femsec/fiy090","http://dx.doi.org/10.1093/femsec/fiy090")</f>
        <v>http://dx.doi.org/10.1093/femsec/fiy090</v>
      </c>
      <c r="BG740" t="s">
        <v>74</v>
      </c>
      <c r="BH740" t="s">
        <v>74</v>
      </c>
      <c r="BI740">
        <v>10</v>
      </c>
      <c r="BJ740" t="s">
        <v>344</v>
      </c>
      <c r="BK740" t="s">
        <v>101</v>
      </c>
      <c r="BL740" t="s">
        <v>344</v>
      </c>
      <c r="BM740" t="s">
        <v>14222</v>
      </c>
      <c r="BN740">
        <v>29767710</v>
      </c>
      <c r="BO740" t="s">
        <v>712</v>
      </c>
      <c r="BP740" t="s">
        <v>74</v>
      </c>
      <c r="BQ740" t="s">
        <v>74</v>
      </c>
      <c r="BR740" t="s">
        <v>104</v>
      </c>
      <c r="BS740" t="s">
        <v>14223</v>
      </c>
      <c r="BT740" t="str">
        <f>HYPERLINK("https%3A%2F%2Fwww.webofscience.com%2Fwos%2Fwoscc%2Ffull-record%2FWOS:000439792600010","View Full Record in Web of Science")</f>
        <v>View Full Record in Web of Science</v>
      </c>
    </row>
    <row r="741" spans="1:72" x14ac:dyDescent="0.15">
      <c r="A741" t="s">
        <v>72</v>
      </c>
      <c r="B741" t="s">
        <v>14224</v>
      </c>
      <c r="C741" t="s">
        <v>74</v>
      </c>
      <c r="D741" t="s">
        <v>74</v>
      </c>
      <c r="E741" t="s">
        <v>74</v>
      </c>
      <c r="F741" t="s">
        <v>14225</v>
      </c>
      <c r="G741" t="s">
        <v>74</v>
      </c>
      <c r="H741" t="s">
        <v>74</v>
      </c>
      <c r="I741" t="s">
        <v>14226</v>
      </c>
      <c r="J741" t="s">
        <v>14227</v>
      </c>
      <c r="K741" t="s">
        <v>74</v>
      </c>
      <c r="L741" t="s">
        <v>74</v>
      </c>
      <c r="M741" t="s">
        <v>78</v>
      </c>
      <c r="N741" t="s">
        <v>79</v>
      </c>
      <c r="O741" t="s">
        <v>74</v>
      </c>
      <c r="P741" t="s">
        <v>74</v>
      </c>
      <c r="Q741" t="s">
        <v>74</v>
      </c>
      <c r="R741" t="s">
        <v>74</v>
      </c>
      <c r="S741" t="s">
        <v>74</v>
      </c>
      <c r="T741" t="s">
        <v>14228</v>
      </c>
      <c r="U741" t="s">
        <v>14229</v>
      </c>
      <c r="V741" t="s">
        <v>14230</v>
      </c>
      <c r="W741" t="s">
        <v>14231</v>
      </c>
      <c r="X741" t="s">
        <v>14232</v>
      </c>
      <c r="Y741" t="s">
        <v>14233</v>
      </c>
      <c r="Z741" t="s">
        <v>14234</v>
      </c>
      <c r="AA741" t="s">
        <v>14235</v>
      </c>
      <c r="AB741" t="s">
        <v>14236</v>
      </c>
      <c r="AC741" t="s">
        <v>14237</v>
      </c>
      <c r="AD741" t="s">
        <v>14238</v>
      </c>
      <c r="AE741" t="s">
        <v>14239</v>
      </c>
      <c r="AF741" t="s">
        <v>74</v>
      </c>
      <c r="AG741">
        <v>58</v>
      </c>
      <c r="AH741">
        <v>11</v>
      </c>
      <c r="AI741">
        <v>13</v>
      </c>
      <c r="AJ741">
        <v>0</v>
      </c>
      <c r="AK741">
        <v>2</v>
      </c>
      <c r="AL741" t="s">
        <v>257</v>
      </c>
      <c r="AM741" t="s">
        <v>730</v>
      </c>
      <c r="AN741" t="s">
        <v>1559</v>
      </c>
      <c r="AO741" t="s">
        <v>14240</v>
      </c>
      <c r="AP741" t="s">
        <v>14241</v>
      </c>
      <c r="AQ741" t="s">
        <v>74</v>
      </c>
      <c r="AR741" t="s">
        <v>14227</v>
      </c>
      <c r="AS741" t="s">
        <v>14242</v>
      </c>
      <c r="AT741" t="s">
        <v>13121</v>
      </c>
      <c r="AU741">
        <v>2018</v>
      </c>
      <c r="AV741">
        <v>50</v>
      </c>
      <c r="AW741">
        <v>4</v>
      </c>
      <c r="AX741" t="s">
        <v>74</v>
      </c>
      <c r="AY741" t="s">
        <v>74</v>
      </c>
      <c r="AZ741" t="s">
        <v>74</v>
      </c>
      <c r="BA741" t="s">
        <v>74</v>
      </c>
      <c r="BB741">
        <v>467</v>
      </c>
      <c r="BC741">
        <v>485</v>
      </c>
      <c r="BD741" t="s">
        <v>74</v>
      </c>
      <c r="BE741" t="s">
        <v>14243</v>
      </c>
      <c r="BF741" t="str">
        <f>HYPERLINK("http://dx.doi.org/10.1017/S0024282918000269","http://dx.doi.org/10.1017/S0024282918000269")</f>
        <v>http://dx.doi.org/10.1017/S0024282918000269</v>
      </c>
      <c r="BG741" t="s">
        <v>74</v>
      </c>
      <c r="BH741" t="s">
        <v>74</v>
      </c>
      <c r="BI741">
        <v>19</v>
      </c>
      <c r="BJ741" t="s">
        <v>14244</v>
      </c>
      <c r="BK741" t="s">
        <v>101</v>
      </c>
      <c r="BL741" t="s">
        <v>14244</v>
      </c>
      <c r="BM741" t="s">
        <v>14245</v>
      </c>
      <c r="BN741" t="s">
        <v>74</v>
      </c>
      <c r="BO741" t="s">
        <v>74</v>
      </c>
      <c r="BP741" t="s">
        <v>74</v>
      </c>
      <c r="BQ741" t="s">
        <v>74</v>
      </c>
      <c r="BR741" t="s">
        <v>104</v>
      </c>
      <c r="BS741" t="s">
        <v>14246</v>
      </c>
      <c r="BT741" t="str">
        <f>HYPERLINK("https%3A%2F%2Fwww.webofscience.com%2Fwos%2Fwoscc%2Ffull-record%2FWOS:000439562000005","View Full Record in Web of Science")</f>
        <v>View Full Record in Web of Science</v>
      </c>
    </row>
    <row r="742" spans="1:72" x14ac:dyDescent="0.15">
      <c r="A742" t="s">
        <v>72</v>
      </c>
      <c r="B742" t="s">
        <v>14247</v>
      </c>
      <c r="C742" t="s">
        <v>74</v>
      </c>
      <c r="D742" t="s">
        <v>74</v>
      </c>
      <c r="E742" t="s">
        <v>74</v>
      </c>
      <c r="F742" t="s">
        <v>14248</v>
      </c>
      <c r="G742" t="s">
        <v>74</v>
      </c>
      <c r="H742" t="s">
        <v>74</v>
      </c>
      <c r="I742" t="s">
        <v>14249</v>
      </c>
      <c r="J742" t="s">
        <v>1147</v>
      </c>
      <c r="K742" t="s">
        <v>74</v>
      </c>
      <c r="L742" t="s">
        <v>74</v>
      </c>
      <c r="M742" t="s">
        <v>78</v>
      </c>
      <c r="N742" t="s">
        <v>6598</v>
      </c>
      <c r="O742" t="s">
        <v>74</v>
      </c>
      <c r="P742" t="s">
        <v>74</v>
      </c>
      <c r="Q742" t="s">
        <v>74</v>
      </c>
      <c r="R742" t="s">
        <v>74</v>
      </c>
      <c r="S742" t="s">
        <v>74</v>
      </c>
      <c r="T742" t="s">
        <v>74</v>
      </c>
      <c r="U742" t="s">
        <v>14250</v>
      </c>
      <c r="V742" t="s">
        <v>74</v>
      </c>
      <c r="W742" t="s">
        <v>14251</v>
      </c>
      <c r="X742" t="s">
        <v>14252</v>
      </c>
      <c r="Y742" t="s">
        <v>14253</v>
      </c>
      <c r="Z742" t="s">
        <v>14254</v>
      </c>
      <c r="AA742" t="s">
        <v>14255</v>
      </c>
      <c r="AB742" t="s">
        <v>14256</v>
      </c>
      <c r="AC742" t="s">
        <v>74</v>
      </c>
      <c r="AD742" t="s">
        <v>74</v>
      </c>
      <c r="AE742" t="s">
        <v>74</v>
      </c>
      <c r="AF742" t="s">
        <v>74</v>
      </c>
      <c r="AG742">
        <v>7</v>
      </c>
      <c r="AH742">
        <v>0</v>
      </c>
      <c r="AI742">
        <v>0</v>
      </c>
      <c r="AJ742">
        <v>0</v>
      </c>
      <c r="AK742">
        <v>6</v>
      </c>
      <c r="AL742" t="s">
        <v>1159</v>
      </c>
      <c r="AM742" t="s">
        <v>258</v>
      </c>
      <c r="AN742" t="s">
        <v>1160</v>
      </c>
      <c r="AO742" t="s">
        <v>1161</v>
      </c>
      <c r="AP742" t="s">
        <v>1162</v>
      </c>
      <c r="AQ742" t="s">
        <v>74</v>
      </c>
      <c r="AR742" t="s">
        <v>1163</v>
      </c>
      <c r="AS742" t="s">
        <v>1164</v>
      </c>
      <c r="AT742" t="s">
        <v>13121</v>
      </c>
      <c r="AU742">
        <v>2018</v>
      </c>
      <c r="AV742">
        <v>11</v>
      </c>
      <c r="AW742">
        <v>7</v>
      </c>
      <c r="AX742" t="s">
        <v>74</v>
      </c>
      <c r="AY742" t="s">
        <v>74</v>
      </c>
      <c r="AZ742" t="s">
        <v>74</v>
      </c>
      <c r="BA742" t="s">
        <v>74</v>
      </c>
      <c r="BB742">
        <v>461</v>
      </c>
      <c r="BC742">
        <v>462</v>
      </c>
      <c r="BD742" t="s">
        <v>74</v>
      </c>
      <c r="BE742" t="s">
        <v>14257</v>
      </c>
      <c r="BF742" t="str">
        <f>HYPERLINK("http://dx.doi.org/10.1038/s41561-018-0165-x","http://dx.doi.org/10.1038/s41561-018-0165-x")</f>
        <v>http://dx.doi.org/10.1038/s41561-018-0165-x</v>
      </c>
      <c r="BG742" t="s">
        <v>74</v>
      </c>
      <c r="BH742" t="s">
        <v>74</v>
      </c>
      <c r="BI742">
        <v>2</v>
      </c>
      <c r="BJ742" t="s">
        <v>182</v>
      </c>
      <c r="BK742" t="s">
        <v>101</v>
      </c>
      <c r="BL742" t="s">
        <v>183</v>
      </c>
      <c r="BM742" t="s">
        <v>13659</v>
      </c>
      <c r="BN742" t="s">
        <v>74</v>
      </c>
      <c r="BO742" t="s">
        <v>712</v>
      </c>
      <c r="BP742" t="s">
        <v>74</v>
      </c>
      <c r="BQ742" t="s">
        <v>74</v>
      </c>
      <c r="BR742" t="s">
        <v>104</v>
      </c>
      <c r="BS742" t="s">
        <v>14258</v>
      </c>
      <c r="BT742" t="str">
        <f>HYPERLINK("https%3A%2F%2Fwww.webofscience.com%2Fwos%2Fwoscc%2Ffull-record%2FWOS:000438794800003","View Full Record in Web of Science")</f>
        <v>View Full Record in Web of Science</v>
      </c>
    </row>
    <row r="743" spans="1:72" x14ac:dyDescent="0.15">
      <c r="A743" t="s">
        <v>72</v>
      </c>
      <c r="B743" t="s">
        <v>14259</v>
      </c>
      <c r="C743" t="s">
        <v>74</v>
      </c>
      <c r="D743" t="s">
        <v>74</v>
      </c>
      <c r="E743" t="s">
        <v>74</v>
      </c>
      <c r="F743" t="s">
        <v>14260</v>
      </c>
      <c r="G743" t="s">
        <v>74</v>
      </c>
      <c r="H743" t="s">
        <v>74</v>
      </c>
      <c r="I743" t="s">
        <v>14261</v>
      </c>
      <c r="J743" t="s">
        <v>14262</v>
      </c>
      <c r="K743" t="s">
        <v>74</v>
      </c>
      <c r="L743" t="s">
        <v>74</v>
      </c>
      <c r="M743" t="s">
        <v>78</v>
      </c>
      <c r="N743" t="s">
        <v>79</v>
      </c>
      <c r="O743" t="s">
        <v>74</v>
      </c>
      <c r="P743" t="s">
        <v>74</v>
      </c>
      <c r="Q743" t="s">
        <v>74</v>
      </c>
      <c r="R743" t="s">
        <v>74</v>
      </c>
      <c r="S743" t="s">
        <v>74</v>
      </c>
      <c r="T743" t="s">
        <v>14263</v>
      </c>
      <c r="U743" t="s">
        <v>14264</v>
      </c>
      <c r="V743" t="s">
        <v>14265</v>
      </c>
      <c r="W743" t="s">
        <v>14266</v>
      </c>
      <c r="X743" t="s">
        <v>14267</v>
      </c>
      <c r="Y743" t="s">
        <v>14268</v>
      </c>
      <c r="Z743" t="s">
        <v>14269</v>
      </c>
      <c r="AA743" t="s">
        <v>14270</v>
      </c>
      <c r="AB743" t="s">
        <v>14271</v>
      </c>
      <c r="AC743" t="s">
        <v>14272</v>
      </c>
      <c r="AD743" t="s">
        <v>14273</v>
      </c>
      <c r="AE743" t="s">
        <v>14274</v>
      </c>
      <c r="AF743" t="s">
        <v>74</v>
      </c>
      <c r="AG743">
        <v>39</v>
      </c>
      <c r="AH743">
        <v>10</v>
      </c>
      <c r="AI743">
        <v>12</v>
      </c>
      <c r="AJ743">
        <v>1</v>
      </c>
      <c r="AK743">
        <v>28</v>
      </c>
      <c r="AL743" t="s">
        <v>430</v>
      </c>
      <c r="AM743" t="s">
        <v>286</v>
      </c>
      <c r="AN743" t="s">
        <v>431</v>
      </c>
      <c r="AO743" t="s">
        <v>14275</v>
      </c>
      <c r="AP743" t="s">
        <v>74</v>
      </c>
      <c r="AQ743" t="s">
        <v>74</v>
      </c>
      <c r="AR743" t="s">
        <v>14276</v>
      </c>
      <c r="AS743" t="s">
        <v>14277</v>
      </c>
      <c r="AT743" t="s">
        <v>13121</v>
      </c>
      <c r="AU743">
        <v>2018</v>
      </c>
      <c r="AV743">
        <v>33</v>
      </c>
      <c r="AW743" t="s">
        <v>74</v>
      </c>
      <c r="AX743" t="s">
        <v>74</v>
      </c>
      <c r="AY743" t="s">
        <v>74</v>
      </c>
      <c r="AZ743" t="s">
        <v>74</v>
      </c>
      <c r="BA743" t="s">
        <v>74</v>
      </c>
      <c r="BB743">
        <v>91</v>
      </c>
      <c r="BC743">
        <v>98</v>
      </c>
      <c r="BD743" t="s">
        <v>74</v>
      </c>
      <c r="BE743" t="s">
        <v>14278</v>
      </c>
      <c r="BF743" t="str">
        <f>HYPERLINK("http://dx.doi.org/10.1016/j.algal.2018.04.018","http://dx.doi.org/10.1016/j.algal.2018.04.018")</f>
        <v>http://dx.doi.org/10.1016/j.algal.2018.04.018</v>
      </c>
      <c r="BG743" t="s">
        <v>74</v>
      </c>
      <c r="BH743" t="s">
        <v>74</v>
      </c>
      <c r="BI743">
        <v>8</v>
      </c>
      <c r="BJ743" t="s">
        <v>7460</v>
      </c>
      <c r="BK743" t="s">
        <v>101</v>
      </c>
      <c r="BL743" t="s">
        <v>7460</v>
      </c>
      <c r="BM743" t="s">
        <v>14279</v>
      </c>
      <c r="BN743" t="s">
        <v>74</v>
      </c>
      <c r="BO743" t="s">
        <v>535</v>
      </c>
      <c r="BP743" t="s">
        <v>74</v>
      </c>
      <c r="BQ743" t="s">
        <v>74</v>
      </c>
      <c r="BR743" t="s">
        <v>104</v>
      </c>
      <c r="BS743" t="s">
        <v>14280</v>
      </c>
      <c r="BT743" t="str">
        <f>HYPERLINK("https%3A%2F%2Fwww.webofscience.com%2Fwos%2Fwoscc%2Ffull-record%2FWOS:000438910600011","View Full Record in Web of Science")</f>
        <v>View Full Record in Web of Science</v>
      </c>
    </row>
    <row r="744" spans="1:72" x14ac:dyDescent="0.15">
      <c r="A744" t="s">
        <v>72</v>
      </c>
      <c r="B744" t="s">
        <v>14281</v>
      </c>
      <c r="C744" t="s">
        <v>74</v>
      </c>
      <c r="D744" t="s">
        <v>74</v>
      </c>
      <c r="E744" t="s">
        <v>74</v>
      </c>
      <c r="F744" t="s">
        <v>14282</v>
      </c>
      <c r="G744" t="s">
        <v>74</v>
      </c>
      <c r="H744" t="s">
        <v>74</v>
      </c>
      <c r="I744" t="s">
        <v>14283</v>
      </c>
      <c r="J744" t="s">
        <v>14284</v>
      </c>
      <c r="K744" t="s">
        <v>74</v>
      </c>
      <c r="L744" t="s">
        <v>74</v>
      </c>
      <c r="M744" t="s">
        <v>78</v>
      </c>
      <c r="N744" t="s">
        <v>79</v>
      </c>
      <c r="O744" t="s">
        <v>74</v>
      </c>
      <c r="P744" t="s">
        <v>74</v>
      </c>
      <c r="Q744" t="s">
        <v>74</v>
      </c>
      <c r="R744" t="s">
        <v>74</v>
      </c>
      <c r="S744" t="s">
        <v>74</v>
      </c>
      <c r="T744" t="s">
        <v>74</v>
      </c>
      <c r="U744" t="s">
        <v>14285</v>
      </c>
      <c r="V744" t="s">
        <v>14286</v>
      </c>
      <c r="W744" t="s">
        <v>14287</v>
      </c>
      <c r="X744" t="s">
        <v>14288</v>
      </c>
      <c r="Y744" t="s">
        <v>14289</v>
      </c>
      <c r="Z744" t="s">
        <v>14290</v>
      </c>
      <c r="AA744" t="s">
        <v>14291</v>
      </c>
      <c r="AB744" t="s">
        <v>14292</v>
      </c>
      <c r="AC744" t="s">
        <v>74</v>
      </c>
      <c r="AD744" t="s">
        <v>74</v>
      </c>
      <c r="AE744" t="s">
        <v>74</v>
      </c>
      <c r="AF744" t="s">
        <v>74</v>
      </c>
      <c r="AG744">
        <v>103</v>
      </c>
      <c r="AH744">
        <v>1</v>
      </c>
      <c r="AI744">
        <v>1</v>
      </c>
      <c r="AJ744">
        <v>0</v>
      </c>
      <c r="AK744">
        <v>2</v>
      </c>
      <c r="AL744" t="s">
        <v>6050</v>
      </c>
      <c r="AM744" t="s">
        <v>5514</v>
      </c>
      <c r="AN744" t="s">
        <v>6051</v>
      </c>
      <c r="AO744" t="s">
        <v>14293</v>
      </c>
      <c r="AP744" t="s">
        <v>14294</v>
      </c>
      <c r="AQ744" t="s">
        <v>74</v>
      </c>
      <c r="AR744" t="s">
        <v>14295</v>
      </c>
      <c r="AS744" t="s">
        <v>14296</v>
      </c>
      <c r="AT744" t="s">
        <v>13121</v>
      </c>
      <c r="AU744">
        <v>2018</v>
      </c>
      <c r="AV744">
        <v>53</v>
      </c>
      <c r="AW744">
        <v>4</v>
      </c>
      <c r="AX744" t="s">
        <v>74</v>
      </c>
      <c r="AY744" t="s">
        <v>74</v>
      </c>
      <c r="AZ744" t="s">
        <v>74</v>
      </c>
      <c r="BA744" t="s">
        <v>74</v>
      </c>
      <c r="BB744">
        <v>270</v>
      </c>
      <c r="BC744">
        <v>282</v>
      </c>
      <c r="BD744" t="s">
        <v>74</v>
      </c>
      <c r="BE744" t="s">
        <v>14297</v>
      </c>
      <c r="BF744" t="str">
        <f>HYPERLINK("http://dx.doi.org/10.1134/S0024490218040028","http://dx.doi.org/10.1134/S0024490218040028")</f>
        <v>http://dx.doi.org/10.1134/S0024490218040028</v>
      </c>
      <c r="BG744" t="s">
        <v>74</v>
      </c>
      <c r="BH744" t="s">
        <v>74</v>
      </c>
      <c r="BI744">
        <v>13</v>
      </c>
      <c r="BJ744" t="s">
        <v>14298</v>
      </c>
      <c r="BK744" t="s">
        <v>101</v>
      </c>
      <c r="BL744" t="s">
        <v>14298</v>
      </c>
      <c r="BM744" t="s">
        <v>14299</v>
      </c>
      <c r="BN744" t="s">
        <v>74</v>
      </c>
      <c r="BO744" t="s">
        <v>74</v>
      </c>
      <c r="BP744" t="s">
        <v>74</v>
      </c>
      <c r="BQ744" t="s">
        <v>74</v>
      </c>
      <c r="BR744" t="s">
        <v>104</v>
      </c>
      <c r="BS744" t="s">
        <v>14300</v>
      </c>
      <c r="BT744" t="str">
        <f>HYPERLINK("https%3A%2F%2Fwww.webofscience.com%2Fwos%2Fwoscc%2Ffull-record%2FWOS:000438825300002","View Full Record in Web of Science")</f>
        <v>View Full Record in Web of Science</v>
      </c>
    </row>
    <row r="745" spans="1:72" x14ac:dyDescent="0.15">
      <c r="A745" t="s">
        <v>72</v>
      </c>
      <c r="B745" t="s">
        <v>14301</v>
      </c>
      <c r="C745" t="s">
        <v>74</v>
      </c>
      <c r="D745" t="s">
        <v>74</v>
      </c>
      <c r="E745" t="s">
        <v>74</v>
      </c>
      <c r="F745" t="s">
        <v>14302</v>
      </c>
      <c r="G745" t="s">
        <v>74</v>
      </c>
      <c r="H745" t="s">
        <v>74</v>
      </c>
      <c r="I745" t="s">
        <v>14303</v>
      </c>
      <c r="J745" t="s">
        <v>949</v>
      </c>
      <c r="K745" t="s">
        <v>74</v>
      </c>
      <c r="L745" t="s">
        <v>74</v>
      </c>
      <c r="M745" t="s">
        <v>78</v>
      </c>
      <c r="N745" t="s">
        <v>79</v>
      </c>
      <c r="O745" t="s">
        <v>74</v>
      </c>
      <c r="P745" t="s">
        <v>74</v>
      </c>
      <c r="Q745" t="s">
        <v>74</v>
      </c>
      <c r="R745" t="s">
        <v>74</v>
      </c>
      <c r="S745" t="s">
        <v>74</v>
      </c>
      <c r="T745" t="s">
        <v>14304</v>
      </c>
      <c r="U745" t="s">
        <v>14305</v>
      </c>
      <c r="V745" t="s">
        <v>14306</v>
      </c>
      <c r="W745" t="s">
        <v>14307</v>
      </c>
      <c r="X745" t="s">
        <v>14308</v>
      </c>
      <c r="Y745" t="s">
        <v>14309</v>
      </c>
      <c r="Z745" t="s">
        <v>14310</v>
      </c>
      <c r="AA745" t="s">
        <v>74</v>
      </c>
      <c r="AB745" t="s">
        <v>74</v>
      </c>
      <c r="AC745" t="s">
        <v>14311</v>
      </c>
      <c r="AD745" t="s">
        <v>14312</v>
      </c>
      <c r="AE745" t="s">
        <v>14313</v>
      </c>
      <c r="AF745" t="s">
        <v>74</v>
      </c>
      <c r="AG745">
        <v>48</v>
      </c>
      <c r="AH745">
        <v>3</v>
      </c>
      <c r="AI745">
        <v>4</v>
      </c>
      <c r="AJ745">
        <v>0</v>
      </c>
      <c r="AK745">
        <v>2</v>
      </c>
      <c r="AL745" t="s">
        <v>785</v>
      </c>
      <c r="AM745" t="s">
        <v>786</v>
      </c>
      <c r="AN745" t="s">
        <v>787</v>
      </c>
      <c r="AO745" t="s">
        <v>962</v>
      </c>
      <c r="AP745" t="s">
        <v>963</v>
      </c>
      <c r="AQ745" t="s">
        <v>74</v>
      </c>
      <c r="AR745" t="s">
        <v>964</v>
      </c>
      <c r="AS745" t="s">
        <v>965</v>
      </c>
      <c r="AT745" t="s">
        <v>13121</v>
      </c>
      <c r="AU745">
        <v>2018</v>
      </c>
      <c r="AV745">
        <v>48</v>
      </c>
      <c r="AW745">
        <v>7</v>
      </c>
      <c r="AX745" t="s">
        <v>74</v>
      </c>
      <c r="AY745" t="s">
        <v>74</v>
      </c>
      <c r="AZ745" t="s">
        <v>74</v>
      </c>
      <c r="BA745" t="s">
        <v>74</v>
      </c>
      <c r="BB745">
        <v>1589</v>
      </c>
      <c r="BC745">
        <v>1607</v>
      </c>
      <c r="BD745" t="s">
        <v>74</v>
      </c>
      <c r="BE745" t="s">
        <v>14314</v>
      </c>
      <c r="BF745" t="str">
        <f>HYPERLINK("http://dx.doi.org/10.1175/JPO-D-17-0229.1","http://dx.doi.org/10.1175/JPO-D-17-0229.1")</f>
        <v>http://dx.doi.org/10.1175/JPO-D-17-0229.1</v>
      </c>
      <c r="BG745" t="s">
        <v>74</v>
      </c>
      <c r="BH745" t="s">
        <v>74</v>
      </c>
      <c r="BI745">
        <v>19</v>
      </c>
      <c r="BJ745" t="s">
        <v>157</v>
      </c>
      <c r="BK745" t="s">
        <v>101</v>
      </c>
      <c r="BL745" t="s">
        <v>157</v>
      </c>
      <c r="BM745" t="s">
        <v>14315</v>
      </c>
      <c r="BN745" t="s">
        <v>74</v>
      </c>
      <c r="BO745" t="s">
        <v>871</v>
      </c>
      <c r="BP745" t="s">
        <v>74</v>
      </c>
      <c r="BQ745" t="s">
        <v>74</v>
      </c>
      <c r="BR745" t="s">
        <v>104</v>
      </c>
      <c r="BS745" t="s">
        <v>14316</v>
      </c>
      <c r="BT745" t="str">
        <f>HYPERLINK("https%3A%2F%2Fwww.webofscience.com%2Fwos%2Fwoscc%2Ffull-record%2FWOS:000438879800001","View Full Record in Web of Science")</f>
        <v>View Full Record in Web of Science</v>
      </c>
    </row>
    <row r="746" spans="1:72" x14ac:dyDescent="0.15">
      <c r="A746" t="s">
        <v>72</v>
      </c>
      <c r="B746" t="s">
        <v>14317</v>
      </c>
      <c r="C746" t="s">
        <v>74</v>
      </c>
      <c r="D746" t="s">
        <v>74</v>
      </c>
      <c r="E746" t="s">
        <v>74</v>
      </c>
      <c r="F746" t="s">
        <v>14318</v>
      </c>
      <c r="G746" t="s">
        <v>74</v>
      </c>
      <c r="H746" t="s">
        <v>74</v>
      </c>
      <c r="I746" t="s">
        <v>14319</v>
      </c>
      <c r="J746" t="s">
        <v>6719</v>
      </c>
      <c r="K746" t="s">
        <v>74</v>
      </c>
      <c r="L746" t="s">
        <v>74</v>
      </c>
      <c r="M746" t="s">
        <v>78</v>
      </c>
      <c r="N746" t="s">
        <v>79</v>
      </c>
      <c r="O746" t="s">
        <v>74</v>
      </c>
      <c r="P746" t="s">
        <v>74</v>
      </c>
      <c r="Q746" t="s">
        <v>74</v>
      </c>
      <c r="R746" t="s">
        <v>74</v>
      </c>
      <c r="S746" t="s">
        <v>74</v>
      </c>
      <c r="T746" t="s">
        <v>14320</v>
      </c>
      <c r="U746" t="s">
        <v>14321</v>
      </c>
      <c r="V746" t="s">
        <v>14322</v>
      </c>
      <c r="W746" t="s">
        <v>14323</v>
      </c>
      <c r="X746" t="s">
        <v>14324</v>
      </c>
      <c r="Y746" t="s">
        <v>14325</v>
      </c>
      <c r="Z746" t="s">
        <v>14326</v>
      </c>
      <c r="AA746" t="s">
        <v>74</v>
      </c>
      <c r="AB746" t="s">
        <v>14327</v>
      </c>
      <c r="AC746" t="s">
        <v>14328</v>
      </c>
      <c r="AD746" t="s">
        <v>14329</v>
      </c>
      <c r="AE746" t="s">
        <v>14330</v>
      </c>
      <c r="AF746" t="s">
        <v>74</v>
      </c>
      <c r="AG746">
        <v>22</v>
      </c>
      <c r="AH746">
        <v>3</v>
      </c>
      <c r="AI746">
        <v>3</v>
      </c>
      <c r="AJ746">
        <v>0</v>
      </c>
      <c r="AK746">
        <v>16</v>
      </c>
      <c r="AL746" t="s">
        <v>6731</v>
      </c>
      <c r="AM746" t="s">
        <v>6732</v>
      </c>
      <c r="AN746" t="s">
        <v>6733</v>
      </c>
      <c r="AO746" t="s">
        <v>6734</v>
      </c>
      <c r="AP746" t="s">
        <v>6735</v>
      </c>
      <c r="AQ746" t="s">
        <v>74</v>
      </c>
      <c r="AR746" t="s">
        <v>6736</v>
      </c>
      <c r="AS746" t="s">
        <v>6737</v>
      </c>
      <c r="AT746" t="s">
        <v>13121</v>
      </c>
      <c r="AU746">
        <v>2018</v>
      </c>
      <c r="AV746">
        <v>15</v>
      </c>
      <c r="AW746">
        <v>7</v>
      </c>
      <c r="AX746" t="s">
        <v>74</v>
      </c>
      <c r="AY746" t="s">
        <v>74</v>
      </c>
      <c r="AZ746" t="s">
        <v>74</v>
      </c>
      <c r="BA746" t="s">
        <v>74</v>
      </c>
      <c r="BB746">
        <v>981</v>
      </c>
      <c r="BC746">
        <v>985</v>
      </c>
      <c r="BD746" t="s">
        <v>74</v>
      </c>
      <c r="BE746" t="s">
        <v>14331</v>
      </c>
      <c r="BF746" t="str">
        <f>HYPERLINK("http://dx.doi.org/10.1109/LGRS.2018.2828417","http://dx.doi.org/10.1109/LGRS.2018.2828417")</f>
        <v>http://dx.doi.org/10.1109/LGRS.2018.2828417</v>
      </c>
      <c r="BG746" t="s">
        <v>74</v>
      </c>
      <c r="BH746" t="s">
        <v>74</v>
      </c>
      <c r="BI746">
        <v>5</v>
      </c>
      <c r="BJ746" t="s">
        <v>6739</v>
      </c>
      <c r="BK746" t="s">
        <v>101</v>
      </c>
      <c r="BL746" t="s">
        <v>6740</v>
      </c>
      <c r="BM746" t="s">
        <v>14332</v>
      </c>
      <c r="BN746" t="s">
        <v>74</v>
      </c>
      <c r="BO746" t="s">
        <v>486</v>
      </c>
      <c r="BP746" t="s">
        <v>74</v>
      </c>
      <c r="BQ746" t="s">
        <v>74</v>
      </c>
      <c r="BR746" t="s">
        <v>104</v>
      </c>
      <c r="BS746" t="s">
        <v>14333</v>
      </c>
      <c r="BT746" t="str">
        <f>HYPERLINK("https%3A%2F%2Fwww.webofscience.com%2Fwos%2Fwoscc%2Ffull-record%2FWOS:000436464300003","View Full Record in Web of Science")</f>
        <v>View Full Record in Web of Science</v>
      </c>
    </row>
    <row r="747" spans="1:72" x14ac:dyDescent="0.15">
      <c r="A747" t="s">
        <v>72</v>
      </c>
      <c r="B747" t="s">
        <v>14334</v>
      </c>
      <c r="C747" t="s">
        <v>74</v>
      </c>
      <c r="D747" t="s">
        <v>74</v>
      </c>
      <c r="E747" t="s">
        <v>74</v>
      </c>
      <c r="F747" t="s">
        <v>14335</v>
      </c>
      <c r="G747" t="s">
        <v>74</v>
      </c>
      <c r="H747" t="s">
        <v>74</v>
      </c>
      <c r="I747" t="s">
        <v>14336</v>
      </c>
      <c r="J747" t="s">
        <v>1866</v>
      </c>
      <c r="K747" t="s">
        <v>74</v>
      </c>
      <c r="L747" t="s">
        <v>74</v>
      </c>
      <c r="M747" t="s">
        <v>78</v>
      </c>
      <c r="N747" t="s">
        <v>79</v>
      </c>
      <c r="O747" t="s">
        <v>74</v>
      </c>
      <c r="P747" t="s">
        <v>74</v>
      </c>
      <c r="Q747" t="s">
        <v>74</v>
      </c>
      <c r="R747" t="s">
        <v>74</v>
      </c>
      <c r="S747" t="s">
        <v>74</v>
      </c>
      <c r="T747" t="s">
        <v>14337</v>
      </c>
      <c r="U747" t="s">
        <v>14338</v>
      </c>
      <c r="V747" t="s">
        <v>14339</v>
      </c>
      <c r="W747" t="s">
        <v>14340</v>
      </c>
      <c r="X747" t="s">
        <v>14341</v>
      </c>
      <c r="Y747" t="s">
        <v>14342</v>
      </c>
      <c r="Z747" t="s">
        <v>14343</v>
      </c>
      <c r="AA747" t="s">
        <v>14344</v>
      </c>
      <c r="AB747" t="s">
        <v>14345</v>
      </c>
      <c r="AC747" t="s">
        <v>14346</v>
      </c>
      <c r="AD747" t="s">
        <v>14347</v>
      </c>
      <c r="AE747" t="s">
        <v>14348</v>
      </c>
      <c r="AF747" t="s">
        <v>74</v>
      </c>
      <c r="AG747">
        <v>234</v>
      </c>
      <c r="AH747">
        <v>33</v>
      </c>
      <c r="AI747">
        <v>36</v>
      </c>
      <c r="AJ747">
        <v>3</v>
      </c>
      <c r="AK747">
        <v>18</v>
      </c>
      <c r="AL747" t="s">
        <v>149</v>
      </c>
      <c r="AM747" t="s">
        <v>93</v>
      </c>
      <c r="AN747" t="s">
        <v>150</v>
      </c>
      <c r="AO747" t="s">
        <v>1879</v>
      </c>
      <c r="AP747" t="s">
        <v>74</v>
      </c>
      <c r="AQ747" t="s">
        <v>74</v>
      </c>
      <c r="AR747" t="s">
        <v>1880</v>
      </c>
      <c r="AS747" t="s">
        <v>1881</v>
      </c>
      <c r="AT747" t="s">
        <v>13301</v>
      </c>
      <c r="AU747">
        <v>2018</v>
      </c>
      <c r="AV747">
        <v>191</v>
      </c>
      <c r="AW747" t="s">
        <v>74</v>
      </c>
      <c r="AX747" t="s">
        <v>74</v>
      </c>
      <c r="AY747" t="s">
        <v>74</v>
      </c>
      <c r="AZ747" t="s">
        <v>74</v>
      </c>
      <c r="BA747" t="s">
        <v>74</v>
      </c>
      <c r="BB747">
        <v>144</v>
      </c>
      <c r="BC747">
        <v>166</v>
      </c>
      <c r="BD747" t="s">
        <v>74</v>
      </c>
      <c r="BE747" t="s">
        <v>14349</v>
      </c>
      <c r="BF747" t="str">
        <f>HYPERLINK("http://dx.doi.org/10.1016/j.quascirev.2018.04.012","http://dx.doi.org/10.1016/j.quascirev.2018.04.012")</f>
        <v>http://dx.doi.org/10.1016/j.quascirev.2018.04.012</v>
      </c>
      <c r="BG747" t="s">
        <v>74</v>
      </c>
      <c r="BH747" t="s">
        <v>74</v>
      </c>
      <c r="BI747">
        <v>23</v>
      </c>
      <c r="BJ747" t="s">
        <v>208</v>
      </c>
      <c r="BK747" t="s">
        <v>101</v>
      </c>
      <c r="BL747" t="s">
        <v>209</v>
      </c>
      <c r="BM747" t="s">
        <v>14350</v>
      </c>
      <c r="BN747" t="s">
        <v>74</v>
      </c>
      <c r="BO747" t="s">
        <v>740</v>
      </c>
      <c r="BP747" t="s">
        <v>74</v>
      </c>
      <c r="BQ747" t="s">
        <v>74</v>
      </c>
      <c r="BR747" t="s">
        <v>104</v>
      </c>
      <c r="BS747" t="s">
        <v>14351</v>
      </c>
      <c r="BT747" t="str">
        <f>HYPERLINK("https%3A%2F%2Fwww.webofscience.com%2Fwos%2Fwoscc%2Ffull-record%2FWOS:000437363000011","View Full Record in Web of Science")</f>
        <v>View Full Record in Web of Science</v>
      </c>
    </row>
    <row r="748" spans="1:72" x14ac:dyDescent="0.15">
      <c r="A748" t="s">
        <v>72</v>
      </c>
      <c r="B748" t="s">
        <v>14352</v>
      </c>
      <c r="C748" t="s">
        <v>74</v>
      </c>
      <c r="D748" t="s">
        <v>74</v>
      </c>
      <c r="E748" t="s">
        <v>74</v>
      </c>
      <c r="F748" t="s">
        <v>14353</v>
      </c>
      <c r="G748" t="s">
        <v>74</v>
      </c>
      <c r="H748" t="s">
        <v>74</v>
      </c>
      <c r="I748" t="s">
        <v>14354</v>
      </c>
      <c r="J748" t="s">
        <v>14355</v>
      </c>
      <c r="K748" t="s">
        <v>74</v>
      </c>
      <c r="L748" t="s">
        <v>74</v>
      </c>
      <c r="M748" t="s">
        <v>78</v>
      </c>
      <c r="N748" t="s">
        <v>79</v>
      </c>
      <c r="O748" t="s">
        <v>74</v>
      </c>
      <c r="P748" t="s">
        <v>74</v>
      </c>
      <c r="Q748" t="s">
        <v>74</v>
      </c>
      <c r="R748" t="s">
        <v>74</v>
      </c>
      <c r="S748" t="s">
        <v>74</v>
      </c>
      <c r="T748" t="s">
        <v>14356</v>
      </c>
      <c r="U748" t="s">
        <v>14357</v>
      </c>
      <c r="V748" t="s">
        <v>14358</v>
      </c>
      <c r="W748" t="s">
        <v>14359</v>
      </c>
      <c r="X748" t="s">
        <v>14360</v>
      </c>
      <c r="Y748" t="s">
        <v>14361</v>
      </c>
      <c r="Z748" t="s">
        <v>14362</v>
      </c>
      <c r="AA748" t="s">
        <v>14363</v>
      </c>
      <c r="AB748" t="s">
        <v>14364</v>
      </c>
      <c r="AC748" t="s">
        <v>14365</v>
      </c>
      <c r="AD748" t="s">
        <v>14366</v>
      </c>
      <c r="AE748" t="s">
        <v>14367</v>
      </c>
      <c r="AF748" t="s">
        <v>74</v>
      </c>
      <c r="AG748">
        <v>71</v>
      </c>
      <c r="AH748">
        <v>3</v>
      </c>
      <c r="AI748">
        <v>3</v>
      </c>
      <c r="AJ748">
        <v>1</v>
      </c>
      <c r="AK748">
        <v>7</v>
      </c>
      <c r="AL748" t="s">
        <v>10881</v>
      </c>
      <c r="AM748" t="s">
        <v>10882</v>
      </c>
      <c r="AN748" t="s">
        <v>10883</v>
      </c>
      <c r="AO748" t="s">
        <v>74</v>
      </c>
      <c r="AP748" t="s">
        <v>14368</v>
      </c>
      <c r="AQ748" t="s">
        <v>74</v>
      </c>
      <c r="AR748" t="s">
        <v>14355</v>
      </c>
      <c r="AS748" t="s">
        <v>14355</v>
      </c>
      <c r="AT748" t="s">
        <v>13121</v>
      </c>
      <c r="AU748">
        <v>2018</v>
      </c>
      <c r="AV748">
        <v>135</v>
      </c>
      <c r="AW748">
        <v>3</v>
      </c>
      <c r="AX748" t="s">
        <v>74</v>
      </c>
      <c r="AY748" t="s">
        <v>74</v>
      </c>
      <c r="AZ748" t="s">
        <v>74</v>
      </c>
      <c r="BA748" t="s">
        <v>74</v>
      </c>
      <c r="BB748">
        <v>657</v>
      </c>
      <c r="BC748">
        <v>668</v>
      </c>
      <c r="BD748" t="s">
        <v>74</v>
      </c>
      <c r="BE748" t="s">
        <v>14369</v>
      </c>
      <c r="BF748" t="str">
        <f>HYPERLINK("http://dx.doi.org/10.1642/AUK-17-226.1","http://dx.doi.org/10.1642/AUK-17-226.1")</f>
        <v>http://dx.doi.org/10.1642/AUK-17-226.1</v>
      </c>
      <c r="BG748" t="s">
        <v>74</v>
      </c>
      <c r="BH748" t="s">
        <v>74</v>
      </c>
      <c r="BI748">
        <v>12</v>
      </c>
      <c r="BJ748" t="s">
        <v>2342</v>
      </c>
      <c r="BK748" t="s">
        <v>101</v>
      </c>
      <c r="BL748" t="s">
        <v>2343</v>
      </c>
      <c r="BM748" t="s">
        <v>14370</v>
      </c>
      <c r="BN748" t="s">
        <v>74</v>
      </c>
      <c r="BO748" t="s">
        <v>74</v>
      </c>
      <c r="BP748" t="s">
        <v>74</v>
      </c>
      <c r="BQ748" t="s">
        <v>74</v>
      </c>
      <c r="BR748" t="s">
        <v>104</v>
      </c>
      <c r="BS748" t="s">
        <v>14371</v>
      </c>
      <c r="BT748" t="str">
        <f>HYPERLINK("https%3A%2F%2Fwww.webofscience.com%2Fwos%2Fwoscc%2Ffull-record%2FWOS:000436501100022","View Full Record in Web of Science")</f>
        <v>View Full Record in Web of Science</v>
      </c>
    </row>
    <row r="749" spans="1:72" x14ac:dyDescent="0.15">
      <c r="A749" t="s">
        <v>72</v>
      </c>
      <c r="B749" t="s">
        <v>14372</v>
      </c>
      <c r="C749" t="s">
        <v>74</v>
      </c>
      <c r="D749" t="s">
        <v>74</v>
      </c>
      <c r="E749" t="s">
        <v>74</v>
      </c>
      <c r="F749" t="s">
        <v>14373</v>
      </c>
      <c r="G749" t="s">
        <v>74</v>
      </c>
      <c r="H749" t="s">
        <v>74</v>
      </c>
      <c r="I749" t="s">
        <v>14374</v>
      </c>
      <c r="J749" t="s">
        <v>6459</v>
      </c>
      <c r="K749" t="s">
        <v>74</v>
      </c>
      <c r="L749" t="s">
        <v>74</v>
      </c>
      <c r="M749" t="s">
        <v>78</v>
      </c>
      <c r="N749" t="s">
        <v>79</v>
      </c>
      <c r="O749" t="s">
        <v>74</v>
      </c>
      <c r="P749" t="s">
        <v>74</v>
      </c>
      <c r="Q749" t="s">
        <v>74</v>
      </c>
      <c r="R749" t="s">
        <v>74</v>
      </c>
      <c r="S749" t="s">
        <v>74</v>
      </c>
      <c r="T749" t="s">
        <v>14375</v>
      </c>
      <c r="U749" t="s">
        <v>14376</v>
      </c>
      <c r="V749" t="s">
        <v>14377</v>
      </c>
      <c r="W749" t="s">
        <v>14378</v>
      </c>
      <c r="X749" t="s">
        <v>14379</v>
      </c>
      <c r="Y749" t="s">
        <v>14380</v>
      </c>
      <c r="Z749" t="s">
        <v>14381</v>
      </c>
      <c r="AA749" t="s">
        <v>74</v>
      </c>
      <c r="AB749" t="s">
        <v>14382</v>
      </c>
      <c r="AC749" t="s">
        <v>14383</v>
      </c>
      <c r="AD749" t="s">
        <v>14384</v>
      </c>
      <c r="AE749" t="s">
        <v>14385</v>
      </c>
      <c r="AF749" t="s">
        <v>74</v>
      </c>
      <c r="AG749">
        <v>58</v>
      </c>
      <c r="AH749">
        <v>6</v>
      </c>
      <c r="AI749">
        <v>6</v>
      </c>
      <c r="AJ749">
        <v>0</v>
      </c>
      <c r="AK749">
        <v>6</v>
      </c>
      <c r="AL749" t="s">
        <v>758</v>
      </c>
      <c r="AM749" t="s">
        <v>759</v>
      </c>
      <c r="AN749" t="s">
        <v>760</v>
      </c>
      <c r="AO749" t="s">
        <v>6472</v>
      </c>
      <c r="AP749" t="s">
        <v>6473</v>
      </c>
      <c r="AQ749" t="s">
        <v>74</v>
      </c>
      <c r="AR749" t="s">
        <v>6474</v>
      </c>
      <c r="AS749" t="s">
        <v>6475</v>
      </c>
      <c r="AT749" t="s">
        <v>13458</v>
      </c>
      <c r="AU749">
        <v>2018</v>
      </c>
      <c r="AV749">
        <v>53</v>
      </c>
      <c r="AW749">
        <v>4</v>
      </c>
      <c r="AX749" t="s">
        <v>74</v>
      </c>
      <c r="AY749" t="s">
        <v>74</v>
      </c>
      <c r="AZ749" t="s">
        <v>74</v>
      </c>
      <c r="BA749" t="s">
        <v>74</v>
      </c>
      <c r="BB749">
        <v>1586</v>
      </c>
      <c r="BC749">
        <v>1603</v>
      </c>
      <c r="BD749" t="s">
        <v>74</v>
      </c>
      <c r="BE749" t="s">
        <v>14386</v>
      </c>
      <c r="BF749" t="str">
        <f>HYPERLINK("http://dx.doi.org/10.1002/gj.2978","http://dx.doi.org/10.1002/gj.2978")</f>
        <v>http://dx.doi.org/10.1002/gj.2978</v>
      </c>
      <c r="BG749" t="s">
        <v>74</v>
      </c>
      <c r="BH749" t="s">
        <v>74</v>
      </c>
      <c r="BI749">
        <v>18</v>
      </c>
      <c r="BJ749" t="s">
        <v>182</v>
      </c>
      <c r="BK749" t="s">
        <v>101</v>
      </c>
      <c r="BL749" t="s">
        <v>183</v>
      </c>
      <c r="BM749" t="s">
        <v>14387</v>
      </c>
      <c r="BN749" t="s">
        <v>74</v>
      </c>
      <c r="BO749" t="s">
        <v>74</v>
      </c>
      <c r="BP749" t="s">
        <v>74</v>
      </c>
      <c r="BQ749" t="s">
        <v>74</v>
      </c>
      <c r="BR749" t="s">
        <v>104</v>
      </c>
      <c r="BS749" t="s">
        <v>14388</v>
      </c>
      <c r="BT749" t="str">
        <f>HYPERLINK("https%3A%2F%2Fwww.webofscience.com%2Fwos%2Fwoscc%2Ffull-record%2FWOS:000437675500023","View Full Record in Web of Science")</f>
        <v>View Full Record in Web of Science</v>
      </c>
    </row>
    <row r="750" spans="1:72" x14ac:dyDescent="0.15">
      <c r="A750" t="s">
        <v>72</v>
      </c>
      <c r="B750" t="s">
        <v>14389</v>
      </c>
      <c r="C750" t="s">
        <v>74</v>
      </c>
      <c r="D750" t="s">
        <v>74</v>
      </c>
      <c r="E750" t="s">
        <v>74</v>
      </c>
      <c r="F750" t="s">
        <v>14390</v>
      </c>
      <c r="G750" t="s">
        <v>74</v>
      </c>
      <c r="H750" t="s">
        <v>74</v>
      </c>
      <c r="I750" t="s">
        <v>14391</v>
      </c>
      <c r="J750" t="s">
        <v>14392</v>
      </c>
      <c r="K750" t="s">
        <v>74</v>
      </c>
      <c r="L750" t="s">
        <v>74</v>
      </c>
      <c r="M750" t="s">
        <v>78</v>
      </c>
      <c r="N750" t="s">
        <v>273</v>
      </c>
      <c r="O750" t="s">
        <v>74</v>
      </c>
      <c r="P750" t="s">
        <v>74</v>
      </c>
      <c r="Q750" t="s">
        <v>74</v>
      </c>
      <c r="R750" t="s">
        <v>74</v>
      </c>
      <c r="S750" t="s">
        <v>74</v>
      </c>
      <c r="T750" t="s">
        <v>14393</v>
      </c>
      <c r="U750" t="s">
        <v>14394</v>
      </c>
      <c r="V750" t="s">
        <v>14395</v>
      </c>
      <c r="W750" t="s">
        <v>14396</v>
      </c>
      <c r="X750" t="s">
        <v>74</v>
      </c>
      <c r="Y750" t="s">
        <v>14397</v>
      </c>
      <c r="Z750" t="s">
        <v>14398</v>
      </c>
      <c r="AA750" t="s">
        <v>74</v>
      </c>
      <c r="AB750" t="s">
        <v>74</v>
      </c>
      <c r="AC750" t="s">
        <v>74</v>
      </c>
      <c r="AD750" t="s">
        <v>74</v>
      </c>
      <c r="AE750" t="s">
        <v>74</v>
      </c>
      <c r="AF750" t="s">
        <v>74</v>
      </c>
      <c r="AG750">
        <v>41</v>
      </c>
      <c r="AH750">
        <v>1</v>
      </c>
      <c r="AI750">
        <v>1</v>
      </c>
      <c r="AJ750">
        <v>1</v>
      </c>
      <c r="AK750">
        <v>20</v>
      </c>
      <c r="AL750" t="s">
        <v>14399</v>
      </c>
      <c r="AM750" t="s">
        <v>14400</v>
      </c>
      <c r="AN750" t="s">
        <v>14401</v>
      </c>
      <c r="AO750" t="s">
        <v>14402</v>
      </c>
      <c r="AP750" t="s">
        <v>74</v>
      </c>
      <c r="AQ750" t="s">
        <v>74</v>
      </c>
      <c r="AR750" t="s">
        <v>14403</v>
      </c>
      <c r="AS750" t="s">
        <v>14404</v>
      </c>
      <c r="AT750" t="s">
        <v>13121</v>
      </c>
      <c r="AU750">
        <v>2018</v>
      </c>
      <c r="AV750">
        <v>9</v>
      </c>
      <c r="AW750">
        <v>7</v>
      </c>
      <c r="AX750" t="s">
        <v>74</v>
      </c>
      <c r="AY750" t="s">
        <v>74</v>
      </c>
      <c r="AZ750" t="s">
        <v>74</v>
      </c>
      <c r="BA750" t="s">
        <v>74</v>
      </c>
      <c r="BB750">
        <v>2693</v>
      </c>
      <c r="BC750">
        <v>2699</v>
      </c>
      <c r="BD750" t="s">
        <v>74</v>
      </c>
      <c r="BE750" t="s">
        <v>14405</v>
      </c>
      <c r="BF750" t="str">
        <f>HYPERLINK("http://dx.doi.org/10.13040/IJPSR.0975-8232.9(7).2693-99","http://dx.doi.org/10.13040/IJPSR.0975-8232.9(7).2693-99")</f>
        <v>http://dx.doi.org/10.13040/IJPSR.0975-8232.9(7).2693-99</v>
      </c>
      <c r="BG750" t="s">
        <v>74</v>
      </c>
      <c r="BH750" t="s">
        <v>74</v>
      </c>
      <c r="BI750">
        <v>7</v>
      </c>
      <c r="BJ750" t="s">
        <v>1061</v>
      </c>
      <c r="BK750" t="s">
        <v>126</v>
      </c>
      <c r="BL750" t="s">
        <v>1061</v>
      </c>
      <c r="BM750" t="s">
        <v>14406</v>
      </c>
      <c r="BN750" t="s">
        <v>74</v>
      </c>
      <c r="BO750" t="s">
        <v>1584</v>
      </c>
      <c r="BP750" t="s">
        <v>74</v>
      </c>
      <c r="BQ750" t="s">
        <v>74</v>
      </c>
      <c r="BR750" t="s">
        <v>104</v>
      </c>
      <c r="BS750" t="s">
        <v>14407</v>
      </c>
      <c r="BT750" t="str">
        <f>HYPERLINK("https%3A%2F%2Fwww.webofscience.com%2Fwos%2Fwoscc%2Ffull-record%2FWOS:000437524800011","View Full Record in Web of Science")</f>
        <v>View Full Record in Web of Science</v>
      </c>
    </row>
    <row r="751" spans="1:72" x14ac:dyDescent="0.15">
      <c r="A751" t="s">
        <v>72</v>
      </c>
      <c r="B751" t="s">
        <v>14408</v>
      </c>
      <c r="C751" t="s">
        <v>74</v>
      </c>
      <c r="D751" t="s">
        <v>74</v>
      </c>
      <c r="E751" t="s">
        <v>74</v>
      </c>
      <c r="F751" t="s">
        <v>14409</v>
      </c>
      <c r="G751" t="s">
        <v>74</v>
      </c>
      <c r="H751" t="s">
        <v>74</v>
      </c>
      <c r="I751" t="s">
        <v>14410</v>
      </c>
      <c r="J751" t="s">
        <v>14411</v>
      </c>
      <c r="K751" t="s">
        <v>74</v>
      </c>
      <c r="L751" t="s">
        <v>74</v>
      </c>
      <c r="M751" t="s">
        <v>78</v>
      </c>
      <c r="N751" t="s">
        <v>79</v>
      </c>
      <c r="O751" t="s">
        <v>74</v>
      </c>
      <c r="P751" t="s">
        <v>74</v>
      </c>
      <c r="Q751" t="s">
        <v>74</v>
      </c>
      <c r="R751" t="s">
        <v>74</v>
      </c>
      <c r="S751" t="s">
        <v>74</v>
      </c>
      <c r="T751" t="s">
        <v>14412</v>
      </c>
      <c r="U751" t="s">
        <v>14413</v>
      </c>
      <c r="V751" t="s">
        <v>14414</v>
      </c>
      <c r="W751" t="s">
        <v>14415</v>
      </c>
      <c r="X751" t="s">
        <v>14416</v>
      </c>
      <c r="Y751" t="s">
        <v>14417</v>
      </c>
      <c r="Z751" t="s">
        <v>14418</v>
      </c>
      <c r="AA751" t="s">
        <v>14419</v>
      </c>
      <c r="AB751" t="s">
        <v>14420</v>
      </c>
      <c r="AC751" t="s">
        <v>14421</v>
      </c>
      <c r="AD751" t="s">
        <v>14422</v>
      </c>
      <c r="AE751" t="s">
        <v>14423</v>
      </c>
      <c r="AF751" t="s">
        <v>74</v>
      </c>
      <c r="AG751">
        <v>51</v>
      </c>
      <c r="AH751">
        <v>19</v>
      </c>
      <c r="AI751">
        <v>22</v>
      </c>
      <c r="AJ751">
        <v>3</v>
      </c>
      <c r="AK751">
        <v>98</v>
      </c>
      <c r="AL751" t="s">
        <v>676</v>
      </c>
      <c r="AM751" t="s">
        <v>677</v>
      </c>
      <c r="AN751" t="s">
        <v>678</v>
      </c>
      <c r="AO751" t="s">
        <v>14424</v>
      </c>
      <c r="AP751" t="s">
        <v>14425</v>
      </c>
      <c r="AQ751" t="s">
        <v>74</v>
      </c>
      <c r="AR751" t="s">
        <v>14426</v>
      </c>
      <c r="AS751" t="s">
        <v>14427</v>
      </c>
      <c r="AT751" t="s">
        <v>13121</v>
      </c>
      <c r="AU751">
        <v>2018</v>
      </c>
      <c r="AV751">
        <v>63</v>
      </c>
      <c r="AW751">
        <v>3</v>
      </c>
      <c r="AX751" t="s">
        <v>74</v>
      </c>
      <c r="AY751" t="s">
        <v>74</v>
      </c>
      <c r="AZ751" t="s">
        <v>74</v>
      </c>
      <c r="BA751" t="s">
        <v>74</v>
      </c>
      <c r="BB751">
        <v>267</v>
      </c>
      <c r="BC751">
        <v>275</v>
      </c>
      <c r="BD751" t="s">
        <v>74</v>
      </c>
      <c r="BE751" t="s">
        <v>14428</v>
      </c>
      <c r="BF751" t="str">
        <f>HYPERLINK("http://dx.doi.org/10.1007/s13364-018-0361-5","http://dx.doi.org/10.1007/s13364-018-0361-5")</f>
        <v>http://dx.doi.org/10.1007/s13364-018-0361-5</v>
      </c>
      <c r="BG751" t="s">
        <v>74</v>
      </c>
      <c r="BH751" t="s">
        <v>74</v>
      </c>
      <c r="BI751">
        <v>9</v>
      </c>
      <c r="BJ751" t="s">
        <v>2343</v>
      </c>
      <c r="BK751" t="s">
        <v>101</v>
      </c>
      <c r="BL751" t="s">
        <v>2343</v>
      </c>
      <c r="BM751" t="s">
        <v>14429</v>
      </c>
      <c r="BN751" t="s">
        <v>74</v>
      </c>
      <c r="BO751" t="s">
        <v>74</v>
      </c>
      <c r="BP751" t="s">
        <v>74</v>
      </c>
      <c r="BQ751" t="s">
        <v>74</v>
      </c>
      <c r="BR751" t="s">
        <v>104</v>
      </c>
      <c r="BS751" t="s">
        <v>14430</v>
      </c>
      <c r="BT751" t="str">
        <f>HYPERLINK("https%3A%2F%2Fwww.webofscience.com%2Fwos%2Fwoscc%2Ffull-record%2FWOS:000434755600003","View Full Record in Web of Science")</f>
        <v>View Full Record in Web of Science</v>
      </c>
    </row>
    <row r="752" spans="1:72" x14ac:dyDescent="0.15">
      <c r="A752" t="s">
        <v>72</v>
      </c>
      <c r="B752" t="s">
        <v>14431</v>
      </c>
      <c r="C752" t="s">
        <v>74</v>
      </c>
      <c r="D752" t="s">
        <v>74</v>
      </c>
      <c r="E752" t="s">
        <v>74</v>
      </c>
      <c r="F752" t="s">
        <v>14432</v>
      </c>
      <c r="G752" t="s">
        <v>74</v>
      </c>
      <c r="H752" t="s">
        <v>74</v>
      </c>
      <c r="I752" t="s">
        <v>14433</v>
      </c>
      <c r="J752" t="s">
        <v>14434</v>
      </c>
      <c r="K752" t="s">
        <v>74</v>
      </c>
      <c r="L752" t="s">
        <v>74</v>
      </c>
      <c r="M752" t="s">
        <v>78</v>
      </c>
      <c r="N752" t="s">
        <v>79</v>
      </c>
      <c r="O752" t="s">
        <v>74</v>
      </c>
      <c r="P752" t="s">
        <v>74</v>
      </c>
      <c r="Q752" t="s">
        <v>74</v>
      </c>
      <c r="R752" t="s">
        <v>74</v>
      </c>
      <c r="S752" t="s">
        <v>74</v>
      </c>
      <c r="T752" t="s">
        <v>14435</v>
      </c>
      <c r="U752" t="s">
        <v>14436</v>
      </c>
      <c r="V752" t="s">
        <v>14437</v>
      </c>
      <c r="W752" t="s">
        <v>14438</v>
      </c>
      <c r="X752" t="s">
        <v>14439</v>
      </c>
      <c r="Y752" t="s">
        <v>14440</v>
      </c>
      <c r="Z752" t="s">
        <v>14441</v>
      </c>
      <c r="AA752" t="s">
        <v>14442</v>
      </c>
      <c r="AB752" t="s">
        <v>14443</v>
      </c>
      <c r="AC752" t="s">
        <v>14444</v>
      </c>
      <c r="AD752" t="s">
        <v>14445</v>
      </c>
      <c r="AE752" t="s">
        <v>14446</v>
      </c>
      <c r="AF752" t="s">
        <v>74</v>
      </c>
      <c r="AG752">
        <v>30</v>
      </c>
      <c r="AH752">
        <v>7</v>
      </c>
      <c r="AI752">
        <v>8</v>
      </c>
      <c r="AJ752">
        <v>2</v>
      </c>
      <c r="AK752">
        <v>21</v>
      </c>
      <c r="AL752" t="s">
        <v>430</v>
      </c>
      <c r="AM752" t="s">
        <v>286</v>
      </c>
      <c r="AN752" t="s">
        <v>431</v>
      </c>
      <c r="AO752" t="s">
        <v>14447</v>
      </c>
      <c r="AP752" t="s">
        <v>14448</v>
      </c>
      <c r="AQ752" t="s">
        <v>74</v>
      </c>
      <c r="AR752" t="s">
        <v>14449</v>
      </c>
      <c r="AS752" t="s">
        <v>14450</v>
      </c>
      <c r="AT752" t="s">
        <v>13121</v>
      </c>
      <c r="AU752">
        <v>2018</v>
      </c>
      <c r="AV752">
        <v>140</v>
      </c>
      <c r="AW752" t="s">
        <v>74</v>
      </c>
      <c r="AX752" t="s">
        <v>74</v>
      </c>
      <c r="AY752" t="s">
        <v>74</v>
      </c>
      <c r="AZ752" t="s">
        <v>74</v>
      </c>
      <c r="BA752" t="s">
        <v>74</v>
      </c>
      <c r="BB752">
        <v>8</v>
      </c>
      <c r="BC752">
        <v>13</v>
      </c>
      <c r="BD752" t="s">
        <v>74</v>
      </c>
      <c r="BE752" t="s">
        <v>14451</v>
      </c>
      <c r="BF752" t="str">
        <f>HYPERLINK("http://dx.doi.org/10.1016/j.microc.2018.03.040","http://dx.doi.org/10.1016/j.microc.2018.03.040")</f>
        <v>http://dx.doi.org/10.1016/j.microc.2018.03.040</v>
      </c>
      <c r="BG752" t="s">
        <v>74</v>
      </c>
      <c r="BH752" t="s">
        <v>74</v>
      </c>
      <c r="BI752">
        <v>6</v>
      </c>
      <c r="BJ752" t="s">
        <v>14452</v>
      </c>
      <c r="BK752" t="s">
        <v>101</v>
      </c>
      <c r="BL752" t="s">
        <v>2879</v>
      </c>
      <c r="BM752" t="s">
        <v>14453</v>
      </c>
      <c r="BN752" t="s">
        <v>74</v>
      </c>
      <c r="BO752" t="s">
        <v>74</v>
      </c>
      <c r="BP752" t="s">
        <v>74</v>
      </c>
      <c r="BQ752" t="s">
        <v>74</v>
      </c>
      <c r="BR752" t="s">
        <v>104</v>
      </c>
      <c r="BS752" t="s">
        <v>14454</v>
      </c>
      <c r="BT752" t="str">
        <f>HYPERLINK("https%3A%2F%2Fwww.webofscience.com%2Fwos%2Fwoscc%2Ffull-record%2FWOS:000437391000002","View Full Record in Web of Science")</f>
        <v>View Full Record in Web of Science</v>
      </c>
    </row>
    <row r="753" spans="1:72" x14ac:dyDescent="0.15">
      <c r="A753" t="s">
        <v>72</v>
      </c>
      <c r="B753" t="s">
        <v>14455</v>
      </c>
      <c r="C753" t="s">
        <v>74</v>
      </c>
      <c r="D753" t="s">
        <v>74</v>
      </c>
      <c r="E753" t="s">
        <v>74</v>
      </c>
      <c r="F753" t="s">
        <v>14456</v>
      </c>
      <c r="G753" t="s">
        <v>74</v>
      </c>
      <c r="H753" t="s">
        <v>74</v>
      </c>
      <c r="I753" t="s">
        <v>14457</v>
      </c>
      <c r="J753" t="s">
        <v>14458</v>
      </c>
      <c r="K753" t="s">
        <v>74</v>
      </c>
      <c r="L753" t="s">
        <v>74</v>
      </c>
      <c r="M753" t="s">
        <v>78</v>
      </c>
      <c r="N753" t="s">
        <v>79</v>
      </c>
      <c r="O753" t="s">
        <v>74</v>
      </c>
      <c r="P753" t="s">
        <v>74</v>
      </c>
      <c r="Q753" t="s">
        <v>74</v>
      </c>
      <c r="R753" t="s">
        <v>74</v>
      </c>
      <c r="S753" t="s">
        <v>74</v>
      </c>
      <c r="T753" t="s">
        <v>14459</v>
      </c>
      <c r="U753" t="s">
        <v>74</v>
      </c>
      <c r="V753" t="s">
        <v>14460</v>
      </c>
      <c r="W753" t="s">
        <v>14461</v>
      </c>
      <c r="X753" t="s">
        <v>14462</v>
      </c>
      <c r="Y753" t="s">
        <v>14463</v>
      </c>
      <c r="Z753" t="s">
        <v>14464</v>
      </c>
      <c r="AA753" t="s">
        <v>14465</v>
      </c>
      <c r="AB753" t="s">
        <v>14466</v>
      </c>
      <c r="AC753" t="s">
        <v>14467</v>
      </c>
      <c r="AD753" t="s">
        <v>14467</v>
      </c>
      <c r="AE753" t="s">
        <v>14468</v>
      </c>
      <c r="AF753" t="s">
        <v>74</v>
      </c>
      <c r="AG753">
        <v>13</v>
      </c>
      <c r="AH753">
        <v>0</v>
      </c>
      <c r="AI753">
        <v>0</v>
      </c>
      <c r="AJ753">
        <v>1</v>
      </c>
      <c r="AK753">
        <v>9</v>
      </c>
      <c r="AL753" t="s">
        <v>14469</v>
      </c>
      <c r="AM753" t="s">
        <v>14470</v>
      </c>
      <c r="AN753" t="s">
        <v>14471</v>
      </c>
      <c r="AO753" t="s">
        <v>14472</v>
      </c>
      <c r="AP753" t="s">
        <v>74</v>
      </c>
      <c r="AQ753" t="s">
        <v>74</v>
      </c>
      <c r="AR753" t="s">
        <v>14473</v>
      </c>
      <c r="AS753" t="s">
        <v>14474</v>
      </c>
      <c r="AT753" t="s">
        <v>13121</v>
      </c>
      <c r="AU753">
        <v>2018</v>
      </c>
      <c r="AV753">
        <v>45</v>
      </c>
      <c r="AW753" t="s">
        <v>74</v>
      </c>
      <c r="AX753" t="s">
        <v>74</v>
      </c>
      <c r="AY753" t="s">
        <v>74</v>
      </c>
      <c r="AZ753" t="s">
        <v>155</v>
      </c>
      <c r="BA753" t="s">
        <v>74</v>
      </c>
      <c r="BB753">
        <v>31</v>
      </c>
      <c r="BC753">
        <v>38</v>
      </c>
      <c r="BD753" t="s">
        <v>74</v>
      </c>
      <c r="BE753" t="s">
        <v>14475</v>
      </c>
      <c r="BF753" t="str">
        <f>HYPERLINK("http://dx.doi.org/10.3301/ROL.2018.25","http://dx.doi.org/10.3301/ROL.2018.25")</f>
        <v>http://dx.doi.org/10.3301/ROL.2018.25</v>
      </c>
      <c r="BG753" t="s">
        <v>74</v>
      </c>
      <c r="BH753" t="s">
        <v>74</v>
      </c>
      <c r="BI753">
        <v>8</v>
      </c>
      <c r="BJ753" t="s">
        <v>182</v>
      </c>
      <c r="BK753" t="s">
        <v>126</v>
      </c>
      <c r="BL753" t="s">
        <v>183</v>
      </c>
      <c r="BM753" t="s">
        <v>14476</v>
      </c>
      <c r="BN753" t="s">
        <v>74</v>
      </c>
      <c r="BO753" t="s">
        <v>74</v>
      </c>
      <c r="BP753" t="s">
        <v>74</v>
      </c>
      <c r="BQ753" t="s">
        <v>74</v>
      </c>
      <c r="BR753" t="s">
        <v>104</v>
      </c>
      <c r="BS753" t="s">
        <v>14477</v>
      </c>
      <c r="BT753" t="str">
        <f>HYPERLINK("https%3A%2F%2Fwww.webofscience.com%2Fwos%2Fwoscc%2Ffull-record%2FWOS:000437877400006","View Full Record in Web of Science")</f>
        <v>View Full Record in Web of Science</v>
      </c>
    </row>
    <row r="754" spans="1:72" x14ac:dyDescent="0.15">
      <c r="A754" t="s">
        <v>72</v>
      </c>
      <c r="B754" t="s">
        <v>14478</v>
      </c>
      <c r="C754" t="s">
        <v>74</v>
      </c>
      <c r="D754" t="s">
        <v>74</v>
      </c>
      <c r="E754" t="s">
        <v>74</v>
      </c>
      <c r="F754" t="s">
        <v>14479</v>
      </c>
      <c r="G754" t="s">
        <v>74</v>
      </c>
      <c r="H754" t="s">
        <v>74</v>
      </c>
      <c r="I754" t="s">
        <v>14480</v>
      </c>
      <c r="J754" t="s">
        <v>14481</v>
      </c>
      <c r="K754" t="s">
        <v>74</v>
      </c>
      <c r="L754" t="s">
        <v>74</v>
      </c>
      <c r="M754" t="s">
        <v>78</v>
      </c>
      <c r="N754" t="s">
        <v>79</v>
      </c>
      <c r="O754" t="s">
        <v>74</v>
      </c>
      <c r="P754" t="s">
        <v>74</v>
      </c>
      <c r="Q754" t="s">
        <v>74</v>
      </c>
      <c r="R754" t="s">
        <v>74</v>
      </c>
      <c r="S754" t="s">
        <v>74</v>
      </c>
      <c r="T754" t="s">
        <v>74</v>
      </c>
      <c r="U754" t="s">
        <v>14482</v>
      </c>
      <c r="V754" t="s">
        <v>14483</v>
      </c>
      <c r="W754" t="s">
        <v>14484</v>
      </c>
      <c r="X754" t="s">
        <v>14485</v>
      </c>
      <c r="Y754" t="s">
        <v>14486</v>
      </c>
      <c r="Z754" t="s">
        <v>14487</v>
      </c>
      <c r="AA754" t="s">
        <v>14488</v>
      </c>
      <c r="AB754" t="s">
        <v>14489</v>
      </c>
      <c r="AC754" t="s">
        <v>14490</v>
      </c>
      <c r="AD754" t="s">
        <v>14491</v>
      </c>
      <c r="AE754" t="s">
        <v>14492</v>
      </c>
      <c r="AF754" t="s">
        <v>74</v>
      </c>
      <c r="AG754">
        <v>90</v>
      </c>
      <c r="AH754">
        <v>23</v>
      </c>
      <c r="AI754">
        <v>26</v>
      </c>
      <c r="AJ754">
        <v>1</v>
      </c>
      <c r="AK754">
        <v>20</v>
      </c>
      <c r="AL754" t="s">
        <v>2393</v>
      </c>
      <c r="AM754" t="s">
        <v>2394</v>
      </c>
      <c r="AN754" t="s">
        <v>2395</v>
      </c>
      <c r="AO754" t="s">
        <v>14493</v>
      </c>
      <c r="AP754" t="s">
        <v>14494</v>
      </c>
      <c r="AQ754" t="s">
        <v>74</v>
      </c>
      <c r="AR754" t="s">
        <v>14495</v>
      </c>
      <c r="AS754" t="s">
        <v>14496</v>
      </c>
      <c r="AT754" t="s">
        <v>13458</v>
      </c>
      <c r="AU754">
        <v>2018</v>
      </c>
      <c r="AV754">
        <v>130</v>
      </c>
      <c r="AW754" t="s">
        <v>367</v>
      </c>
      <c r="AX754" t="s">
        <v>74</v>
      </c>
      <c r="AY754" t="s">
        <v>74</v>
      </c>
      <c r="AZ754" t="s">
        <v>74</v>
      </c>
      <c r="BA754" t="s">
        <v>74</v>
      </c>
      <c r="BB754">
        <v>1073</v>
      </c>
      <c r="BC754">
        <v>1084</v>
      </c>
      <c r="BD754" t="s">
        <v>74</v>
      </c>
      <c r="BE754" t="s">
        <v>14497</v>
      </c>
      <c r="BF754" t="str">
        <f>HYPERLINK("http://dx.doi.org/10.1130/B31732.1","http://dx.doi.org/10.1130/B31732.1")</f>
        <v>http://dx.doi.org/10.1130/B31732.1</v>
      </c>
      <c r="BG754" t="s">
        <v>74</v>
      </c>
      <c r="BH754" t="s">
        <v>74</v>
      </c>
      <c r="BI754">
        <v>12</v>
      </c>
      <c r="BJ754" t="s">
        <v>182</v>
      </c>
      <c r="BK754" t="s">
        <v>101</v>
      </c>
      <c r="BL754" t="s">
        <v>183</v>
      </c>
      <c r="BM754" t="s">
        <v>14498</v>
      </c>
      <c r="BN754" t="s">
        <v>74</v>
      </c>
      <c r="BO754" t="s">
        <v>74</v>
      </c>
      <c r="BP754" t="s">
        <v>74</v>
      </c>
      <c r="BQ754" t="s">
        <v>74</v>
      </c>
      <c r="BR754" t="s">
        <v>104</v>
      </c>
      <c r="BS754" t="s">
        <v>14499</v>
      </c>
      <c r="BT754" t="str">
        <f>HYPERLINK("https%3A%2F%2Fwww.webofscience.com%2Fwos%2Fwoscc%2Ffull-record%2FWOS:000437009200002","View Full Record in Web of Science")</f>
        <v>View Full Record in Web of Science</v>
      </c>
    </row>
    <row r="755" spans="1:72" x14ac:dyDescent="0.15">
      <c r="A755" t="s">
        <v>72</v>
      </c>
      <c r="B755" t="s">
        <v>14500</v>
      </c>
      <c r="C755" t="s">
        <v>74</v>
      </c>
      <c r="D755" t="s">
        <v>74</v>
      </c>
      <c r="E755" t="s">
        <v>74</v>
      </c>
      <c r="F755" t="s">
        <v>14501</v>
      </c>
      <c r="G755" t="s">
        <v>74</v>
      </c>
      <c r="H755" t="s">
        <v>74</v>
      </c>
      <c r="I755" t="s">
        <v>14502</v>
      </c>
      <c r="J755" t="s">
        <v>109</v>
      </c>
      <c r="K755" t="s">
        <v>74</v>
      </c>
      <c r="L755" t="s">
        <v>74</v>
      </c>
      <c r="M755" t="s">
        <v>110</v>
      </c>
      <c r="N755" t="s">
        <v>79</v>
      </c>
      <c r="O755" t="s">
        <v>74</v>
      </c>
      <c r="P755" t="s">
        <v>74</v>
      </c>
      <c r="Q755" t="s">
        <v>74</v>
      </c>
      <c r="R755" t="s">
        <v>74</v>
      </c>
      <c r="S755" t="s">
        <v>74</v>
      </c>
      <c r="T755" t="s">
        <v>14503</v>
      </c>
      <c r="U755" t="s">
        <v>74</v>
      </c>
      <c r="V755" t="s">
        <v>14504</v>
      </c>
      <c r="W755" t="s">
        <v>14505</v>
      </c>
      <c r="X755" t="s">
        <v>14506</v>
      </c>
      <c r="Y755" t="s">
        <v>14507</v>
      </c>
      <c r="Z755" t="s">
        <v>14508</v>
      </c>
      <c r="AA755" t="s">
        <v>74</v>
      </c>
      <c r="AB755" t="s">
        <v>74</v>
      </c>
      <c r="AC755" t="s">
        <v>74</v>
      </c>
      <c r="AD755" t="s">
        <v>74</v>
      </c>
      <c r="AE755" t="s">
        <v>74</v>
      </c>
      <c r="AF755" t="s">
        <v>74</v>
      </c>
      <c r="AG755">
        <v>33</v>
      </c>
      <c r="AH755">
        <v>0</v>
      </c>
      <c r="AI755">
        <v>0</v>
      </c>
      <c r="AJ755">
        <v>0</v>
      </c>
      <c r="AK755">
        <v>0</v>
      </c>
      <c r="AL755" t="s">
        <v>118</v>
      </c>
      <c r="AM755" t="s">
        <v>119</v>
      </c>
      <c r="AN755" t="s">
        <v>120</v>
      </c>
      <c r="AO755" t="s">
        <v>121</v>
      </c>
      <c r="AP755" t="s">
        <v>74</v>
      </c>
      <c r="AQ755" t="s">
        <v>74</v>
      </c>
      <c r="AR755" t="s">
        <v>122</v>
      </c>
      <c r="AS755" t="s">
        <v>123</v>
      </c>
      <c r="AT755" t="s">
        <v>14509</v>
      </c>
      <c r="AU755">
        <v>2018</v>
      </c>
      <c r="AV755">
        <v>9</v>
      </c>
      <c r="AW755">
        <v>3</v>
      </c>
      <c r="AX755" t="s">
        <v>74</v>
      </c>
      <c r="AY755" t="s">
        <v>74</v>
      </c>
      <c r="AZ755" t="s">
        <v>74</v>
      </c>
      <c r="BA755" t="s">
        <v>74</v>
      </c>
      <c r="BB755">
        <v>27</v>
      </c>
      <c r="BC755">
        <v>51</v>
      </c>
      <c r="BD755" t="s">
        <v>74</v>
      </c>
      <c r="BE755" t="s">
        <v>74</v>
      </c>
      <c r="BF755" t="s">
        <v>74</v>
      </c>
      <c r="BG755" t="s">
        <v>74</v>
      </c>
      <c r="BH755" t="s">
        <v>74</v>
      </c>
      <c r="BI755">
        <v>25</v>
      </c>
      <c r="BJ755" t="s">
        <v>125</v>
      </c>
      <c r="BK755" t="s">
        <v>126</v>
      </c>
      <c r="BL755" t="s">
        <v>125</v>
      </c>
      <c r="BM755" t="s">
        <v>14510</v>
      </c>
      <c r="BN755" t="s">
        <v>74</v>
      </c>
      <c r="BO755" t="s">
        <v>74</v>
      </c>
      <c r="BP755" t="s">
        <v>74</v>
      </c>
      <c r="BQ755" t="s">
        <v>74</v>
      </c>
      <c r="BR755" t="s">
        <v>104</v>
      </c>
      <c r="BS755" t="s">
        <v>14511</v>
      </c>
      <c r="BT755" t="str">
        <f>HYPERLINK("https%3A%2F%2Fwww.webofscience.com%2Fwos%2Fwoscc%2Ffull-record%2FWOS:000437512500002","View Full Record in Web of Science")</f>
        <v>View Full Record in Web of Science</v>
      </c>
    </row>
    <row r="756" spans="1:72" x14ac:dyDescent="0.15">
      <c r="A756" t="s">
        <v>72</v>
      </c>
      <c r="B756" t="s">
        <v>14512</v>
      </c>
      <c r="C756" t="s">
        <v>74</v>
      </c>
      <c r="D756" t="s">
        <v>74</v>
      </c>
      <c r="E756" t="s">
        <v>74</v>
      </c>
      <c r="F756" t="s">
        <v>14513</v>
      </c>
      <c r="G756" t="s">
        <v>74</v>
      </c>
      <c r="H756" t="s">
        <v>74</v>
      </c>
      <c r="I756" t="s">
        <v>14514</v>
      </c>
      <c r="J756" t="s">
        <v>14515</v>
      </c>
      <c r="K756" t="s">
        <v>74</v>
      </c>
      <c r="L756" t="s">
        <v>74</v>
      </c>
      <c r="M756" t="s">
        <v>78</v>
      </c>
      <c r="N756" t="s">
        <v>79</v>
      </c>
      <c r="O756" t="s">
        <v>74</v>
      </c>
      <c r="P756" t="s">
        <v>74</v>
      </c>
      <c r="Q756" t="s">
        <v>74</v>
      </c>
      <c r="R756" t="s">
        <v>74</v>
      </c>
      <c r="S756" t="s">
        <v>74</v>
      </c>
      <c r="T756" t="s">
        <v>14516</v>
      </c>
      <c r="U756" t="s">
        <v>14517</v>
      </c>
      <c r="V756" t="s">
        <v>14518</v>
      </c>
      <c r="W756" t="s">
        <v>14519</v>
      </c>
      <c r="X756" t="s">
        <v>14520</v>
      </c>
      <c r="Y756" t="s">
        <v>14521</v>
      </c>
      <c r="Z756" t="s">
        <v>14522</v>
      </c>
      <c r="AA756" t="s">
        <v>74</v>
      </c>
      <c r="AB756" t="s">
        <v>74</v>
      </c>
      <c r="AC756" t="s">
        <v>14523</v>
      </c>
      <c r="AD756" t="s">
        <v>14524</v>
      </c>
      <c r="AE756" t="s">
        <v>14525</v>
      </c>
      <c r="AF756" t="s">
        <v>74</v>
      </c>
      <c r="AG756">
        <v>86</v>
      </c>
      <c r="AH756">
        <v>20</v>
      </c>
      <c r="AI756">
        <v>20</v>
      </c>
      <c r="AJ756">
        <v>1</v>
      </c>
      <c r="AK756">
        <v>15</v>
      </c>
      <c r="AL756" t="s">
        <v>285</v>
      </c>
      <c r="AM756" t="s">
        <v>286</v>
      </c>
      <c r="AN756" t="s">
        <v>287</v>
      </c>
      <c r="AO756" t="s">
        <v>14526</v>
      </c>
      <c r="AP756" t="s">
        <v>14527</v>
      </c>
      <c r="AQ756" t="s">
        <v>74</v>
      </c>
      <c r="AR756" t="s">
        <v>14528</v>
      </c>
      <c r="AS756" t="s">
        <v>14529</v>
      </c>
      <c r="AT756" t="s">
        <v>13121</v>
      </c>
      <c r="AU756">
        <v>2018</v>
      </c>
      <c r="AV756">
        <v>60</v>
      </c>
      <c r="AW756" t="s">
        <v>74</v>
      </c>
      <c r="AX756" t="s">
        <v>74</v>
      </c>
      <c r="AY756" t="s">
        <v>74</v>
      </c>
      <c r="AZ756" t="s">
        <v>74</v>
      </c>
      <c r="BA756" t="s">
        <v>74</v>
      </c>
      <c r="BB756">
        <v>84</v>
      </c>
      <c r="BC756">
        <v>95</v>
      </c>
      <c r="BD756" t="s">
        <v>74</v>
      </c>
      <c r="BE756" t="s">
        <v>14530</v>
      </c>
      <c r="BF756" t="str">
        <f>HYPERLINK("http://dx.doi.org/10.1016/j.intimp.2018.04.039","http://dx.doi.org/10.1016/j.intimp.2018.04.039")</f>
        <v>http://dx.doi.org/10.1016/j.intimp.2018.04.039</v>
      </c>
      <c r="BG756" t="s">
        <v>74</v>
      </c>
      <c r="BH756" t="s">
        <v>74</v>
      </c>
      <c r="BI756">
        <v>12</v>
      </c>
      <c r="BJ756" t="s">
        <v>14531</v>
      </c>
      <c r="BK756" t="s">
        <v>101</v>
      </c>
      <c r="BL756" t="s">
        <v>14531</v>
      </c>
      <c r="BM756" t="s">
        <v>14532</v>
      </c>
      <c r="BN756">
        <v>29709771</v>
      </c>
      <c r="BO756" t="s">
        <v>74</v>
      </c>
      <c r="BP756" t="s">
        <v>74</v>
      </c>
      <c r="BQ756" t="s">
        <v>74</v>
      </c>
      <c r="BR756" t="s">
        <v>104</v>
      </c>
      <c r="BS756" t="s">
        <v>14533</v>
      </c>
      <c r="BT756" t="str">
        <f>HYPERLINK("https%3A%2F%2Fwww.webofscience.com%2Fwos%2Fwoscc%2Ffull-record%2FWOS:000437389900011","View Full Record in Web of Science")</f>
        <v>View Full Record in Web of Science</v>
      </c>
    </row>
    <row r="757" spans="1:72" x14ac:dyDescent="0.15">
      <c r="A757" t="s">
        <v>72</v>
      </c>
      <c r="B757" t="s">
        <v>14534</v>
      </c>
      <c r="C757" t="s">
        <v>74</v>
      </c>
      <c r="D757" t="s">
        <v>74</v>
      </c>
      <c r="E757" t="s">
        <v>74</v>
      </c>
      <c r="F757" t="s">
        <v>14535</v>
      </c>
      <c r="G757" t="s">
        <v>74</v>
      </c>
      <c r="H757" t="s">
        <v>74</v>
      </c>
      <c r="I757" t="s">
        <v>14536</v>
      </c>
      <c r="J757" t="s">
        <v>14537</v>
      </c>
      <c r="K757" t="s">
        <v>74</v>
      </c>
      <c r="L757" t="s">
        <v>74</v>
      </c>
      <c r="M757" t="s">
        <v>78</v>
      </c>
      <c r="N757" t="s">
        <v>79</v>
      </c>
      <c r="O757" t="s">
        <v>74</v>
      </c>
      <c r="P757" t="s">
        <v>74</v>
      </c>
      <c r="Q757" t="s">
        <v>74</v>
      </c>
      <c r="R757" t="s">
        <v>74</v>
      </c>
      <c r="S757" t="s">
        <v>74</v>
      </c>
      <c r="T757" t="s">
        <v>14538</v>
      </c>
      <c r="U757" t="s">
        <v>14539</v>
      </c>
      <c r="V757" t="s">
        <v>14540</v>
      </c>
      <c r="W757" t="s">
        <v>14541</v>
      </c>
      <c r="X757" t="s">
        <v>14542</v>
      </c>
      <c r="Y757" t="s">
        <v>14543</v>
      </c>
      <c r="Z757" t="s">
        <v>14544</v>
      </c>
      <c r="AA757" t="s">
        <v>14545</v>
      </c>
      <c r="AB757" t="s">
        <v>14546</v>
      </c>
      <c r="AC757" t="s">
        <v>14547</v>
      </c>
      <c r="AD757" t="s">
        <v>14548</v>
      </c>
      <c r="AE757" t="s">
        <v>14549</v>
      </c>
      <c r="AF757" t="s">
        <v>74</v>
      </c>
      <c r="AG757">
        <v>33</v>
      </c>
      <c r="AH757">
        <v>7</v>
      </c>
      <c r="AI757">
        <v>8</v>
      </c>
      <c r="AJ757">
        <v>1</v>
      </c>
      <c r="AK757">
        <v>34</v>
      </c>
      <c r="AL757" t="s">
        <v>337</v>
      </c>
      <c r="AM757" t="s">
        <v>258</v>
      </c>
      <c r="AN757" t="s">
        <v>387</v>
      </c>
      <c r="AO757" t="s">
        <v>14550</v>
      </c>
      <c r="AP757" t="s">
        <v>14551</v>
      </c>
      <c r="AQ757" t="s">
        <v>74</v>
      </c>
      <c r="AR757" t="s">
        <v>14552</v>
      </c>
      <c r="AS757" t="s">
        <v>14553</v>
      </c>
      <c r="AT757" t="s">
        <v>13121</v>
      </c>
      <c r="AU757">
        <v>2018</v>
      </c>
      <c r="AV757">
        <v>101</v>
      </c>
      <c r="AW757">
        <v>1</v>
      </c>
      <c r="AX757" t="s">
        <v>74</v>
      </c>
      <c r="AY757" t="s">
        <v>74</v>
      </c>
      <c r="AZ757" t="s">
        <v>74</v>
      </c>
      <c r="BA757" t="s">
        <v>74</v>
      </c>
      <c r="BB757">
        <v>7</v>
      </c>
      <c r="BC757">
        <v>13</v>
      </c>
      <c r="BD757" t="s">
        <v>74</v>
      </c>
      <c r="BE757" t="s">
        <v>14554</v>
      </c>
      <c r="BF757" t="str">
        <f>HYPERLINK("http://dx.doi.org/10.1007/s00128-018-2371-z","http://dx.doi.org/10.1007/s00128-018-2371-z")</f>
        <v>http://dx.doi.org/10.1007/s00128-018-2371-z</v>
      </c>
      <c r="BG757" t="s">
        <v>74</v>
      </c>
      <c r="BH757" t="s">
        <v>74</v>
      </c>
      <c r="BI757">
        <v>7</v>
      </c>
      <c r="BJ757" t="s">
        <v>14555</v>
      </c>
      <c r="BK757" t="s">
        <v>101</v>
      </c>
      <c r="BL757" t="s">
        <v>14556</v>
      </c>
      <c r="BM757" t="s">
        <v>14557</v>
      </c>
      <c r="BN757">
        <v>29845485</v>
      </c>
      <c r="BO757" t="s">
        <v>74</v>
      </c>
      <c r="BP757" t="s">
        <v>74</v>
      </c>
      <c r="BQ757" t="s">
        <v>74</v>
      </c>
      <c r="BR757" t="s">
        <v>104</v>
      </c>
      <c r="BS757" t="s">
        <v>14558</v>
      </c>
      <c r="BT757" t="str">
        <f>HYPERLINK("https%3A%2F%2Fwww.webofscience.com%2Fwos%2Fwoscc%2Ffull-record%2FWOS:000437095200002","View Full Record in Web of Science")</f>
        <v>View Full Record in Web of Science</v>
      </c>
    </row>
    <row r="758" spans="1:72" x14ac:dyDescent="0.15">
      <c r="A758" t="s">
        <v>72</v>
      </c>
      <c r="B758" t="s">
        <v>14559</v>
      </c>
      <c r="C758" t="s">
        <v>74</v>
      </c>
      <c r="D758" t="s">
        <v>74</v>
      </c>
      <c r="E758" t="s">
        <v>74</v>
      </c>
      <c r="F758" t="s">
        <v>14560</v>
      </c>
      <c r="G758" t="s">
        <v>74</v>
      </c>
      <c r="H758" t="s">
        <v>74</v>
      </c>
      <c r="I758" t="s">
        <v>14561</v>
      </c>
      <c r="J758" t="s">
        <v>690</v>
      </c>
      <c r="K758" t="s">
        <v>74</v>
      </c>
      <c r="L758" t="s">
        <v>74</v>
      </c>
      <c r="M758" t="s">
        <v>78</v>
      </c>
      <c r="N758" t="s">
        <v>79</v>
      </c>
      <c r="O758" t="s">
        <v>74</v>
      </c>
      <c r="P758" t="s">
        <v>74</v>
      </c>
      <c r="Q758" t="s">
        <v>74</v>
      </c>
      <c r="R758" t="s">
        <v>74</v>
      </c>
      <c r="S758" t="s">
        <v>74</v>
      </c>
      <c r="T758" t="s">
        <v>14562</v>
      </c>
      <c r="U758" t="s">
        <v>14563</v>
      </c>
      <c r="V758" t="s">
        <v>14564</v>
      </c>
      <c r="W758" t="s">
        <v>14565</v>
      </c>
      <c r="X758" t="s">
        <v>14566</v>
      </c>
      <c r="Y758" t="s">
        <v>14567</v>
      </c>
      <c r="Z758" t="s">
        <v>14568</v>
      </c>
      <c r="AA758" t="s">
        <v>74</v>
      </c>
      <c r="AB758" t="s">
        <v>74</v>
      </c>
      <c r="AC758" t="s">
        <v>14569</v>
      </c>
      <c r="AD758" t="s">
        <v>14570</v>
      </c>
      <c r="AE758" t="s">
        <v>14571</v>
      </c>
      <c r="AF758" t="s">
        <v>74</v>
      </c>
      <c r="AG758">
        <v>67</v>
      </c>
      <c r="AH758">
        <v>8</v>
      </c>
      <c r="AI758">
        <v>8</v>
      </c>
      <c r="AJ758">
        <v>1</v>
      </c>
      <c r="AK758">
        <v>13</v>
      </c>
      <c r="AL758" t="s">
        <v>703</v>
      </c>
      <c r="AM758" t="s">
        <v>704</v>
      </c>
      <c r="AN758" t="s">
        <v>705</v>
      </c>
      <c r="AO758" t="s">
        <v>706</v>
      </c>
      <c r="AP758" t="s">
        <v>707</v>
      </c>
      <c r="AQ758" t="s">
        <v>74</v>
      </c>
      <c r="AR758" t="s">
        <v>708</v>
      </c>
      <c r="AS758" t="s">
        <v>709</v>
      </c>
      <c r="AT758" t="s">
        <v>13121</v>
      </c>
      <c r="AU758">
        <v>2018</v>
      </c>
      <c r="AV758">
        <v>68</v>
      </c>
      <c r="AW758">
        <v>7</v>
      </c>
      <c r="AX758" t="s">
        <v>74</v>
      </c>
      <c r="AY758" t="s">
        <v>74</v>
      </c>
      <c r="AZ758" t="s">
        <v>74</v>
      </c>
      <c r="BA758" t="s">
        <v>74</v>
      </c>
      <c r="BB758">
        <v>2348</v>
      </c>
      <c r="BC758">
        <v>2356</v>
      </c>
      <c r="BD758" t="s">
        <v>74</v>
      </c>
      <c r="BE758" t="s">
        <v>14572</v>
      </c>
      <c r="BF758" t="str">
        <f>HYPERLINK("http://dx.doi.org/10.1099/ijsem.0.002844","http://dx.doi.org/10.1099/ijsem.0.002844")</f>
        <v>http://dx.doi.org/10.1099/ijsem.0.002844</v>
      </c>
      <c r="BG758" t="s">
        <v>74</v>
      </c>
      <c r="BH758" t="s">
        <v>74</v>
      </c>
      <c r="BI758">
        <v>9</v>
      </c>
      <c r="BJ758" t="s">
        <v>344</v>
      </c>
      <c r="BK758" t="s">
        <v>101</v>
      </c>
      <c r="BL758" t="s">
        <v>344</v>
      </c>
      <c r="BM758" t="s">
        <v>14573</v>
      </c>
      <c r="BN758">
        <v>29869978</v>
      </c>
      <c r="BO758" t="s">
        <v>712</v>
      </c>
      <c r="BP758" t="s">
        <v>74</v>
      </c>
      <c r="BQ758" t="s">
        <v>74</v>
      </c>
      <c r="BR758" t="s">
        <v>104</v>
      </c>
      <c r="BS758" t="s">
        <v>14574</v>
      </c>
      <c r="BT758" t="str">
        <f>HYPERLINK("https%3A%2F%2Fwww.webofscience.com%2Fwos%2Fwoscc%2Ffull-record%2FWOS:000437232500034","View Full Record in Web of Science")</f>
        <v>View Full Record in Web of Science</v>
      </c>
    </row>
    <row r="759" spans="1:72" x14ac:dyDescent="0.15">
      <c r="A759" t="s">
        <v>72</v>
      </c>
      <c r="B759" t="s">
        <v>14575</v>
      </c>
      <c r="C759" t="s">
        <v>74</v>
      </c>
      <c r="D759" t="s">
        <v>74</v>
      </c>
      <c r="E759" t="s">
        <v>74</v>
      </c>
      <c r="F759" t="s">
        <v>14576</v>
      </c>
      <c r="G759" t="s">
        <v>74</v>
      </c>
      <c r="H759" t="s">
        <v>74</v>
      </c>
      <c r="I759" t="s">
        <v>14577</v>
      </c>
      <c r="J759" t="s">
        <v>14578</v>
      </c>
      <c r="K759" t="s">
        <v>74</v>
      </c>
      <c r="L759" t="s">
        <v>74</v>
      </c>
      <c r="M759" t="s">
        <v>78</v>
      </c>
      <c r="N759" t="s">
        <v>273</v>
      </c>
      <c r="O759" t="s">
        <v>74</v>
      </c>
      <c r="P759" t="s">
        <v>74</v>
      </c>
      <c r="Q759" t="s">
        <v>74</v>
      </c>
      <c r="R759" t="s">
        <v>74</v>
      </c>
      <c r="S759" t="s">
        <v>74</v>
      </c>
      <c r="T759" t="s">
        <v>14579</v>
      </c>
      <c r="U759" t="s">
        <v>14580</v>
      </c>
      <c r="V759" t="s">
        <v>14581</v>
      </c>
      <c r="W759" t="s">
        <v>14582</v>
      </c>
      <c r="X759" t="s">
        <v>14583</v>
      </c>
      <c r="Y759" t="s">
        <v>14584</v>
      </c>
      <c r="Z759" t="s">
        <v>14585</v>
      </c>
      <c r="AA759" t="s">
        <v>14586</v>
      </c>
      <c r="AB759" t="s">
        <v>14587</v>
      </c>
      <c r="AC759" t="s">
        <v>14588</v>
      </c>
      <c r="AD759" t="s">
        <v>14589</v>
      </c>
      <c r="AE759" t="s">
        <v>14590</v>
      </c>
      <c r="AF759" t="s">
        <v>74</v>
      </c>
      <c r="AG759">
        <v>69</v>
      </c>
      <c r="AH759">
        <v>23</v>
      </c>
      <c r="AI759">
        <v>33</v>
      </c>
      <c r="AJ759">
        <v>1</v>
      </c>
      <c r="AK759">
        <v>40</v>
      </c>
      <c r="AL759" t="s">
        <v>758</v>
      </c>
      <c r="AM759" t="s">
        <v>759</v>
      </c>
      <c r="AN759" t="s">
        <v>760</v>
      </c>
      <c r="AO759" t="s">
        <v>14591</v>
      </c>
      <c r="AP759" t="s">
        <v>14592</v>
      </c>
      <c r="AQ759" t="s">
        <v>74</v>
      </c>
      <c r="AR759" t="s">
        <v>14593</v>
      </c>
      <c r="AS759" t="s">
        <v>14594</v>
      </c>
      <c r="AT759" t="s">
        <v>13121</v>
      </c>
      <c r="AU759">
        <v>2018</v>
      </c>
      <c r="AV759">
        <v>39</v>
      </c>
      <c r="AW759">
        <v>6</v>
      </c>
      <c r="AX759" t="s">
        <v>74</v>
      </c>
      <c r="AY759" t="s">
        <v>74</v>
      </c>
      <c r="AZ759" t="s">
        <v>155</v>
      </c>
      <c r="BA759" t="s">
        <v>74</v>
      </c>
      <c r="BB759">
        <v>701</v>
      </c>
      <c r="BC759">
        <v>715</v>
      </c>
      <c r="BD759" t="s">
        <v>74</v>
      </c>
      <c r="BE759" t="s">
        <v>14595</v>
      </c>
      <c r="BF759" t="str">
        <f>HYPERLINK("http://dx.doi.org/10.1002/job.2288","http://dx.doi.org/10.1002/job.2288")</f>
        <v>http://dx.doi.org/10.1002/job.2288</v>
      </c>
      <c r="BG759" t="s">
        <v>74</v>
      </c>
      <c r="BH759" t="s">
        <v>74</v>
      </c>
      <c r="BI759">
        <v>15</v>
      </c>
      <c r="BJ759" t="s">
        <v>14596</v>
      </c>
      <c r="BK759" t="s">
        <v>2020</v>
      </c>
      <c r="BL759" t="s">
        <v>14597</v>
      </c>
      <c r="BM759" t="s">
        <v>14598</v>
      </c>
      <c r="BN759" t="s">
        <v>74</v>
      </c>
      <c r="BO759" t="s">
        <v>74</v>
      </c>
      <c r="BP759" t="s">
        <v>74</v>
      </c>
      <c r="BQ759" t="s">
        <v>74</v>
      </c>
      <c r="BR759" t="s">
        <v>104</v>
      </c>
      <c r="BS759" t="s">
        <v>14599</v>
      </c>
      <c r="BT759" t="str">
        <f>HYPERLINK("https%3A%2F%2Fwww.webofscience.com%2Fwos%2Fwoscc%2Ffull-record%2FWOS:000437131800002","View Full Record in Web of Science")</f>
        <v>View Full Record in Web of Science</v>
      </c>
    </row>
    <row r="760" spans="1:72" x14ac:dyDescent="0.15">
      <c r="A760" t="s">
        <v>72</v>
      </c>
      <c r="B760" t="s">
        <v>14600</v>
      </c>
      <c r="C760" t="s">
        <v>74</v>
      </c>
      <c r="D760" t="s">
        <v>74</v>
      </c>
      <c r="E760" t="s">
        <v>74</v>
      </c>
      <c r="F760" t="s">
        <v>14601</v>
      </c>
      <c r="G760" t="s">
        <v>74</v>
      </c>
      <c r="H760" t="s">
        <v>74</v>
      </c>
      <c r="I760" t="s">
        <v>14602</v>
      </c>
      <c r="J760" t="s">
        <v>949</v>
      </c>
      <c r="K760" t="s">
        <v>74</v>
      </c>
      <c r="L760" t="s">
        <v>74</v>
      </c>
      <c r="M760" t="s">
        <v>78</v>
      </c>
      <c r="N760" t="s">
        <v>79</v>
      </c>
      <c r="O760" t="s">
        <v>74</v>
      </c>
      <c r="P760" t="s">
        <v>74</v>
      </c>
      <c r="Q760" t="s">
        <v>74</v>
      </c>
      <c r="R760" t="s">
        <v>74</v>
      </c>
      <c r="S760" t="s">
        <v>74</v>
      </c>
      <c r="T760" t="s">
        <v>14603</v>
      </c>
      <c r="U760" t="s">
        <v>14604</v>
      </c>
      <c r="V760" t="s">
        <v>14605</v>
      </c>
      <c r="W760" t="s">
        <v>14606</v>
      </c>
      <c r="X760" t="s">
        <v>14607</v>
      </c>
      <c r="Y760" t="s">
        <v>14608</v>
      </c>
      <c r="Z760" t="s">
        <v>14609</v>
      </c>
      <c r="AA760" t="s">
        <v>14610</v>
      </c>
      <c r="AB760" t="s">
        <v>14611</v>
      </c>
      <c r="AC760" t="s">
        <v>14612</v>
      </c>
      <c r="AD760" t="s">
        <v>14613</v>
      </c>
      <c r="AE760" t="s">
        <v>14614</v>
      </c>
      <c r="AF760" t="s">
        <v>74</v>
      </c>
      <c r="AG760">
        <v>45</v>
      </c>
      <c r="AH760">
        <v>18</v>
      </c>
      <c r="AI760">
        <v>19</v>
      </c>
      <c r="AJ760">
        <v>1</v>
      </c>
      <c r="AK760">
        <v>8</v>
      </c>
      <c r="AL760" t="s">
        <v>785</v>
      </c>
      <c r="AM760" t="s">
        <v>786</v>
      </c>
      <c r="AN760" t="s">
        <v>787</v>
      </c>
      <c r="AO760" t="s">
        <v>962</v>
      </c>
      <c r="AP760" t="s">
        <v>963</v>
      </c>
      <c r="AQ760" t="s">
        <v>74</v>
      </c>
      <c r="AR760" t="s">
        <v>964</v>
      </c>
      <c r="AS760" t="s">
        <v>965</v>
      </c>
      <c r="AT760" t="s">
        <v>13121</v>
      </c>
      <c r="AU760">
        <v>2018</v>
      </c>
      <c r="AV760">
        <v>48</v>
      </c>
      <c r="AW760">
        <v>7</v>
      </c>
      <c r="AX760" t="s">
        <v>74</v>
      </c>
      <c r="AY760" t="s">
        <v>74</v>
      </c>
      <c r="AZ760" t="s">
        <v>74</v>
      </c>
      <c r="BA760" t="s">
        <v>74</v>
      </c>
      <c r="BB760">
        <v>1451</v>
      </c>
      <c r="BC760">
        <v>1470</v>
      </c>
      <c r="BD760" t="s">
        <v>74</v>
      </c>
      <c r="BE760" t="s">
        <v>14615</v>
      </c>
      <c r="BF760" t="str">
        <f>HYPERLINK("http://dx.doi.org/10.1175/JPO-D-17-0163.1","http://dx.doi.org/10.1175/JPO-D-17-0163.1")</f>
        <v>http://dx.doi.org/10.1175/JPO-D-17-0163.1</v>
      </c>
      <c r="BG760" t="s">
        <v>74</v>
      </c>
      <c r="BH760" t="s">
        <v>74</v>
      </c>
      <c r="BI760">
        <v>20</v>
      </c>
      <c r="BJ760" t="s">
        <v>157</v>
      </c>
      <c r="BK760" t="s">
        <v>101</v>
      </c>
      <c r="BL760" t="s">
        <v>157</v>
      </c>
      <c r="BM760" t="s">
        <v>14616</v>
      </c>
      <c r="BN760" t="s">
        <v>74</v>
      </c>
      <c r="BO760" t="s">
        <v>871</v>
      </c>
      <c r="BP760" t="s">
        <v>74</v>
      </c>
      <c r="BQ760" t="s">
        <v>74</v>
      </c>
      <c r="BR760" t="s">
        <v>104</v>
      </c>
      <c r="BS760" t="s">
        <v>14617</v>
      </c>
      <c r="BT760" t="str">
        <f>HYPERLINK("https%3A%2F%2Fwww.webofscience.com%2Fwos%2Fwoscc%2Ffull-record%2FWOS:000437278800002","View Full Record in Web of Science")</f>
        <v>View Full Record in Web of Science</v>
      </c>
    </row>
    <row r="761" spans="1:72" x14ac:dyDescent="0.15">
      <c r="A761" t="s">
        <v>72</v>
      </c>
      <c r="B761" t="s">
        <v>14618</v>
      </c>
      <c r="C761" t="s">
        <v>74</v>
      </c>
      <c r="D761" t="s">
        <v>74</v>
      </c>
      <c r="E761" t="s">
        <v>74</v>
      </c>
      <c r="F761" t="s">
        <v>14619</v>
      </c>
      <c r="G761" t="s">
        <v>74</v>
      </c>
      <c r="H761" t="s">
        <v>74</v>
      </c>
      <c r="I761" t="s">
        <v>14620</v>
      </c>
      <c r="J761" t="s">
        <v>10325</v>
      </c>
      <c r="K761" t="s">
        <v>74</v>
      </c>
      <c r="L761" t="s">
        <v>74</v>
      </c>
      <c r="M761" t="s">
        <v>78</v>
      </c>
      <c r="N761" t="s">
        <v>79</v>
      </c>
      <c r="O761" t="s">
        <v>74</v>
      </c>
      <c r="P761" t="s">
        <v>74</v>
      </c>
      <c r="Q761" t="s">
        <v>74</v>
      </c>
      <c r="R761" t="s">
        <v>74</v>
      </c>
      <c r="S761" t="s">
        <v>74</v>
      </c>
      <c r="T761" t="s">
        <v>14621</v>
      </c>
      <c r="U761" t="s">
        <v>14622</v>
      </c>
      <c r="V761" t="s">
        <v>14623</v>
      </c>
      <c r="W761" t="s">
        <v>14624</v>
      </c>
      <c r="X761" t="s">
        <v>14625</v>
      </c>
      <c r="Y761" t="s">
        <v>14626</v>
      </c>
      <c r="Z761" t="s">
        <v>14627</v>
      </c>
      <c r="AA761" t="s">
        <v>14628</v>
      </c>
      <c r="AB761" t="s">
        <v>14629</v>
      </c>
      <c r="AC761" t="s">
        <v>14630</v>
      </c>
      <c r="AD761" t="s">
        <v>14631</v>
      </c>
      <c r="AE761" t="s">
        <v>14632</v>
      </c>
      <c r="AF761" t="s">
        <v>74</v>
      </c>
      <c r="AG761">
        <v>38</v>
      </c>
      <c r="AH761">
        <v>10</v>
      </c>
      <c r="AI761">
        <v>11</v>
      </c>
      <c r="AJ761">
        <v>0</v>
      </c>
      <c r="AK761">
        <v>12</v>
      </c>
      <c r="AL761" t="s">
        <v>758</v>
      </c>
      <c r="AM761" t="s">
        <v>759</v>
      </c>
      <c r="AN761" t="s">
        <v>760</v>
      </c>
      <c r="AO761" t="s">
        <v>10338</v>
      </c>
      <c r="AP761" t="s">
        <v>10339</v>
      </c>
      <c r="AQ761" t="s">
        <v>74</v>
      </c>
      <c r="AR761" t="s">
        <v>10340</v>
      </c>
      <c r="AS761" t="s">
        <v>10341</v>
      </c>
      <c r="AT761" t="s">
        <v>13121</v>
      </c>
      <c r="AU761">
        <v>2018</v>
      </c>
      <c r="AV761">
        <v>33</v>
      </c>
      <c r="AW761">
        <v>5</v>
      </c>
      <c r="AX761" t="s">
        <v>74</v>
      </c>
      <c r="AY761" t="s">
        <v>74</v>
      </c>
      <c r="AZ761" t="s">
        <v>74</v>
      </c>
      <c r="BA761" t="s">
        <v>74</v>
      </c>
      <c r="BB761">
        <v>482</v>
      </c>
      <c r="BC761">
        <v>486</v>
      </c>
      <c r="BD761" t="s">
        <v>74</v>
      </c>
      <c r="BE761" t="s">
        <v>14633</v>
      </c>
      <c r="BF761" t="str">
        <f>HYPERLINK("http://dx.doi.org/10.1002/jqs.3035","http://dx.doi.org/10.1002/jqs.3035")</f>
        <v>http://dx.doi.org/10.1002/jqs.3035</v>
      </c>
      <c r="BG761" t="s">
        <v>74</v>
      </c>
      <c r="BH761" t="s">
        <v>74</v>
      </c>
      <c r="BI761">
        <v>5</v>
      </c>
      <c r="BJ761" t="s">
        <v>208</v>
      </c>
      <c r="BK761" t="s">
        <v>101</v>
      </c>
      <c r="BL761" t="s">
        <v>209</v>
      </c>
      <c r="BM761" t="s">
        <v>14634</v>
      </c>
      <c r="BN761" t="s">
        <v>74</v>
      </c>
      <c r="BO761" t="s">
        <v>74</v>
      </c>
      <c r="BP761" t="s">
        <v>74</v>
      </c>
      <c r="BQ761" t="s">
        <v>74</v>
      </c>
      <c r="BR761" t="s">
        <v>104</v>
      </c>
      <c r="BS761" t="s">
        <v>14635</v>
      </c>
      <c r="BT761" t="str">
        <f>HYPERLINK("https%3A%2F%2Fwww.webofscience.com%2Fwos%2Fwoscc%2Ffull-record%2FWOS:000437134000002","View Full Record in Web of Science")</f>
        <v>View Full Record in Web of Science</v>
      </c>
    </row>
    <row r="762" spans="1:72" x14ac:dyDescent="0.15">
      <c r="A762" t="s">
        <v>72</v>
      </c>
      <c r="B762" t="s">
        <v>14636</v>
      </c>
      <c r="C762" t="s">
        <v>74</v>
      </c>
      <c r="D762" t="s">
        <v>74</v>
      </c>
      <c r="E762" t="s">
        <v>74</v>
      </c>
      <c r="F762" t="s">
        <v>14637</v>
      </c>
      <c r="G762" t="s">
        <v>74</v>
      </c>
      <c r="H762" t="s">
        <v>74</v>
      </c>
      <c r="I762" t="s">
        <v>14638</v>
      </c>
      <c r="J762" t="s">
        <v>14639</v>
      </c>
      <c r="K762" t="s">
        <v>74</v>
      </c>
      <c r="L762" t="s">
        <v>74</v>
      </c>
      <c r="M762" t="s">
        <v>78</v>
      </c>
      <c r="N762" t="s">
        <v>133</v>
      </c>
      <c r="O762" t="s">
        <v>14640</v>
      </c>
      <c r="P762" t="s">
        <v>14641</v>
      </c>
      <c r="Q762" t="s">
        <v>14642</v>
      </c>
      <c r="R762" t="s">
        <v>74</v>
      </c>
      <c r="S762" t="s">
        <v>74</v>
      </c>
      <c r="T762" t="s">
        <v>14643</v>
      </c>
      <c r="U762" t="s">
        <v>14644</v>
      </c>
      <c r="V762" t="s">
        <v>14645</v>
      </c>
      <c r="W762" t="s">
        <v>14646</v>
      </c>
      <c r="X762" t="s">
        <v>11222</v>
      </c>
      <c r="Y762" t="s">
        <v>14647</v>
      </c>
      <c r="Z762" t="s">
        <v>14648</v>
      </c>
      <c r="AA762" t="s">
        <v>14649</v>
      </c>
      <c r="AB762" t="s">
        <v>14650</v>
      </c>
      <c r="AC762" t="s">
        <v>14651</v>
      </c>
      <c r="AD762" t="s">
        <v>14652</v>
      </c>
      <c r="AE762" t="s">
        <v>14653</v>
      </c>
      <c r="AF762" t="s">
        <v>74</v>
      </c>
      <c r="AG762">
        <v>24</v>
      </c>
      <c r="AH762">
        <v>4</v>
      </c>
      <c r="AI762">
        <v>4</v>
      </c>
      <c r="AJ762">
        <v>0</v>
      </c>
      <c r="AK762">
        <v>3</v>
      </c>
      <c r="AL762" t="s">
        <v>430</v>
      </c>
      <c r="AM762" t="s">
        <v>286</v>
      </c>
      <c r="AN762" t="s">
        <v>431</v>
      </c>
      <c r="AO762" t="s">
        <v>14654</v>
      </c>
      <c r="AP762" t="s">
        <v>14655</v>
      </c>
      <c r="AQ762" t="s">
        <v>74</v>
      </c>
      <c r="AR762" t="s">
        <v>14639</v>
      </c>
      <c r="AS762" t="s">
        <v>14656</v>
      </c>
      <c r="AT762" t="s">
        <v>13121</v>
      </c>
      <c r="AU762">
        <v>2018</v>
      </c>
      <c r="AV762">
        <v>59</v>
      </c>
      <c r="AW762">
        <v>4</v>
      </c>
      <c r="AX762" t="s">
        <v>74</v>
      </c>
      <c r="AY762" t="s">
        <v>74</v>
      </c>
      <c r="AZ762" t="s">
        <v>74</v>
      </c>
      <c r="BA762" t="s">
        <v>74</v>
      </c>
      <c r="BB762">
        <v>319</v>
      </c>
      <c r="BC762">
        <v>324</v>
      </c>
      <c r="BD762" t="s">
        <v>74</v>
      </c>
      <c r="BE762" t="s">
        <v>14657</v>
      </c>
      <c r="BF762" t="str">
        <f>HYPERLINK("http://dx.doi.org/10.1016/j.myc.2017.08.007","http://dx.doi.org/10.1016/j.myc.2017.08.007")</f>
        <v>http://dx.doi.org/10.1016/j.myc.2017.08.007</v>
      </c>
      <c r="BG762" t="s">
        <v>74</v>
      </c>
      <c r="BH762" t="s">
        <v>74</v>
      </c>
      <c r="BI762">
        <v>6</v>
      </c>
      <c r="BJ762" t="s">
        <v>6713</v>
      </c>
      <c r="BK762" t="s">
        <v>158</v>
      </c>
      <c r="BL762" t="s">
        <v>6713</v>
      </c>
      <c r="BM762" t="s">
        <v>14658</v>
      </c>
      <c r="BN762" t="s">
        <v>74</v>
      </c>
      <c r="BO762" t="s">
        <v>74</v>
      </c>
      <c r="BP762" t="s">
        <v>74</v>
      </c>
      <c r="BQ762" t="s">
        <v>74</v>
      </c>
      <c r="BR762" t="s">
        <v>104</v>
      </c>
      <c r="BS762" t="s">
        <v>14659</v>
      </c>
      <c r="BT762" t="str">
        <f>HYPERLINK("https%3A%2F%2Fwww.webofscience.com%2Fwos%2Fwoscc%2Ffull-record%2FWOS:000437367100009","View Full Record in Web of Science")</f>
        <v>View Full Record in Web of Science</v>
      </c>
    </row>
    <row r="763" spans="1:72" x14ac:dyDescent="0.15">
      <c r="A763" t="s">
        <v>72</v>
      </c>
      <c r="B763" t="s">
        <v>14660</v>
      </c>
      <c r="C763" t="s">
        <v>74</v>
      </c>
      <c r="D763" t="s">
        <v>74</v>
      </c>
      <c r="E763" t="s">
        <v>74</v>
      </c>
      <c r="F763" t="s">
        <v>14661</v>
      </c>
      <c r="G763" t="s">
        <v>74</v>
      </c>
      <c r="H763" t="s">
        <v>74</v>
      </c>
      <c r="I763" t="s">
        <v>14662</v>
      </c>
      <c r="J763" t="s">
        <v>1192</v>
      </c>
      <c r="K763" t="s">
        <v>74</v>
      </c>
      <c r="L763" t="s">
        <v>74</v>
      </c>
      <c r="M763" t="s">
        <v>78</v>
      </c>
      <c r="N763" t="s">
        <v>79</v>
      </c>
      <c r="O763" t="s">
        <v>74</v>
      </c>
      <c r="P763" t="s">
        <v>74</v>
      </c>
      <c r="Q763" t="s">
        <v>74</v>
      </c>
      <c r="R763" t="s">
        <v>74</v>
      </c>
      <c r="S763" t="s">
        <v>74</v>
      </c>
      <c r="T763" t="s">
        <v>14663</v>
      </c>
      <c r="U763" t="s">
        <v>14664</v>
      </c>
      <c r="V763" t="s">
        <v>14665</v>
      </c>
      <c r="W763" t="s">
        <v>14666</v>
      </c>
      <c r="X763" t="s">
        <v>14667</v>
      </c>
      <c r="Y763" t="s">
        <v>14668</v>
      </c>
      <c r="Z763" t="s">
        <v>14669</v>
      </c>
      <c r="AA763" t="s">
        <v>14670</v>
      </c>
      <c r="AB763" t="s">
        <v>14671</v>
      </c>
      <c r="AC763" t="s">
        <v>14672</v>
      </c>
      <c r="AD763" t="s">
        <v>14673</v>
      </c>
      <c r="AE763" t="s">
        <v>14674</v>
      </c>
      <c r="AF763" t="s">
        <v>74</v>
      </c>
      <c r="AG763">
        <v>70</v>
      </c>
      <c r="AH763">
        <v>46</v>
      </c>
      <c r="AI763">
        <v>47</v>
      </c>
      <c r="AJ763">
        <v>8</v>
      </c>
      <c r="AK763">
        <v>43</v>
      </c>
      <c r="AL763" t="s">
        <v>337</v>
      </c>
      <c r="AM763" t="s">
        <v>258</v>
      </c>
      <c r="AN763" t="s">
        <v>387</v>
      </c>
      <c r="AO763" t="s">
        <v>1204</v>
      </c>
      <c r="AP763" t="s">
        <v>1205</v>
      </c>
      <c r="AQ763" t="s">
        <v>74</v>
      </c>
      <c r="AR763" t="s">
        <v>1206</v>
      </c>
      <c r="AS763" t="s">
        <v>1207</v>
      </c>
      <c r="AT763" t="s">
        <v>13121</v>
      </c>
      <c r="AU763">
        <v>2018</v>
      </c>
      <c r="AV763">
        <v>41</v>
      </c>
      <c r="AW763">
        <v>7</v>
      </c>
      <c r="AX763" t="s">
        <v>74</v>
      </c>
      <c r="AY763" t="s">
        <v>74</v>
      </c>
      <c r="AZ763" t="s">
        <v>74</v>
      </c>
      <c r="BA763" t="s">
        <v>74</v>
      </c>
      <c r="BB763">
        <v>1319</v>
      </c>
      <c r="BC763">
        <v>1333</v>
      </c>
      <c r="BD763" t="s">
        <v>74</v>
      </c>
      <c r="BE763" t="s">
        <v>14675</v>
      </c>
      <c r="BF763" t="str">
        <f>HYPERLINK("http://dx.doi.org/10.1007/s00300-018-2287-4","http://dx.doi.org/10.1007/s00300-018-2287-4")</f>
        <v>http://dx.doi.org/10.1007/s00300-018-2287-4</v>
      </c>
      <c r="BG763" t="s">
        <v>74</v>
      </c>
      <c r="BH763" t="s">
        <v>74</v>
      </c>
      <c r="BI763">
        <v>15</v>
      </c>
      <c r="BJ763" t="s">
        <v>1209</v>
      </c>
      <c r="BK763" t="s">
        <v>101</v>
      </c>
      <c r="BL763" t="s">
        <v>1210</v>
      </c>
      <c r="BM763" t="s">
        <v>13708</v>
      </c>
      <c r="BN763" t="s">
        <v>74</v>
      </c>
      <c r="BO763" t="s">
        <v>6666</v>
      </c>
      <c r="BP763" t="s">
        <v>74</v>
      </c>
      <c r="BQ763" t="s">
        <v>74</v>
      </c>
      <c r="BR763" t="s">
        <v>104</v>
      </c>
      <c r="BS763" t="s">
        <v>14676</v>
      </c>
      <c r="BT763" t="str">
        <f>HYPERLINK("https%3A%2F%2Fwww.webofscience.com%2Fwos%2Fwoscc%2Ffull-record%2FWOS:000437102400002","View Full Record in Web of Science")</f>
        <v>View Full Record in Web of Science</v>
      </c>
    </row>
    <row r="764" spans="1:72" x14ac:dyDescent="0.15">
      <c r="A764" t="s">
        <v>72</v>
      </c>
      <c r="B764" t="s">
        <v>14677</v>
      </c>
      <c r="C764" t="s">
        <v>74</v>
      </c>
      <c r="D764" t="s">
        <v>74</v>
      </c>
      <c r="E764" t="s">
        <v>74</v>
      </c>
      <c r="F764" t="s">
        <v>14678</v>
      </c>
      <c r="G764" t="s">
        <v>74</v>
      </c>
      <c r="H764" t="s">
        <v>74</v>
      </c>
      <c r="I764" t="s">
        <v>14679</v>
      </c>
      <c r="J764" t="s">
        <v>1192</v>
      </c>
      <c r="K764" t="s">
        <v>74</v>
      </c>
      <c r="L764" t="s">
        <v>74</v>
      </c>
      <c r="M764" t="s">
        <v>78</v>
      </c>
      <c r="N764" t="s">
        <v>79</v>
      </c>
      <c r="O764" t="s">
        <v>74</v>
      </c>
      <c r="P764" t="s">
        <v>74</v>
      </c>
      <c r="Q764" t="s">
        <v>74</v>
      </c>
      <c r="R764" t="s">
        <v>74</v>
      </c>
      <c r="S764" t="s">
        <v>74</v>
      </c>
      <c r="T764" t="s">
        <v>14680</v>
      </c>
      <c r="U764" t="s">
        <v>14681</v>
      </c>
      <c r="V764" t="s">
        <v>14682</v>
      </c>
      <c r="W764" t="s">
        <v>14683</v>
      </c>
      <c r="X764" t="s">
        <v>14684</v>
      </c>
      <c r="Y764" t="s">
        <v>14685</v>
      </c>
      <c r="Z764" t="s">
        <v>14686</v>
      </c>
      <c r="AA764" t="s">
        <v>14687</v>
      </c>
      <c r="AB764" t="s">
        <v>14688</v>
      </c>
      <c r="AC764" t="s">
        <v>14689</v>
      </c>
      <c r="AD764" t="s">
        <v>14690</v>
      </c>
      <c r="AE764" t="s">
        <v>14691</v>
      </c>
      <c r="AF764" t="s">
        <v>74</v>
      </c>
      <c r="AG764">
        <v>100</v>
      </c>
      <c r="AH764">
        <v>5</v>
      </c>
      <c r="AI764">
        <v>5</v>
      </c>
      <c r="AJ764">
        <v>2</v>
      </c>
      <c r="AK764">
        <v>30</v>
      </c>
      <c r="AL764" t="s">
        <v>337</v>
      </c>
      <c r="AM764" t="s">
        <v>258</v>
      </c>
      <c r="AN764" t="s">
        <v>338</v>
      </c>
      <c r="AO764" t="s">
        <v>1204</v>
      </c>
      <c r="AP764" t="s">
        <v>1205</v>
      </c>
      <c r="AQ764" t="s">
        <v>74</v>
      </c>
      <c r="AR764" t="s">
        <v>1206</v>
      </c>
      <c r="AS764" t="s">
        <v>1207</v>
      </c>
      <c r="AT764" t="s">
        <v>13121</v>
      </c>
      <c r="AU764">
        <v>2018</v>
      </c>
      <c r="AV764">
        <v>41</v>
      </c>
      <c r="AW764">
        <v>7</v>
      </c>
      <c r="AX764" t="s">
        <v>74</v>
      </c>
      <c r="AY764" t="s">
        <v>74</v>
      </c>
      <c r="AZ764" t="s">
        <v>74</v>
      </c>
      <c r="BA764" t="s">
        <v>74</v>
      </c>
      <c r="BB764">
        <v>1335</v>
      </c>
      <c r="BC764">
        <v>1352</v>
      </c>
      <c r="BD764" t="s">
        <v>74</v>
      </c>
      <c r="BE764" t="s">
        <v>14692</v>
      </c>
      <c r="BF764" t="str">
        <f>HYPERLINK("http://dx.doi.org/10.1007/s00300-018-2288-3","http://dx.doi.org/10.1007/s00300-018-2288-3")</f>
        <v>http://dx.doi.org/10.1007/s00300-018-2288-3</v>
      </c>
      <c r="BG764" t="s">
        <v>74</v>
      </c>
      <c r="BH764" t="s">
        <v>74</v>
      </c>
      <c r="BI764">
        <v>18</v>
      </c>
      <c r="BJ764" t="s">
        <v>1209</v>
      </c>
      <c r="BK764" t="s">
        <v>101</v>
      </c>
      <c r="BL764" t="s">
        <v>1210</v>
      </c>
      <c r="BM764" t="s">
        <v>13708</v>
      </c>
      <c r="BN764" t="s">
        <v>74</v>
      </c>
      <c r="BO764" t="s">
        <v>74</v>
      </c>
      <c r="BP764" t="s">
        <v>74</v>
      </c>
      <c r="BQ764" t="s">
        <v>74</v>
      </c>
      <c r="BR764" t="s">
        <v>104</v>
      </c>
      <c r="BS764" t="s">
        <v>14693</v>
      </c>
      <c r="BT764" t="str">
        <f>HYPERLINK("https%3A%2F%2Fwww.webofscience.com%2Fwos%2Fwoscc%2Ffull-record%2FWOS:000437102400003","View Full Record in Web of Science")</f>
        <v>View Full Record in Web of Science</v>
      </c>
    </row>
    <row r="765" spans="1:72" x14ac:dyDescent="0.15">
      <c r="A765" t="s">
        <v>72</v>
      </c>
      <c r="B765" t="s">
        <v>14694</v>
      </c>
      <c r="C765" t="s">
        <v>74</v>
      </c>
      <c r="D765" t="s">
        <v>74</v>
      </c>
      <c r="E765" t="s">
        <v>74</v>
      </c>
      <c r="F765" t="s">
        <v>14695</v>
      </c>
      <c r="G765" t="s">
        <v>74</v>
      </c>
      <c r="H765" t="s">
        <v>74</v>
      </c>
      <c r="I765" t="s">
        <v>14696</v>
      </c>
      <c r="J765" t="s">
        <v>1192</v>
      </c>
      <c r="K765" t="s">
        <v>74</v>
      </c>
      <c r="L765" t="s">
        <v>74</v>
      </c>
      <c r="M765" t="s">
        <v>78</v>
      </c>
      <c r="N765" t="s">
        <v>79</v>
      </c>
      <c r="O765" t="s">
        <v>74</v>
      </c>
      <c r="P765" t="s">
        <v>74</v>
      </c>
      <c r="Q765" t="s">
        <v>74</v>
      </c>
      <c r="R765" t="s">
        <v>74</v>
      </c>
      <c r="S765" t="s">
        <v>74</v>
      </c>
      <c r="T765" t="s">
        <v>14697</v>
      </c>
      <c r="U765" t="s">
        <v>14698</v>
      </c>
      <c r="V765" t="s">
        <v>14699</v>
      </c>
      <c r="W765" t="s">
        <v>14700</v>
      </c>
      <c r="X765" t="s">
        <v>14701</v>
      </c>
      <c r="Y765" t="s">
        <v>14702</v>
      </c>
      <c r="Z765" t="s">
        <v>14703</v>
      </c>
      <c r="AA765" t="s">
        <v>74</v>
      </c>
      <c r="AB765" t="s">
        <v>74</v>
      </c>
      <c r="AC765" t="s">
        <v>14704</v>
      </c>
      <c r="AD765" t="s">
        <v>14705</v>
      </c>
      <c r="AE765" t="s">
        <v>14706</v>
      </c>
      <c r="AF765" t="s">
        <v>74</v>
      </c>
      <c r="AG765">
        <v>60</v>
      </c>
      <c r="AH765">
        <v>6</v>
      </c>
      <c r="AI765">
        <v>6</v>
      </c>
      <c r="AJ765">
        <v>1</v>
      </c>
      <c r="AK765">
        <v>34</v>
      </c>
      <c r="AL765" t="s">
        <v>337</v>
      </c>
      <c r="AM765" t="s">
        <v>258</v>
      </c>
      <c r="AN765" t="s">
        <v>387</v>
      </c>
      <c r="AO765" t="s">
        <v>1204</v>
      </c>
      <c r="AP765" t="s">
        <v>1205</v>
      </c>
      <c r="AQ765" t="s">
        <v>74</v>
      </c>
      <c r="AR765" t="s">
        <v>1206</v>
      </c>
      <c r="AS765" t="s">
        <v>1207</v>
      </c>
      <c r="AT765" t="s">
        <v>13121</v>
      </c>
      <c r="AU765">
        <v>2018</v>
      </c>
      <c r="AV765">
        <v>41</v>
      </c>
      <c r="AW765">
        <v>7</v>
      </c>
      <c r="AX765" t="s">
        <v>74</v>
      </c>
      <c r="AY765" t="s">
        <v>74</v>
      </c>
      <c r="AZ765" t="s">
        <v>74</v>
      </c>
      <c r="BA765" t="s">
        <v>74</v>
      </c>
      <c r="BB765">
        <v>1353</v>
      </c>
      <c r="BC765">
        <v>1358</v>
      </c>
      <c r="BD765" t="s">
        <v>74</v>
      </c>
      <c r="BE765" t="s">
        <v>14707</v>
      </c>
      <c r="BF765" t="str">
        <f>HYPERLINK("http://dx.doi.org/10.1007/s00300-018-2289-2","http://dx.doi.org/10.1007/s00300-018-2289-2")</f>
        <v>http://dx.doi.org/10.1007/s00300-018-2289-2</v>
      </c>
      <c r="BG765" t="s">
        <v>74</v>
      </c>
      <c r="BH765" t="s">
        <v>74</v>
      </c>
      <c r="BI765">
        <v>6</v>
      </c>
      <c r="BJ765" t="s">
        <v>1209</v>
      </c>
      <c r="BK765" t="s">
        <v>101</v>
      </c>
      <c r="BL765" t="s">
        <v>1210</v>
      </c>
      <c r="BM765" t="s">
        <v>13708</v>
      </c>
      <c r="BN765" t="s">
        <v>74</v>
      </c>
      <c r="BO765" t="s">
        <v>74</v>
      </c>
      <c r="BP765" t="s">
        <v>74</v>
      </c>
      <c r="BQ765" t="s">
        <v>74</v>
      </c>
      <c r="BR765" t="s">
        <v>104</v>
      </c>
      <c r="BS765" t="s">
        <v>14708</v>
      </c>
      <c r="BT765" t="str">
        <f>HYPERLINK("https%3A%2F%2Fwww.webofscience.com%2Fwos%2Fwoscc%2Ffull-record%2FWOS:000437102400004","View Full Record in Web of Science")</f>
        <v>View Full Record in Web of Science</v>
      </c>
    </row>
    <row r="766" spans="1:72" x14ac:dyDescent="0.15">
      <c r="A766" t="s">
        <v>72</v>
      </c>
      <c r="B766" t="s">
        <v>14709</v>
      </c>
      <c r="C766" t="s">
        <v>74</v>
      </c>
      <c r="D766" t="s">
        <v>74</v>
      </c>
      <c r="E766" t="s">
        <v>74</v>
      </c>
      <c r="F766" t="s">
        <v>14710</v>
      </c>
      <c r="G766" t="s">
        <v>74</v>
      </c>
      <c r="H766" t="s">
        <v>74</v>
      </c>
      <c r="I766" t="s">
        <v>14711</v>
      </c>
      <c r="J766" t="s">
        <v>1192</v>
      </c>
      <c r="K766" t="s">
        <v>74</v>
      </c>
      <c r="L766" t="s">
        <v>74</v>
      </c>
      <c r="M766" t="s">
        <v>78</v>
      </c>
      <c r="N766" t="s">
        <v>79</v>
      </c>
      <c r="O766" t="s">
        <v>74</v>
      </c>
      <c r="P766" t="s">
        <v>74</v>
      </c>
      <c r="Q766" t="s">
        <v>74</v>
      </c>
      <c r="R766" t="s">
        <v>74</v>
      </c>
      <c r="S766" t="s">
        <v>74</v>
      </c>
      <c r="T766" t="s">
        <v>14712</v>
      </c>
      <c r="U766" t="s">
        <v>14713</v>
      </c>
      <c r="V766" t="s">
        <v>14714</v>
      </c>
      <c r="W766" t="s">
        <v>14715</v>
      </c>
      <c r="X766" t="s">
        <v>14716</v>
      </c>
      <c r="Y766" t="s">
        <v>14717</v>
      </c>
      <c r="Z766" t="s">
        <v>14718</v>
      </c>
      <c r="AA766" t="s">
        <v>74</v>
      </c>
      <c r="AB766" t="s">
        <v>14719</v>
      </c>
      <c r="AC766" t="s">
        <v>14720</v>
      </c>
      <c r="AD766" t="s">
        <v>14721</v>
      </c>
      <c r="AE766" t="s">
        <v>14722</v>
      </c>
      <c r="AF766" t="s">
        <v>74</v>
      </c>
      <c r="AG766">
        <v>122</v>
      </c>
      <c r="AH766">
        <v>3</v>
      </c>
      <c r="AI766">
        <v>4</v>
      </c>
      <c r="AJ766">
        <v>3</v>
      </c>
      <c r="AK766">
        <v>24</v>
      </c>
      <c r="AL766" t="s">
        <v>337</v>
      </c>
      <c r="AM766" t="s">
        <v>258</v>
      </c>
      <c r="AN766" t="s">
        <v>387</v>
      </c>
      <c r="AO766" t="s">
        <v>1204</v>
      </c>
      <c r="AP766" t="s">
        <v>1205</v>
      </c>
      <c r="AQ766" t="s">
        <v>74</v>
      </c>
      <c r="AR766" t="s">
        <v>1206</v>
      </c>
      <c r="AS766" t="s">
        <v>1207</v>
      </c>
      <c r="AT766" t="s">
        <v>13121</v>
      </c>
      <c r="AU766">
        <v>2018</v>
      </c>
      <c r="AV766">
        <v>41</v>
      </c>
      <c r="AW766">
        <v>7</v>
      </c>
      <c r="AX766" t="s">
        <v>74</v>
      </c>
      <c r="AY766" t="s">
        <v>74</v>
      </c>
      <c r="AZ766" t="s">
        <v>74</v>
      </c>
      <c r="BA766" t="s">
        <v>74</v>
      </c>
      <c r="BB766">
        <v>1371</v>
      </c>
      <c r="BC766">
        <v>1390</v>
      </c>
      <c r="BD766" t="s">
        <v>74</v>
      </c>
      <c r="BE766" t="s">
        <v>14723</v>
      </c>
      <c r="BF766" t="str">
        <f>HYPERLINK("http://dx.doi.org/10.1007/s00300-018-2292-7","http://dx.doi.org/10.1007/s00300-018-2292-7")</f>
        <v>http://dx.doi.org/10.1007/s00300-018-2292-7</v>
      </c>
      <c r="BG766" t="s">
        <v>74</v>
      </c>
      <c r="BH766" t="s">
        <v>74</v>
      </c>
      <c r="BI766">
        <v>20</v>
      </c>
      <c r="BJ766" t="s">
        <v>1209</v>
      </c>
      <c r="BK766" t="s">
        <v>101</v>
      </c>
      <c r="BL766" t="s">
        <v>1210</v>
      </c>
      <c r="BM766" t="s">
        <v>13708</v>
      </c>
      <c r="BN766" t="s">
        <v>74</v>
      </c>
      <c r="BO766" t="s">
        <v>740</v>
      </c>
      <c r="BP766" t="s">
        <v>74</v>
      </c>
      <c r="BQ766" t="s">
        <v>74</v>
      </c>
      <c r="BR766" t="s">
        <v>104</v>
      </c>
      <c r="BS766" t="s">
        <v>14724</v>
      </c>
      <c r="BT766" t="str">
        <f>HYPERLINK("https%3A%2F%2Fwww.webofscience.com%2Fwos%2Fwoscc%2Ffull-record%2FWOS:000437102400006","View Full Record in Web of Science")</f>
        <v>View Full Record in Web of Science</v>
      </c>
    </row>
    <row r="767" spans="1:72" x14ac:dyDescent="0.15">
      <c r="A767" t="s">
        <v>72</v>
      </c>
      <c r="B767" t="s">
        <v>14725</v>
      </c>
      <c r="C767" t="s">
        <v>74</v>
      </c>
      <c r="D767" t="s">
        <v>74</v>
      </c>
      <c r="E767" t="s">
        <v>74</v>
      </c>
      <c r="F767" t="s">
        <v>14726</v>
      </c>
      <c r="G767" t="s">
        <v>74</v>
      </c>
      <c r="H767" t="s">
        <v>74</v>
      </c>
      <c r="I767" t="s">
        <v>14727</v>
      </c>
      <c r="J767" t="s">
        <v>1192</v>
      </c>
      <c r="K767" t="s">
        <v>74</v>
      </c>
      <c r="L767" t="s">
        <v>74</v>
      </c>
      <c r="M767" t="s">
        <v>78</v>
      </c>
      <c r="N767" t="s">
        <v>79</v>
      </c>
      <c r="O767" t="s">
        <v>74</v>
      </c>
      <c r="P767" t="s">
        <v>74</v>
      </c>
      <c r="Q767" t="s">
        <v>74</v>
      </c>
      <c r="R767" t="s">
        <v>74</v>
      </c>
      <c r="S767" t="s">
        <v>74</v>
      </c>
      <c r="T767" t="s">
        <v>14728</v>
      </c>
      <c r="U767" t="s">
        <v>14729</v>
      </c>
      <c r="V767" t="s">
        <v>14730</v>
      </c>
      <c r="W767" t="s">
        <v>14731</v>
      </c>
      <c r="X767" t="s">
        <v>11418</v>
      </c>
      <c r="Y767" t="s">
        <v>14732</v>
      </c>
      <c r="Z767" t="s">
        <v>14733</v>
      </c>
      <c r="AA767" t="s">
        <v>14734</v>
      </c>
      <c r="AB767" t="s">
        <v>14735</v>
      </c>
      <c r="AC767" t="s">
        <v>74</v>
      </c>
      <c r="AD767" t="s">
        <v>74</v>
      </c>
      <c r="AE767" t="s">
        <v>74</v>
      </c>
      <c r="AF767" t="s">
        <v>74</v>
      </c>
      <c r="AG767">
        <v>92</v>
      </c>
      <c r="AH767">
        <v>18</v>
      </c>
      <c r="AI767">
        <v>19</v>
      </c>
      <c r="AJ767">
        <v>0</v>
      </c>
      <c r="AK767">
        <v>30</v>
      </c>
      <c r="AL767" t="s">
        <v>337</v>
      </c>
      <c r="AM767" t="s">
        <v>258</v>
      </c>
      <c r="AN767" t="s">
        <v>338</v>
      </c>
      <c r="AO767" t="s">
        <v>1204</v>
      </c>
      <c r="AP767" t="s">
        <v>1205</v>
      </c>
      <c r="AQ767" t="s">
        <v>74</v>
      </c>
      <c r="AR767" t="s">
        <v>1206</v>
      </c>
      <c r="AS767" t="s">
        <v>1207</v>
      </c>
      <c r="AT767" t="s">
        <v>13121</v>
      </c>
      <c r="AU767">
        <v>2018</v>
      </c>
      <c r="AV767">
        <v>41</v>
      </c>
      <c r="AW767">
        <v>7</v>
      </c>
      <c r="AX767" t="s">
        <v>74</v>
      </c>
      <c r="AY767" t="s">
        <v>74</v>
      </c>
      <c r="AZ767" t="s">
        <v>74</v>
      </c>
      <c r="BA767" t="s">
        <v>74</v>
      </c>
      <c r="BB767">
        <v>1417</v>
      </c>
      <c r="BC767">
        <v>1433</v>
      </c>
      <c r="BD767" t="s">
        <v>74</v>
      </c>
      <c r="BE767" t="s">
        <v>14736</v>
      </c>
      <c r="BF767" t="str">
        <f>HYPERLINK("http://dx.doi.org/10.1007/s00300-018-2295-4","http://dx.doi.org/10.1007/s00300-018-2295-4")</f>
        <v>http://dx.doi.org/10.1007/s00300-018-2295-4</v>
      </c>
      <c r="BG767" t="s">
        <v>74</v>
      </c>
      <c r="BH767" t="s">
        <v>74</v>
      </c>
      <c r="BI767">
        <v>17</v>
      </c>
      <c r="BJ767" t="s">
        <v>1209</v>
      </c>
      <c r="BK767" t="s">
        <v>101</v>
      </c>
      <c r="BL767" t="s">
        <v>1210</v>
      </c>
      <c r="BM767" t="s">
        <v>13708</v>
      </c>
      <c r="BN767" t="s">
        <v>74</v>
      </c>
      <c r="BO767" t="s">
        <v>74</v>
      </c>
      <c r="BP767" t="s">
        <v>74</v>
      </c>
      <c r="BQ767" t="s">
        <v>74</v>
      </c>
      <c r="BR767" t="s">
        <v>104</v>
      </c>
      <c r="BS767" t="s">
        <v>14737</v>
      </c>
      <c r="BT767" t="str">
        <f>HYPERLINK("https%3A%2F%2Fwww.webofscience.com%2Fwos%2Fwoscc%2Ffull-record%2FWOS:000437102400009","View Full Record in Web of Science")</f>
        <v>View Full Record in Web of Science</v>
      </c>
    </row>
    <row r="768" spans="1:72" x14ac:dyDescent="0.15">
      <c r="A768" t="s">
        <v>72</v>
      </c>
      <c r="B768" t="s">
        <v>14738</v>
      </c>
      <c r="C768" t="s">
        <v>74</v>
      </c>
      <c r="D768" t="s">
        <v>74</v>
      </c>
      <c r="E768" t="s">
        <v>74</v>
      </c>
      <c r="F768" t="s">
        <v>14739</v>
      </c>
      <c r="G768" t="s">
        <v>74</v>
      </c>
      <c r="H768" t="s">
        <v>74</v>
      </c>
      <c r="I768" t="s">
        <v>14740</v>
      </c>
      <c r="J768" t="s">
        <v>1192</v>
      </c>
      <c r="K768" t="s">
        <v>74</v>
      </c>
      <c r="L768" t="s">
        <v>74</v>
      </c>
      <c r="M768" t="s">
        <v>78</v>
      </c>
      <c r="N768" t="s">
        <v>79</v>
      </c>
      <c r="O768" t="s">
        <v>74</v>
      </c>
      <c r="P768" t="s">
        <v>74</v>
      </c>
      <c r="Q768" t="s">
        <v>74</v>
      </c>
      <c r="R768" t="s">
        <v>74</v>
      </c>
      <c r="S768" t="s">
        <v>74</v>
      </c>
      <c r="T768" t="s">
        <v>14741</v>
      </c>
      <c r="U768" t="s">
        <v>14742</v>
      </c>
      <c r="V768" t="s">
        <v>14743</v>
      </c>
      <c r="W768" t="s">
        <v>14744</v>
      </c>
      <c r="X768" t="s">
        <v>14745</v>
      </c>
      <c r="Y768" t="s">
        <v>14746</v>
      </c>
      <c r="Z768" t="s">
        <v>14747</v>
      </c>
      <c r="AA768" t="s">
        <v>14748</v>
      </c>
      <c r="AB768" t="s">
        <v>14749</v>
      </c>
      <c r="AC768" t="s">
        <v>14750</v>
      </c>
      <c r="AD768" t="s">
        <v>14751</v>
      </c>
      <c r="AE768" t="s">
        <v>14752</v>
      </c>
      <c r="AF768" t="s">
        <v>74</v>
      </c>
      <c r="AG768">
        <v>52</v>
      </c>
      <c r="AH768">
        <v>7</v>
      </c>
      <c r="AI768">
        <v>7</v>
      </c>
      <c r="AJ768">
        <v>0</v>
      </c>
      <c r="AK768">
        <v>6</v>
      </c>
      <c r="AL768" t="s">
        <v>337</v>
      </c>
      <c r="AM768" t="s">
        <v>258</v>
      </c>
      <c r="AN768" t="s">
        <v>387</v>
      </c>
      <c r="AO768" t="s">
        <v>1204</v>
      </c>
      <c r="AP768" t="s">
        <v>1205</v>
      </c>
      <c r="AQ768" t="s">
        <v>74</v>
      </c>
      <c r="AR768" t="s">
        <v>1206</v>
      </c>
      <c r="AS768" t="s">
        <v>1207</v>
      </c>
      <c r="AT768" t="s">
        <v>13121</v>
      </c>
      <c r="AU768">
        <v>2018</v>
      </c>
      <c r="AV768">
        <v>41</v>
      </c>
      <c r="AW768">
        <v>7</v>
      </c>
      <c r="AX768" t="s">
        <v>74</v>
      </c>
      <c r="AY768" t="s">
        <v>74</v>
      </c>
      <c r="AZ768" t="s">
        <v>74</v>
      </c>
      <c r="BA768" t="s">
        <v>74</v>
      </c>
      <c r="BB768">
        <v>1463</v>
      </c>
      <c r="BC768">
        <v>1473</v>
      </c>
      <c r="BD768" t="s">
        <v>74</v>
      </c>
      <c r="BE768" t="s">
        <v>14753</v>
      </c>
      <c r="BF768" t="str">
        <f>HYPERLINK("http://dx.doi.org/10.1007/s00300-018-2298-1","http://dx.doi.org/10.1007/s00300-018-2298-1")</f>
        <v>http://dx.doi.org/10.1007/s00300-018-2298-1</v>
      </c>
      <c r="BG768" t="s">
        <v>74</v>
      </c>
      <c r="BH768" t="s">
        <v>74</v>
      </c>
      <c r="BI768">
        <v>11</v>
      </c>
      <c r="BJ768" t="s">
        <v>1209</v>
      </c>
      <c r="BK768" t="s">
        <v>101</v>
      </c>
      <c r="BL768" t="s">
        <v>1210</v>
      </c>
      <c r="BM768" t="s">
        <v>13708</v>
      </c>
      <c r="BN768" t="s">
        <v>74</v>
      </c>
      <c r="BO768" t="s">
        <v>486</v>
      </c>
      <c r="BP768" t="s">
        <v>74</v>
      </c>
      <c r="BQ768" t="s">
        <v>74</v>
      </c>
      <c r="BR768" t="s">
        <v>104</v>
      </c>
      <c r="BS768" t="s">
        <v>14754</v>
      </c>
      <c r="BT768" t="str">
        <f>HYPERLINK("https%3A%2F%2Fwww.webofscience.com%2Fwos%2Fwoscc%2Ffull-record%2FWOS:000437102400012","View Full Record in Web of Science")</f>
        <v>View Full Record in Web of Science</v>
      </c>
    </row>
    <row r="769" spans="1:72" x14ac:dyDescent="0.15">
      <c r="A769" t="s">
        <v>72</v>
      </c>
      <c r="B769" t="s">
        <v>14755</v>
      </c>
      <c r="C769" t="s">
        <v>74</v>
      </c>
      <c r="D769" t="s">
        <v>74</v>
      </c>
      <c r="E769" t="s">
        <v>74</v>
      </c>
      <c r="F769" t="s">
        <v>14756</v>
      </c>
      <c r="G769" t="s">
        <v>74</v>
      </c>
      <c r="H769" t="s">
        <v>74</v>
      </c>
      <c r="I769" t="s">
        <v>14757</v>
      </c>
      <c r="J769" t="s">
        <v>1192</v>
      </c>
      <c r="K769" t="s">
        <v>74</v>
      </c>
      <c r="L769" t="s">
        <v>74</v>
      </c>
      <c r="M769" t="s">
        <v>78</v>
      </c>
      <c r="N769" t="s">
        <v>79</v>
      </c>
      <c r="O769" t="s">
        <v>74</v>
      </c>
      <c r="P769" t="s">
        <v>74</v>
      </c>
      <c r="Q769" t="s">
        <v>74</v>
      </c>
      <c r="R769" t="s">
        <v>74</v>
      </c>
      <c r="S769" t="s">
        <v>74</v>
      </c>
      <c r="T769" t="s">
        <v>14758</v>
      </c>
      <c r="U769" t="s">
        <v>14759</v>
      </c>
      <c r="V769" t="s">
        <v>14760</v>
      </c>
      <c r="W769" t="s">
        <v>14761</v>
      </c>
      <c r="X769" t="s">
        <v>14762</v>
      </c>
      <c r="Y769" t="s">
        <v>14763</v>
      </c>
      <c r="Z769" t="s">
        <v>14764</v>
      </c>
      <c r="AA769" t="s">
        <v>14765</v>
      </c>
      <c r="AB769" t="s">
        <v>14766</v>
      </c>
      <c r="AC769" t="s">
        <v>14767</v>
      </c>
      <c r="AD769" t="s">
        <v>2502</v>
      </c>
      <c r="AE769" t="s">
        <v>74</v>
      </c>
      <c r="AF769" t="s">
        <v>74</v>
      </c>
      <c r="AG769">
        <v>33</v>
      </c>
      <c r="AH769">
        <v>0</v>
      </c>
      <c r="AI769">
        <v>1</v>
      </c>
      <c r="AJ769">
        <v>2</v>
      </c>
      <c r="AK769">
        <v>9</v>
      </c>
      <c r="AL769" t="s">
        <v>337</v>
      </c>
      <c r="AM769" t="s">
        <v>258</v>
      </c>
      <c r="AN769" t="s">
        <v>338</v>
      </c>
      <c r="AO769" t="s">
        <v>1204</v>
      </c>
      <c r="AP769" t="s">
        <v>1205</v>
      </c>
      <c r="AQ769" t="s">
        <v>74</v>
      </c>
      <c r="AR769" t="s">
        <v>1206</v>
      </c>
      <c r="AS769" t="s">
        <v>1207</v>
      </c>
      <c r="AT769" t="s">
        <v>13121</v>
      </c>
      <c r="AU769">
        <v>2018</v>
      </c>
      <c r="AV769">
        <v>41</v>
      </c>
      <c r="AW769">
        <v>7</v>
      </c>
      <c r="AX769" t="s">
        <v>74</v>
      </c>
      <c r="AY769" t="s">
        <v>74</v>
      </c>
      <c r="AZ769" t="s">
        <v>74</v>
      </c>
      <c r="BA769" t="s">
        <v>74</v>
      </c>
      <c r="BB769">
        <v>1493</v>
      </c>
      <c r="BC769">
        <v>1504</v>
      </c>
      <c r="BD769" t="s">
        <v>74</v>
      </c>
      <c r="BE769" t="s">
        <v>14768</v>
      </c>
      <c r="BF769" t="str">
        <f>HYPERLINK("http://dx.doi.org/10.1007/s00300-018-2303-8","http://dx.doi.org/10.1007/s00300-018-2303-8")</f>
        <v>http://dx.doi.org/10.1007/s00300-018-2303-8</v>
      </c>
      <c r="BG769" t="s">
        <v>74</v>
      </c>
      <c r="BH769" t="s">
        <v>74</v>
      </c>
      <c r="BI769">
        <v>12</v>
      </c>
      <c r="BJ769" t="s">
        <v>1209</v>
      </c>
      <c r="BK769" t="s">
        <v>101</v>
      </c>
      <c r="BL769" t="s">
        <v>1210</v>
      </c>
      <c r="BM769" t="s">
        <v>13708</v>
      </c>
      <c r="BN769" t="s">
        <v>74</v>
      </c>
      <c r="BO769" t="s">
        <v>944</v>
      </c>
      <c r="BP769" t="s">
        <v>74</v>
      </c>
      <c r="BQ769" t="s">
        <v>74</v>
      </c>
      <c r="BR769" t="s">
        <v>104</v>
      </c>
      <c r="BS769" t="s">
        <v>14769</v>
      </c>
      <c r="BT769" t="str">
        <f>HYPERLINK("https%3A%2F%2Fwww.webofscience.com%2Fwos%2Fwoscc%2Ffull-record%2FWOS:000437102400014","View Full Record in Web of Science")</f>
        <v>View Full Record in Web of Science</v>
      </c>
    </row>
    <row r="770" spans="1:72" x14ac:dyDescent="0.15">
      <c r="A770" t="s">
        <v>72</v>
      </c>
      <c r="B770" t="s">
        <v>13695</v>
      </c>
      <c r="C770" t="s">
        <v>74</v>
      </c>
      <c r="D770" t="s">
        <v>74</v>
      </c>
      <c r="E770" t="s">
        <v>74</v>
      </c>
      <c r="F770" t="s">
        <v>13696</v>
      </c>
      <c r="G770" t="s">
        <v>74</v>
      </c>
      <c r="H770" t="s">
        <v>74</v>
      </c>
      <c r="I770" t="s">
        <v>14770</v>
      </c>
      <c r="J770" t="s">
        <v>1192</v>
      </c>
      <c r="K770" t="s">
        <v>74</v>
      </c>
      <c r="L770" t="s">
        <v>74</v>
      </c>
      <c r="M770" t="s">
        <v>78</v>
      </c>
      <c r="N770" t="s">
        <v>4341</v>
      </c>
      <c r="O770" t="s">
        <v>74</v>
      </c>
      <c r="P770" t="s">
        <v>74</v>
      </c>
      <c r="Q770" t="s">
        <v>74</v>
      </c>
      <c r="R770" t="s">
        <v>74</v>
      </c>
      <c r="S770" t="s">
        <v>74</v>
      </c>
      <c r="T770" t="s">
        <v>74</v>
      </c>
      <c r="U770" t="s">
        <v>74</v>
      </c>
      <c r="V770" t="s">
        <v>14771</v>
      </c>
      <c r="W770" t="s">
        <v>74</v>
      </c>
      <c r="X770" t="s">
        <v>74</v>
      </c>
      <c r="Y770" t="s">
        <v>74</v>
      </c>
      <c r="Z770" t="s">
        <v>13701</v>
      </c>
      <c r="AA770" t="s">
        <v>14772</v>
      </c>
      <c r="AB770" t="s">
        <v>14773</v>
      </c>
      <c r="AC770" t="s">
        <v>74</v>
      </c>
      <c r="AD770" t="s">
        <v>74</v>
      </c>
      <c r="AE770" t="s">
        <v>74</v>
      </c>
      <c r="AF770" t="s">
        <v>74</v>
      </c>
      <c r="AG770">
        <v>1</v>
      </c>
      <c r="AH770">
        <v>0</v>
      </c>
      <c r="AI770">
        <v>0</v>
      </c>
      <c r="AJ770">
        <v>0</v>
      </c>
      <c r="AK770">
        <v>0</v>
      </c>
      <c r="AL770" t="s">
        <v>337</v>
      </c>
      <c r="AM770" t="s">
        <v>258</v>
      </c>
      <c r="AN770" t="s">
        <v>338</v>
      </c>
      <c r="AO770" t="s">
        <v>1204</v>
      </c>
      <c r="AP770" t="s">
        <v>1205</v>
      </c>
      <c r="AQ770" t="s">
        <v>74</v>
      </c>
      <c r="AR770" t="s">
        <v>1206</v>
      </c>
      <c r="AS770" t="s">
        <v>1207</v>
      </c>
      <c r="AT770" t="s">
        <v>13121</v>
      </c>
      <c r="AU770">
        <v>2018</v>
      </c>
      <c r="AV770">
        <v>41</v>
      </c>
      <c r="AW770">
        <v>7</v>
      </c>
      <c r="AX770" t="s">
        <v>74</v>
      </c>
      <c r="AY770" t="s">
        <v>74</v>
      </c>
      <c r="AZ770" t="s">
        <v>74</v>
      </c>
      <c r="BA770" t="s">
        <v>74</v>
      </c>
      <c r="BB770">
        <v>1521</v>
      </c>
      <c r="BC770">
        <v>1521</v>
      </c>
      <c r="BD770" t="s">
        <v>74</v>
      </c>
      <c r="BE770" t="s">
        <v>14774</v>
      </c>
      <c r="BF770" t="str">
        <f>HYPERLINK("http://dx.doi.org/10.1007/s00300-018-2322-5","http://dx.doi.org/10.1007/s00300-018-2322-5")</f>
        <v>http://dx.doi.org/10.1007/s00300-018-2322-5</v>
      </c>
      <c r="BG770" t="s">
        <v>74</v>
      </c>
      <c r="BH770" t="s">
        <v>74</v>
      </c>
      <c r="BI770">
        <v>1</v>
      </c>
      <c r="BJ770" t="s">
        <v>1209</v>
      </c>
      <c r="BK770" t="s">
        <v>101</v>
      </c>
      <c r="BL770" t="s">
        <v>1210</v>
      </c>
      <c r="BM770" t="s">
        <v>13708</v>
      </c>
      <c r="BN770" t="s">
        <v>74</v>
      </c>
      <c r="BO770" t="s">
        <v>712</v>
      </c>
      <c r="BP770" t="s">
        <v>74</v>
      </c>
      <c r="BQ770" t="s">
        <v>74</v>
      </c>
      <c r="BR770" t="s">
        <v>104</v>
      </c>
      <c r="BS770" t="s">
        <v>14775</v>
      </c>
      <c r="BT770" t="str">
        <f>HYPERLINK("https%3A%2F%2Fwww.webofscience.com%2Fwos%2Fwoscc%2Ffull-record%2FWOS:000437102400016","View Full Record in Web of Science")</f>
        <v>View Full Record in Web of Science</v>
      </c>
    </row>
    <row r="771" spans="1:72" x14ac:dyDescent="0.15">
      <c r="A771" t="s">
        <v>72</v>
      </c>
      <c r="B771" t="s">
        <v>14776</v>
      </c>
      <c r="C771" t="s">
        <v>74</v>
      </c>
      <c r="D771" t="s">
        <v>74</v>
      </c>
      <c r="E771" t="s">
        <v>74</v>
      </c>
      <c r="F771" t="s">
        <v>14777</v>
      </c>
      <c r="G771" t="s">
        <v>74</v>
      </c>
      <c r="H771" t="s">
        <v>74</v>
      </c>
      <c r="I771" t="s">
        <v>14778</v>
      </c>
      <c r="J771" t="s">
        <v>10461</v>
      </c>
      <c r="K771" t="s">
        <v>74</v>
      </c>
      <c r="L771" t="s">
        <v>74</v>
      </c>
      <c r="M771" t="s">
        <v>78</v>
      </c>
      <c r="N771" t="s">
        <v>79</v>
      </c>
      <c r="O771" t="s">
        <v>74</v>
      </c>
      <c r="P771" t="s">
        <v>74</v>
      </c>
      <c r="Q771" t="s">
        <v>74</v>
      </c>
      <c r="R771" t="s">
        <v>74</v>
      </c>
      <c r="S771" t="s">
        <v>74</v>
      </c>
      <c r="T771" t="s">
        <v>14779</v>
      </c>
      <c r="U771" t="s">
        <v>14780</v>
      </c>
      <c r="V771" t="s">
        <v>14781</v>
      </c>
      <c r="W771" t="s">
        <v>14782</v>
      </c>
      <c r="X771" t="s">
        <v>14783</v>
      </c>
      <c r="Y771" t="s">
        <v>14784</v>
      </c>
      <c r="Z771" t="s">
        <v>14785</v>
      </c>
      <c r="AA771" t="s">
        <v>14786</v>
      </c>
      <c r="AB771" t="s">
        <v>14787</v>
      </c>
      <c r="AC771" t="s">
        <v>74</v>
      </c>
      <c r="AD771" t="s">
        <v>74</v>
      </c>
      <c r="AE771" t="s">
        <v>74</v>
      </c>
      <c r="AF771" t="s">
        <v>74</v>
      </c>
      <c r="AG771">
        <v>56</v>
      </c>
      <c r="AH771">
        <v>4</v>
      </c>
      <c r="AI771">
        <v>4</v>
      </c>
      <c r="AJ771">
        <v>0</v>
      </c>
      <c r="AK771">
        <v>6</v>
      </c>
      <c r="AL771" t="s">
        <v>676</v>
      </c>
      <c r="AM771" t="s">
        <v>677</v>
      </c>
      <c r="AN771" t="s">
        <v>678</v>
      </c>
      <c r="AO771" t="s">
        <v>10474</v>
      </c>
      <c r="AP771" t="s">
        <v>10475</v>
      </c>
      <c r="AQ771" t="s">
        <v>74</v>
      </c>
      <c r="AR771" t="s">
        <v>10476</v>
      </c>
      <c r="AS771" t="s">
        <v>10477</v>
      </c>
      <c r="AT771" t="s">
        <v>13121</v>
      </c>
      <c r="AU771">
        <v>2018</v>
      </c>
      <c r="AV771">
        <v>11</v>
      </c>
      <c r="AW771">
        <v>13</v>
      </c>
      <c r="AX771" t="s">
        <v>74</v>
      </c>
      <c r="AY771" t="s">
        <v>74</v>
      </c>
      <c r="AZ771" t="s">
        <v>74</v>
      </c>
      <c r="BA771" t="s">
        <v>74</v>
      </c>
      <c r="BB771" t="s">
        <v>74</v>
      </c>
      <c r="BC771" t="s">
        <v>74</v>
      </c>
      <c r="BD771">
        <v>343</v>
      </c>
      <c r="BE771" t="s">
        <v>14788</v>
      </c>
      <c r="BF771" t="str">
        <f>HYPERLINK("http://dx.doi.org/10.1007/s12517-018-3657-5","http://dx.doi.org/10.1007/s12517-018-3657-5")</f>
        <v>http://dx.doi.org/10.1007/s12517-018-3657-5</v>
      </c>
      <c r="BG771" t="s">
        <v>74</v>
      </c>
      <c r="BH771" t="s">
        <v>74</v>
      </c>
      <c r="BI771">
        <v>18</v>
      </c>
      <c r="BJ771" t="s">
        <v>182</v>
      </c>
      <c r="BK771" t="s">
        <v>101</v>
      </c>
      <c r="BL771" t="s">
        <v>183</v>
      </c>
      <c r="BM771" t="s">
        <v>14789</v>
      </c>
      <c r="BN771" t="s">
        <v>74</v>
      </c>
      <c r="BO771" t="s">
        <v>74</v>
      </c>
      <c r="BP771" t="s">
        <v>74</v>
      </c>
      <c r="BQ771" t="s">
        <v>74</v>
      </c>
      <c r="BR771" t="s">
        <v>104</v>
      </c>
      <c r="BS771" t="s">
        <v>14790</v>
      </c>
      <c r="BT771" t="str">
        <f>HYPERLINK("https%3A%2F%2Fwww.webofscience.com%2Fwos%2Fwoscc%2Ffull-record%2FWOS:000436790900002","View Full Record in Web of Science")</f>
        <v>View Full Record in Web of Science</v>
      </c>
    </row>
    <row r="772" spans="1:72" x14ac:dyDescent="0.15">
      <c r="A772" t="s">
        <v>72</v>
      </c>
      <c r="B772" t="s">
        <v>14791</v>
      </c>
      <c r="C772" t="s">
        <v>74</v>
      </c>
      <c r="D772" t="s">
        <v>74</v>
      </c>
      <c r="E772" t="s">
        <v>74</v>
      </c>
      <c r="F772" t="s">
        <v>14792</v>
      </c>
      <c r="G772" t="s">
        <v>74</v>
      </c>
      <c r="H772" t="s">
        <v>74</v>
      </c>
      <c r="I772" t="s">
        <v>14793</v>
      </c>
      <c r="J772" t="s">
        <v>14794</v>
      </c>
      <c r="K772" t="s">
        <v>74</v>
      </c>
      <c r="L772" t="s">
        <v>74</v>
      </c>
      <c r="M772" t="s">
        <v>78</v>
      </c>
      <c r="N772" t="s">
        <v>79</v>
      </c>
      <c r="O772" t="s">
        <v>74</v>
      </c>
      <c r="P772" t="s">
        <v>74</v>
      </c>
      <c r="Q772" t="s">
        <v>74</v>
      </c>
      <c r="R772" t="s">
        <v>74</v>
      </c>
      <c r="S772" t="s">
        <v>74</v>
      </c>
      <c r="T772" t="s">
        <v>14795</v>
      </c>
      <c r="U772" t="s">
        <v>14796</v>
      </c>
      <c r="V772" t="s">
        <v>14797</v>
      </c>
      <c r="W772" t="s">
        <v>14798</v>
      </c>
      <c r="X772" t="s">
        <v>14799</v>
      </c>
      <c r="Y772" t="s">
        <v>14800</v>
      </c>
      <c r="Z772" t="s">
        <v>14801</v>
      </c>
      <c r="AA772" t="s">
        <v>14802</v>
      </c>
      <c r="AB772" t="s">
        <v>14803</v>
      </c>
      <c r="AC772" t="s">
        <v>14804</v>
      </c>
      <c r="AD772" t="s">
        <v>14805</v>
      </c>
      <c r="AE772" t="s">
        <v>14806</v>
      </c>
      <c r="AF772" t="s">
        <v>74</v>
      </c>
      <c r="AG772">
        <v>102</v>
      </c>
      <c r="AH772">
        <v>21</v>
      </c>
      <c r="AI772">
        <v>22</v>
      </c>
      <c r="AJ772">
        <v>4</v>
      </c>
      <c r="AK772">
        <v>29</v>
      </c>
      <c r="AL772" t="s">
        <v>758</v>
      </c>
      <c r="AM772" t="s">
        <v>759</v>
      </c>
      <c r="AN772" t="s">
        <v>760</v>
      </c>
      <c r="AO772" t="s">
        <v>14807</v>
      </c>
      <c r="AP772" t="s">
        <v>14808</v>
      </c>
      <c r="AQ772" t="s">
        <v>74</v>
      </c>
      <c r="AR772" t="s">
        <v>14809</v>
      </c>
      <c r="AS772" t="s">
        <v>14810</v>
      </c>
      <c r="AT772" t="s">
        <v>13121</v>
      </c>
      <c r="AU772">
        <v>2018</v>
      </c>
      <c r="AV772">
        <v>219</v>
      </c>
      <c r="AW772">
        <v>2</v>
      </c>
      <c r="AX772" t="s">
        <v>74</v>
      </c>
      <c r="AY772" t="s">
        <v>74</v>
      </c>
      <c r="AZ772" t="s">
        <v>74</v>
      </c>
      <c r="BA772" t="s">
        <v>74</v>
      </c>
      <c r="BB772">
        <v>588</v>
      </c>
      <c r="BC772">
        <v>604</v>
      </c>
      <c r="BD772" t="s">
        <v>74</v>
      </c>
      <c r="BE772" t="s">
        <v>14811</v>
      </c>
      <c r="BF772" t="str">
        <f>HYPERLINK("http://dx.doi.org/10.1111/nph.15194","http://dx.doi.org/10.1111/nph.15194")</f>
        <v>http://dx.doi.org/10.1111/nph.15194</v>
      </c>
      <c r="BG772" t="s">
        <v>74</v>
      </c>
      <c r="BH772" t="s">
        <v>74</v>
      </c>
      <c r="BI772">
        <v>17</v>
      </c>
      <c r="BJ772" t="s">
        <v>237</v>
      </c>
      <c r="BK772" t="s">
        <v>101</v>
      </c>
      <c r="BL772" t="s">
        <v>237</v>
      </c>
      <c r="BM772" t="s">
        <v>14812</v>
      </c>
      <c r="BN772">
        <v>29736931</v>
      </c>
      <c r="BO772" t="s">
        <v>712</v>
      </c>
      <c r="BP772" t="s">
        <v>74</v>
      </c>
      <c r="BQ772" t="s">
        <v>74</v>
      </c>
      <c r="BR772" t="s">
        <v>104</v>
      </c>
      <c r="BS772" t="s">
        <v>14813</v>
      </c>
      <c r="BT772" t="str">
        <f>HYPERLINK("https%3A%2F%2Fwww.webofscience.com%2Fwos%2Fwoscc%2Ffull-record%2FWOS:000435948500015","View Full Record in Web of Science")</f>
        <v>View Full Record in Web of Science</v>
      </c>
    </row>
    <row r="773" spans="1:72" x14ac:dyDescent="0.15">
      <c r="A773" t="s">
        <v>72</v>
      </c>
      <c r="B773" t="s">
        <v>14814</v>
      </c>
      <c r="C773" t="s">
        <v>74</v>
      </c>
      <c r="D773" t="s">
        <v>74</v>
      </c>
      <c r="E773" t="s">
        <v>74</v>
      </c>
      <c r="F773" t="s">
        <v>14815</v>
      </c>
      <c r="G773" t="s">
        <v>74</v>
      </c>
      <c r="H773" t="s">
        <v>74</v>
      </c>
      <c r="I773" t="s">
        <v>14816</v>
      </c>
      <c r="J773" t="s">
        <v>517</v>
      </c>
      <c r="K773" t="s">
        <v>74</v>
      </c>
      <c r="L773" t="s">
        <v>74</v>
      </c>
      <c r="M773" t="s">
        <v>78</v>
      </c>
      <c r="N773" t="s">
        <v>79</v>
      </c>
      <c r="O773" t="s">
        <v>74</v>
      </c>
      <c r="P773" t="s">
        <v>74</v>
      </c>
      <c r="Q773" t="s">
        <v>74</v>
      </c>
      <c r="R773" t="s">
        <v>74</v>
      </c>
      <c r="S773" t="s">
        <v>74</v>
      </c>
      <c r="T773" t="s">
        <v>14817</v>
      </c>
      <c r="U773" t="s">
        <v>14818</v>
      </c>
      <c r="V773" t="s">
        <v>14819</v>
      </c>
      <c r="W773" t="s">
        <v>14820</v>
      </c>
      <c r="X773" t="s">
        <v>14821</v>
      </c>
      <c r="Y773" t="s">
        <v>14822</v>
      </c>
      <c r="Z773" t="s">
        <v>14823</v>
      </c>
      <c r="AA773" t="s">
        <v>74</v>
      </c>
      <c r="AB773" t="s">
        <v>14824</v>
      </c>
      <c r="AC773" t="s">
        <v>14825</v>
      </c>
      <c r="AD773" t="s">
        <v>14826</v>
      </c>
      <c r="AE773" t="s">
        <v>14827</v>
      </c>
      <c r="AF773" t="s">
        <v>74</v>
      </c>
      <c r="AG773">
        <v>195</v>
      </c>
      <c r="AH773">
        <v>26</v>
      </c>
      <c r="AI773">
        <v>29</v>
      </c>
      <c r="AJ773">
        <v>1</v>
      </c>
      <c r="AK773">
        <v>40</v>
      </c>
      <c r="AL773" t="s">
        <v>285</v>
      </c>
      <c r="AM773" t="s">
        <v>286</v>
      </c>
      <c r="AN773" t="s">
        <v>287</v>
      </c>
      <c r="AO773" t="s">
        <v>529</v>
      </c>
      <c r="AP773" t="s">
        <v>530</v>
      </c>
      <c r="AQ773" t="s">
        <v>74</v>
      </c>
      <c r="AR773" t="s">
        <v>531</v>
      </c>
      <c r="AS773" t="s">
        <v>532</v>
      </c>
      <c r="AT773" t="s">
        <v>13121</v>
      </c>
      <c r="AU773">
        <v>2018</v>
      </c>
      <c r="AV773">
        <v>182</v>
      </c>
      <c r="AW773" t="s">
        <v>74</v>
      </c>
      <c r="AX773" t="s">
        <v>74</v>
      </c>
      <c r="AY773" t="s">
        <v>74</v>
      </c>
      <c r="AZ773" t="s">
        <v>74</v>
      </c>
      <c r="BA773" t="s">
        <v>74</v>
      </c>
      <c r="BB773">
        <v>204</v>
      </c>
      <c r="BC773">
        <v>232</v>
      </c>
      <c r="BD773" t="s">
        <v>74</v>
      </c>
      <c r="BE773" t="s">
        <v>14828</v>
      </c>
      <c r="BF773" t="str">
        <f>HYPERLINK("http://dx.doi.org/10.1016/j.earscirev.2018.04.011","http://dx.doi.org/10.1016/j.earscirev.2018.04.011")</f>
        <v>http://dx.doi.org/10.1016/j.earscirev.2018.04.011</v>
      </c>
      <c r="BG773" t="s">
        <v>74</v>
      </c>
      <c r="BH773" t="s">
        <v>74</v>
      </c>
      <c r="BI773">
        <v>29</v>
      </c>
      <c r="BJ773" t="s">
        <v>182</v>
      </c>
      <c r="BK773" t="s">
        <v>101</v>
      </c>
      <c r="BL773" t="s">
        <v>183</v>
      </c>
      <c r="BM773" t="s">
        <v>13321</v>
      </c>
      <c r="BN773" t="s">
        <v>74</v>
      </c>
      <c r="BO773" t="s">
        <v>535</v>
      </c>
      <c r="BP773" t="s">
        <v>74</v>
      </c>
      <c r="BQ773" t="s">
        <v>74</v>
      </c>
      <c r="BR773" t="s">
        <v>104</v>
      </c>
      <c r="BS773" t="s">
        <v>14829</v>
      </c>
      <c r="BT773" t="str">
        <f>HYPERLINK("https%3A%2F%2Fwww.webofscience.com%2Fwos%2Fwoscc%2Ffull-record%2FWOS:000436222700011","View Full Record in Web of Science")</f>
        <v>View Full Record in Web of Science</v>
      </c>
    </row>
    <row r="774" spans="1:72" x14ac:dyDescent="0.15">
      <c r="A774" t="s">
        <v>72</v>
      </c>
      <c r="B774" t="s">
        <v>14830</v>
      </c>
      <c r="C774" t="s">
        <v>74</v>
      </c>
      <c r="D774" t="s">
        <v>74</v>
      </c>
      <c r="E774" t="s">
        <v>74</v>
      </c>
      <c r="F774" t="s">
        <v>14831</v>
      </c>
      <c r="G774" t="s">
        <v>74</v>
      </c>
      <c r="H774" t="s">
        <v>74</v>
      </c>
      <c r="I774" t="s">
        <v>14832</v>
      </c>
      <c r="J774" t="s">
        <v>10894</v>
      </c>
      <c r="K774" t="s">
        <v>74</v>
      </c>
      <c r="L774" t="s">
        <v>74</v>
      </c>
      <c r="M774" t="s">
        <v>78</v>
      </c>
      <c r="N774" t="s">
        <v>79</v>
      </c>
      <c r="O774" t="s">
        <v>74</v>
      </c>
      <c r="P774" t="s">
        <v>74</v>
      </c>
      <c r="Q774" t="s">
        <v>74</v>
      </c>
      <c r="R774" t="s">
        <v>74</v>
      </c>
      <c r="S774" t="s">
        <v>74</v>
      </c>
      <c r="T774" t="s">
        <v>74</v>
      </c>
      <c r="U774" t="s">
        <v>14833</v>
      </c>
      <c r="V774" t="s">
        <v>14834</v>
      </c>
      <c r="W774" t="s">
        <v>14835</v>
      </c>
      <c r="X774" t="s">
        <v>14836</v>
      </c>
      <c r="Y774" t="s">
        <v>14837</v>
      </c>
      <c r="Z774" t="s">
        <v>14838</v>
      </c>
      <c r="AA774" t="s">
        <v>14839</v>
      </c>
      <c r="AB774" t="s">
        <v>14840</v>
      </c>
      <c r="AC774" t="s">
        <v>14841</v>
      </c>
      <c r="AD774" t="s">
        <v>14842</v>
      </c>
      <c r="AE774" t="s">
        <v>14843</v>
      </c>
      <c r="AF774" t="s">
        <v>74</v>
      </c>
      <c r="AG774">
        <v>106</v>
      </c>
      <c r="AH774">
        <v>14</v>
      </c>
      <c r="AI774">
        <v>16</v>
      </c>
      <c r="AJ774">
        <v>0</v>
      </c>
      <c r="AK774">
        <v>38</v>
      </c>
      <c r="AL774" t="s">
        <v>430</v>
      </c>
      <c r="AM774" t="s">
        <v>286</v>
      </c>
      <c r="AN774" t="s">
        <v>431</v>
      </c>
      <c r="AO774" t="s">
        <v>10907</v>
      </c>
      <c r="AP774" t="s">
        <v>10908</v>
      </c>
      <c r="AQ774" t="s">
        <v>74</v>
      </c>
      <c r="AR774" t="s">
        <v>10909</v>
      </c>
      <c r="AS774" t="s">
        <v>10910</v>
      </c>
      <c r="AT774" t="s">
        <v>13121</v>
      </c>
      <c r="AU774">
        <v>2018</v>
      </c>
      <c r="AV774">
        <v>166</v>
      </c>
      <c r="AW774" t="s">
        <v>74</v>
      </c>
      <c r="AX774" t="s">
        <v>74</v>
      </c>
      <c r="AY774" t="s">
        <v>74</v>
      </c>
      <c r="AZ774" t="s">
        <v>74</v>
      </c>
      <c r="BA774" t="s">
        <v>74</v>
      </c>
      <c r="BB774">
        <v>62</v>
      </c>
      <c r="BC774">
        <v>74</v>
      </c>
      <c r="BD774" t="s">
        <v>74</v>
      </c>
      <c r="BE774" t="s">
        <v>14844</v>
      </c>
      <c r="BF774" t="str">
        <f>HYPERLINK("http://dx.doi.org/10.1016/j.gloplacha.2018.04.007","http://dx.doi.org/10.1016/j.gloplacha.2018.04.007")</f>
        <v>http://dx.doi.org/10.1016/j.gloplacha.2018.04.007</v>
      </c>
      <c r="BG774" t="s">
        <v>74</v>
      </c>
      <c r="BH774" t="s">
        <v>74</v>
      </c>
      <c r="BI774">
        <v>13</v>
      </c>
      <c r="BJ774" t="s">
        <v>208</v>
      </c>
      <c r="BK774" t="s">
        <v>101</v>
      </c>
      <c r="BL774" t="s">
        <v>209</v>
      </c>
      <c r="BM774" t="s">
        <v>13403</v>
      </c>
      <c r="BN774" t="s">
        <v>74</v>
      </c>
      <c r="BO774" t="s">
        <v>74</v>
      </c>
      <c r="BP774" t="s">
        <v>74</v>
      </c>
      <c r="BQ774" t="s">
        <v>74</v>
      </c>
      <c r="BR774" t="s">
        <v>104</v>
      </c>
      <c r="BS774" t="s">
        <v>14845</v>
      </c>
      <c r="BT774" t="str">
        <f>HYPERLINK("https%3A%2F%2Fwww.webofscience.com%2Fwos%2Fwoscc%2Ffull-record%2FWOS:000435624000006","View Full Record in Web of Science")</f>
        <v>View Full Record in Web of Science</v>
      </c>
    </row>
    <row r="775" spans="1:72" x14ac:dyDescent="0.15">
      <c r="A775" t="s">
        <v>72</v>
      </c>
      <c r="B775" t="s">
        <v>14846</v>
      </c>
      <c r="C775" t="s">
        <v>74</v>
      </c>
      <c r="D775" t="s">
        <v>74</v>
      </c>
      <c r="E775" t="s">
        <v>74</v>
      </c>
      <c r="F775" t="s">
        <v>14847</v>
      </c>
      <c r="G775" t="s">
        <v>74</v>
      </c>
      <c r="H775" t="s">
        <v>74</v>
      </c>
      <c r="I775" t="s">
        <v>14848</v>
      </c>
      <c r="J775" t="s">
        <v>9669</v>
      </c>
      <c r="K775" t="s">
        <v>74</v>
      </c>
      <c r="L775" t="s">
        <v>74</v>
      </c>
      <c r="M775" t="s">
        <v>78</v>
      </c>
      <c r="N775" t="s">
        <v>79</v>
      </c>
      <c r="O775" t="s">
        <v>74</v>
      </c>
      <c r="P775" t="s">
        <v>74</v>
      </c>
      <c r="Q775" t="s">
        <v>74</v>
      </c>
      <c r="R775" t="s">
        <v>74</v>
      </c>
      <c r="S775" t="s">
        <v>74</v>
      </c>
      <c r="T775" t="s">
        <v>14849</v>
      </c>
      <c r="U775" t="s">
        <v>14850</v>
      </c>
      <c r="V775" t="s">
        <v>14851</v>
      </c>
      <c r="W775" t="s">
        <v>14852</v>
      </c>
      <c r="X775" t="s">
        <v>14853</v>
      </c>
      <c r="Y775" t="s">
        <v>14854</v>
      </c>
      <c r="Z775" t="s">
        <v>14855</v>
      </c>
      <c r="AA775" t="s">
        <v>14856</v>
      </c>
      <c r="AB775" t="s">
        <v>14857</v>
      </c>
      <c r="AC775" t="s">
        <v>14858</v>
      </c>
      <c r="AD775" t="s">
        <v>12681</v>
      </c>
      <c r="AE775" t="s">
        <v>14859</v>
      </c>
      <c r="AF775" t="s">
        <v>74</v>
      </c>
      <c r="AG775">
        <v>50</v>
      </c>
      <c r="AH775">
        <v>74</v>
      </c>
      <c r="AI775">
        <v>75</v>
      </c>
      <c r="AJ775">
        <v>1</v>
      </c>
      <c r="AK775">
        <v>24</v>
      </c>
      <c r="AL775" t="s">
        <v>201</v>
      </c>
      <c r="AM775" t="s">
        <v>93</v>
      </c>
      <c r="AN775" t="s">
        <v>202</v>
      </c>
      <c r="AO775" t="s">
        <v>9681</v>
      </c>
      <c r="AP775" t="s">
        <v>9682</v>
      </c>
      <c r="AQ775" t="s">
        <v>74</v>
      </c>
      <c r="AR775" t="s">
        <v>9683</v>
      </c>
      <c r="AS775" t="s">
        <v>9684</v>
      </c>
      <c r="AT775" t="s">
        <v>13121</v>
      </c>
      <c r="AU775">
        <v>2018</v>
      </c>
      <c r="AV775">
        <v>93</v>
      </c>
      <c r="AW775" t="s">
        <v>74</v>
      </c>
      <c r="AX775" t="s">
        <v>74</v>
      </c>
      <c r="AY775" t="s">
        <v>74</v>
      </c>
      <c r="AZ775" t="s">
        <v>74</v>
      </c>
      <c r="BA775" t="s">
        <v>74</v>
      </c>
      <c r="BB775">
        <v>171</v>
      </c>
      <c r="BC775">
        <v>177</v>
      </c>
      <c r="BD775" t="s">
        <v>74</v>
      </c>
      <c r="BE775" t="s">
        <v>14860</v>
      </c>
      <c r="BF775" t="str">
        <f>HYPERLINK("http://dx.doi.org/10.1016/j.marpol.2018.04.023","http://dx.doi.org/10.1016/j.marpol.2018.04.023")</f>
        <v>http://dx.doi.org/10.1016/j.marpol.2018.04.023</v>
      </c>
      <c r="BG775" t="s">
        <v>74</v>
      </c>
      <c r="BH775" t="s">
        <v>74</v>
      </c>
      <c r="BI775">
        <v>7</v>
      </c>
      <c r="BJ775" t="s">
        <v>9686</v>
      </c>
      <c r="BK775" t="s">
        <v>2020</v>
      </c>
      <c r="BL775" t="s">
        <v>9687</v>
      </c>
      <c r="BM775" t="s">
        <v>14861</v>
      </c>
      <c r="BN775" t="s">
        <v>74</v>
      </c>
      <c r="BO775" t="s">
        <v>1142</v>
      </c>
      <c r="BP775" t="s">
        <v>74</v>
      </c>
      <c r="BQ775" t="s">
        <v>74</v>
      </c>
      <c r="BR775" t="s">
        <v>104</v>
      </c>
      <c r="BS775" t="s">
        <v>14862</v>
      </c>
      <c r="BT775" t="str">
        <f>HYPERLINK("https%3A%2F%2Fwww.webofscience.com%2Fwos%2Fwoscc%2Ffull-record%2FWOS:000434752900020","View Full Record in Web of Science")</f>
        <v>View Full Record in Web of Science</v>
      </c>
    </row>
    <row r="776" spans="1:72" x14ac:dyDescent="0.15">
      <c r="A776" t="s">
        <v>72</v>
      </c>
      <c r="B776" t="s">
        <v>14863</v>
      </c>
      <c r="C776" t="s">
        <v>74</v>
      </c>
      <c r="D776" t="s">
        <v>74</v>
      </c>
      <c r="E776" t="s">
        <v>74</v>
      </c>
      <c r="F776" t="s">
        <v>14864</v>
      </c>
      <c r="G776" t="s">
        <v>74</v>
      </c>
      <c r="H776" t="s">
        <v>74</v>
      </c>
      <c r="I776" t="s">
        <v>14865</v>
      </c>
      <c r="J776" t="s">
        <v>9669</v>
      </c>
      <c r="K776" t="s">
        <v>74</v>
      </c>
      <c r="L776" t="s">
        <v>74</v>
      </c>
      <c r="M776" t="s">
        <v>78</v>
      </c>
      <c r="N776" t="s">
        <v>79</v>
      </c>
      <c r="O776" t="s">
        <v>74</v>
      </c>
      <c r="P776" t="s">
        <v>74</v>
      </c>
      <c r="Q776" t="s">
        <v>74</v>
      </c>
      <c r="R776" t="s">
        <v>74</v>
      </c>
      <c r="S776" t="s">
        <v>74</v>
      </c>
      <c r="T776" t="s">
        <v>14866</v>
      </c>
      <c r="U776" t="s">
        <v>14867</v>
      </c>
      <c r="V776" t="s">
        <v>14868</v>
      </c>
      <c r="W776" t="s">
        <v>14869</v>
      </c>
      <c r="X776" t="s">
        <v>14870</v>
      </c>
      <c r="Y776" t="s">
        <v>14871</v>
      </c>
      <c r="Z776" t="s">
        <v>14872</v>
      </c>
      <c r="AA776" t="s">
        <v>14873</v>
      </c>
      <c r="AB776" t="s">
        <v>14874</v>
      </c>
      <c r="AC776" t="s">
        <v>14875</v>
      </c>
      <c r="AD776" t="s">
        <v>14875</v>
      </c>
      <c r="AE776" t="s">
        <v>14876</v>
      </c>
      <c r="AF776" t="s">
        <v>74</v>
      </c>
      <c r="AG776">
        <v>55</v>
      </c>
      <c r="AH776">
        <v>29</v>
      </c>
      <c r="AI776">
        <v>30</v>
      </c>
      <c r="AJ776">
        <v>3</v>
      </c>
      <c r="AK776">
        <v>30</v>
      </c>
      <c r="AL776" t="s">
        <v>201</v>
      </c>
      <c r="AM776" t="s">
        <v>93</v>
      </c>
      <c r="AN776" t="s">
        <v>202</v>
      </c>
      <c r="AO776" t="s">
        <v>9681</v>
      </c>
      <c r="AP776" t="s">
        <v>9682</v>
      </c>
      <c r="AQ776" t="s">
        <v>74</v>
      </c>
      <c r="AR776" t="s">
        <v>9683</v>
      </c>
      <c r="AS776" t="s">
        <v>9684</v>
      </c>
      <c r="AT776" t="s">
        <v>13121</v>
      </c>
      <c r="AU776">
        <v>2018</v>
      </c>
      <c r="AV776">
        <v>93</v>
      </c>
      <c r="AW776" t="s">
        <v>74</v>
      </c>
      <c r="AX776" t="s">
        <v>74</v>
      </c>
      <c r="AY776" t="s">
        <v>74</v>
      </c>
      <c r="AZ776" t="s">
        <v>74</v>
      </c>
      <c r="BA776" t="s">
        <v>74</v>
      </c>
      <c r="BB776">
        <v>195</v>
      </c>
      <c r="BC776">
        <v>206</v>
      </c>
      <c r="BD776" t="s">
        <v>74</v>
      </c>
      <c r="BE776" t="s">
        <v>14877</v>
      </c>
      <c r="BF776" t="str">
        <f>HYPERLINK("http://dx.doi.org/10.1016/j.marpol.2018.04.010","http://dx.doi.org/10.1016/j.marpol.2018.04.010")</f>
        <v>http://dx.doi.org/10.1016/j.marpol.2018.04.010</v>
      </c>
      <c r="BG776" t="s">
        <v>74</v>
      </c>
      <c r="BH776" t="s">
        <v>74</v>
      </c>
      <c r="BI776">
        <v>12</v>
      </c>
      <c r="BJ776" t="s">
        <v>9686</v>
      </c>
      <c r="BK776" t="s">
        <v>2020</v>
      </c>
      <c r="BL776" t="s">
        <v>9687</v>
      </c>
      <c r="BM776" t="s">
        <v>14861</v>
      </c>
      <c r="BN776" t="s">
        <v>74</v>
      </c>
      <c r="BO776" t="s">
        <v>211</v>
      </c>
      <c r="BP776" t="s">
        <v>74</v>
      </c>
      <c r="BQ776" t="s">
        <v>74</v>
      </c>
      <c r="BR776" t="s">
        <v>104</v>
      </c>
      <c r="BS776" t="s">
        <v>14878</v>
      </c>
      <c r="BT776" t="str">
        <f>HYPERLINK("https%3A%2F%2Fwww.webofscience.com%2Fwos%2Fwoscc%2Ffull-record%2FWOS:000434752900023","View Full Record in Web of Science")</f>
        <v>View Full Record in Web of Science</v>
      </c>
    </row>
    <row r="777" spans="1:72" x14ac:dyDescent="0.15">
      <c r="A777" t="s">
        <v>72</v>
      </c>
      <c r="B777" t="s">
        <v>14879</v>
      </c>
      <c r="C777" t="s">
        <v>74</v>
      </c>
      <c r="D777" t="s">
        <v>74</v>
      </c>
      <c r="E777" t="s">
        <v>74</v>
      </c>
      <c r="F777" t="s">
        <v>14880</v>
      </c>
      <c r="G777" t="s">
        <v>74</v>
      </c>
      <c r="H777" t="s">
        <v>74</v>
      </c>
      <c r="I777" t="s">
        <v>14881</v>
      </c>
      <c r="J777" t="s">
        <v>14882</v>
      </c>
      <c r="K777" t="s">
        <v>74</v>
      </c>
      <c r="L777" t="s">
        <v>74</v>
      </c>
      <c r="M777" t="s">
        <v>78</v>
      </c>
      <c r="N777" t="s">
        <v>79</v>
      </c>
      <c r="O777" t="s">
        <v>74</v>
      </c>
      <c r="P777" t="s">
        <v>74</v>
      </c>
      <c r="Q777" t="s">
        <v>74</v>
      </c>
      <c r="R777" t="s">
        <v>74</v>
      </c>
      <c r="S777" t="s">
        <v>74</v>
      </c>
      <c r="T777" t="s">
        <v>14883</v>
      </c>
      <c r="U777" t="s">
        <v>14884</v>
      </c>
      <c r="V777" t="s">
        <v>14885</v>
      </c>
      <c r="W777" t="s">
        <v>14886</v>
      </c>
      <c r="X777" t="s">
        <v>14887</v>
      </c>
      <c r="Y777" t="s">
        <v>14888</v>
      </c>
      <c r="Z777" t="s">
        <v>14889</v>
      </c>
      <c r="AA777" t="s">
        <v>74</v>
      </c>
      <c r="AB777" t="s">
        <v>14890</v>
      </c>
      <c r="AC777" t="s">
        <v>14891</v>
      </c>
      <c r="AD777" t="s">
        <v>14892</v>
      </c>
      <c r="AE777" t="s">
        <v>14893</v>
      </c>
      <c r="AF777" t="s">
        <v>74</v>
      </c>
      <c r="AG777">
        <v>44</v>
      </c>
      <c r="AH777">
        <v>2</v>
      </c>
      <c r="AI777">
        <v>2</v>
      </c>
      <c r="AJ777">
        <v>1</v>
      </c>
      <c r="AK777">
        <v>9</v>
      </c>
      <c r="AL777" t="s">
        <v>430</v>
      </c>
      <c r="AM777" t="s">
        <v>286</v>
      </c>
      <c r="AN777" t="s">
        <v>431</v>
      </c>
      <c r="AO777" t="s">
        <v>14894</v>
      </c>
      <c r="AP777" t="s">
        <v>14895</v>
      </c>
      <c r="AQ777" t="s">
        <v>74</v>
      </c>
      <c r="AR777" t="s">
        <v>14896</v>
      </c>
      <c r="AS777" t="s">
        <v>14897</v>
      </c>
      <c r="AT777" t="s">
        <v>13121</v>
      </c>
      <c r="AU777">
        <v>2018</v>
      </c>
      <c r="AV777">
        <v>254</v>
      </c>
      <c r="AW777" t="s">
        <v>74</v>
      </c>
      <c r="AX777" t="s">
        <v>74</v>
      </c>
      <c r="AY777" t="s">
        <v>74</v>
      </c>
      <c r="AZ777" t="s">
        <v>74</v>
      </c>
      <c r="BA777" t="s">
        <v>74</v>
      </c>
      <c r="BB777">
        <v>33</v>
      </c>
      <c r="BC777">
        <v>48</v>
      </c>
      <c r="BD777" t="s">
        <v>74</v>
      </c>
      <c r="BE777" t="s">
        <v>14898</v>
      </c>
      <c r="BF777" t="str">
        <f>HYPERLINK("http://dx.doi.org/10.1016/j.revpalbo.2018.04.011","http://dx.doi.org/10.1016/j.revpalbo.2018.04.011")</f>
        <v>http://dx.doi.org/10.1016/j.revpalbo.2018.04.011</v>
      </c>
      <c r="BG777" t="s">
        <v>74</v>
      </c>
      <c r="BH777" t="s">
        <v>74</v>
      </c>
      <c r="BI777">
        <v>16</v>
      </c>
      <c r="BJ777" t="s">
        <v>14899</v>
      </c>
      <c r="BK777" t="s">
        <v>101</v>
      </c>
      <c r="BL777" t="s">
        <v>14899</v>
      </c>
      <c r="BM777" t="s">
        <v>14900</v>
      </c>
      <c r="BN777" t="s">
        <v>74</v>
      </c>
      <c r="BO777" t="s">
        <v>74</v>
      </c>
      <c r="BP777" t="s">
        <v>74</v>
      </c>
      <c r="BQ777" t="s">
        <v>74</v>
      </c>
      <c r="BR777" t="s">
        <v>104</v>
      </c>
      <c r="BS777" t="s">
        <v>14901</v>
      </c>
      <c r="BT777" t="str">
        <f>HYPERLINK("https%3A%2F%2Fwww.webofscience.com%2Fwos%2Fwoscc%2Ffull-record%2FWOS:000436051300004","View Full Record in Web of Science")</f>
        <v>View Full Record in Web of Science</v>
      </c>
    </row>
    <row r="778" spans="1:72" x14ac:dyDescent="0.15">
      <c r="A778" t="s">
        <v>72</v>
      </c>
      <c r="B778" t="s">
        <v>14902</v>
      </c>
      <c r="C778" t="s">
        <v>74</v>
      </c>
      <c r="D778" t="s">
        <v>74</v>
      </c>
      <c r="E778" t="s">
        <v>74</v>
      </c>
      <c r="F778" t="s">
        <v>14903</v>
      </c>
      <c r="G778" t="s">
        <v>74</v>
      </c>
      <c r="H778" t="s">
        <v>74</v>
      </c>
      <c r="I778" t="s">
        <v>14904</v>
      </c>
      <c r="J778" t="s">
        <v>7034</v>
      </c>
      <c r="K778" t="s">
        <v>74</v>
      </c>
      <c r="L778" t="s">
        <v>74</v>
      </c>
      <c r="M778" t="s">
        <v>78</v>
      </c>
      <c r="N778" t="s">
        <v>79</v>
      </c>
      <c r="O778" t="s">
        <v>74</v>
      </c>
      <c r="P778" t="s">
        <v>74</v>
      </c>
      <c r="Q778" t="s">
        <v>74</v>
      </c>
      <c r="R778" t="s">
        <v>74</v>
      </c>
      <c r="S778" t="s">
        <v>74</v>
      </c>
      <c r="T778" t="s">
        <v>14905</v>
      </c>
      <c r="U778" t="s">
        <v>14906</v>
      </c>
      <c r="V778" t="s">
        <v>14907</v>
      </c>
      <c r="W778" t="s">
        <v>14908</v>
      </c>
      <c r="X778" t="s">
        <v>14909</v>
      </c>
      <c r="Y778" t="s">
        <v>14910</v>
      </c>
      <c r="Z778" t="s">
        <v>14911</v>
      </c>
      <c r="AA778" t="s">
        <v>14912</v>
      </c>
      <c r="AB778" t="s">
        <v>14913</v>
      </c>
      <c r="AC778" t="s">
        <v>14914</v>
      </c>
      <c r="AD778" t="s">
        <v>14915</v>
      </c>
      <c r="AE778" t="s">
        <v>14916</v>
      </c>
      <c r="AF778" t="s">
        <v>74</v>
      </c>
      <c r="AG778">
        <v>85</v>
      </c>
      <c r="AH778">
        <v>28</v>
      </c>
      <c r="AI778">
        <v>28</v>
      </c>
      <c r="AJ778">
        <v>0</v>
      </c>
      <c r="AK778">
        <v>8</v>
      </c>
      <c r="AL778" t="s">
        <v>92</v>
      </c>
      <c r="AM778" t="s">
        <v>93</v>
      </c>
      <c r="AN778" t="s">
        <v>94</v>
      </c>
      <c r="AO778" t="s">
        <v>7047</v>
      </c>
      <c r="AP778" t="s">
        <v>7048</v>
      </c>
      <c r="AQ778" t="s">
        <v>74</v>
      </c>
      <c r="AR778" t="s">
        <v>7049</v>
      </c>
      <c r="AS778" t="s">
        <v>7050</v>
      </c>
      <c r="AT778" t="s">
        <v>13121</v>
      </c>
      <c r="AU778">
        <v>2018</v>
      </c>
      <c r="AV778">
        <v>477</v>
      </c>
      <c r="AW778">
        <v>4</v>
      </c>
      <c r="AX778" t="s">
        <v>74</v>
      </c>
      <c r="AY778" t="s">
        <v>74</v>
      </c>
      <c r="AZ778" t="s">
        <v>74</v>
      </c>
      <c r="BA778" t="s">
        <v>74</v>
      </c>
      <c r="BB778">
        <v>4627</v>
      </c>
      <c r="BC778">
        <v>4640</v>
      </c>
      <c r="BD778" t="s">
        <v>74</v>
      </c>
      <c r="BE778" t="s">
        <v>14917</v>
      </c>
      <c r="BF778" t="str">
        <f>HYPERLINK("http://dx.doi.org/10.1093/mnras/sty761","http://dx.doi.org/10.1093/mnras/sty761")</f>
        <v>http://dx.doi.org/10.1093/mnras/sty761</v>
      </c>
      <c r="BG778" t="s">
        <v>74</v>
      </c>
      <c r="BH778" t="s">
        <v>74</v>
      </c>
      <c r="BI778">
        <v>14</v>
      </c>
      <c r="BJ778" t="s">
        <v>1301</v>
      </c>
      <c r="BK778" t="s">
        <v>101</v>
      </c>
      <c r="BL778" t="s">
        <v>1301</v>
      </c>
      <c r="BM778" t="s">
        <v>14918</v>
      </c>
      <c r="BN778" t="s">
        <v>74</v>
      </c>
      <c r="BO778" t="s">
        <v>1818</v>
      </c>
      <c r="BP778" t="s">
        <v>74</v>
      </c>
      <c r="BQ778" t="s">
        <v>74</v>
      </c>
      <c r="BR778" t="s">
        <v>104</v>
      </c>
      <c r="BS778" t="s">
        <v>14919</v>
      </c>
      <c r="BT778" t="str">
        <f>HYPERLINK("https%3A%2F%2Fwww.webofscience.com%2Fwos%2Fwoscc%2Ffull-record%2FWOS:000435630100026","View Full Record in Web of Science")</f>
        <v>View Full Record in Web of Science</v>
      </c>
    </row>
    <row r="779" spans="1:72" x14ac:dyDescent="0.15">
      <c r="A779" t="s">
        <v>72</v>
      </c>
      <c r="B779" t="s">
        <v>14920</v>
      </c>
      <c r="C779" t="s">
        <v>74</v>
      </c>
      <c r="D779" t="s">
        <v>74</v>
      </c>
      <c r="E779" t="s">
        <v>74</v>
      </c>
      <c r="F779" t="s">
        <v>14921</v>
      </c>
      <c r="G779" t="s">
        <v>74</v>
      </c>
      <c r="H779" t="s">
        <v>74</v>
      </c>
      <c r="I779" t="s">
        <v>14922</v>
      </c>
      <c r="J779" t="s">
        <v>14923</v>
      </c>
      <c r="K779" t="s">
        <v>74</v>
      </c>
      <c r="L779" t="s">
        <v>74</v>
      </c>
      <c r="M779" t="s">
        <v>78</v>
      </c>
      <c r="N779" t="s">
        <v>2499</v>
      </c>
      <c r="O779" t="s">
        <v>74</v>
      </c>
      <c r="P779" t="s">
        <v>74</v>
      </c>
      <c r="Q779" t="s">
        <v>74</v>
      </c>
      <c r="R779" t="s">
        <v>74</v>
      </c>
      <c r="S779" t="s">
        <v>74</v>
      </c>
      <c r="T779" t="s">
        <v>74</v>
      </c>
      <c r="U779" t="s">
        <v>74</v>
      </c>
      <c r="V779" t="s">
        <v>74</v>
      </c>
      <c r="W779" t="s">
        <v>14924</v>
      </c>
      <c r="X779" t="s">
        <v>14925</v>
      </c>
      <c r="Y779" t="s">
        <v>14926</v>
      </c>
      <c r="Z779" t="s">
        <v>14927</v>
      </c>
      <c r="AA779" t="s">
        <v>74</v>
      </c>
      <c r="AB779" t="s">
        <v>14928</v>
      </c>
      <c r="AC779" t="s">
        <v>14929</v>
      </c>
      <c r="AD779" t="s">
        <v>14930</v>
      </c>
      <c r="AE779" t="s">
        <v>14931</v>
      </c>
      <c r="AF779" t="s">
        <v>74</v>
      </c>
      <c r="AG779">
        <v>2</v>
      </c>
      <c r="AH779">
        <v>2</v>
      </c>
      <c r="AI779">
        <v>2</v>
      </c>
      <c r="AJ779">
        <v>0</v>
      </c>
      <c r="AK779">
        <v>9</v>
      </c>
      <c r="AL779" t="s">
        <v>1793</v>
      </c>
      <c r="AM779" t="s">
        <v>1794</v>
      </c>
      <c r="AN779" t="s">
        <v>1795</v>
      </c>
      <c r="AO779" t="s">
        <v>14932</v>
      </c>
      <c r="AP779" t="s">
        <v>14933</v>
      </c>
      <c r="AQ779" t="s">
        <v>74</v>
      </c>
      <c r="AR779" t="s">
        <v>14934</v>
      </c>
      <c r="AS779" t="s">
        <v>14935</v>
      </c>
      <c r="AT779" t="s">
        <v>13121</v>
      </c>
      <c r="AU779">
        <v>2018</v>
      </c>
      <c r="AV779">
        <v>35</v>
      </c>
      <c r="AW779">
        <v>7</v>
      </c>
      <c r="AX779" t="s">
        <v>74</v>
      </c>
      <c r="AY779" t="s">
        <v>74</v>
      </c>
      <c r="AZ779" t="s">
        <v>74</v>
      </c>
      <c r="BA779" t="s">
        <v>74</v>
      </c>
      <c r="BB779">
        <v>753</v>
      </c>
      <c r="BC779">
        <v>756</v>
      </c>
      <c r="BD779" t="s">
        <v>74</v>
      </c>
      <c r="BE779" t="s">
        <v>14936</v>
      </c>
      <c r="BF779" t="str">
        <f>HYPERLINK("http://dx.doi.org/10.1007/s00376-018-8061-2","http://dx.doi.org/10.1007/s00376-018-8061-2")</f>
        <v>http://dx.doi.org/10.1007/s00376-018-8061-2</v>
      </c>
      <c r="BG779" t="s">
        <v>74</v>
      </c>
      <c r="BH779" t="s">
        <v>74</v>
      </c>
      <c r="BI779">
        <v>4</v>
      </c>
      <c r="BJ779" t="s">
        <v>369</v>
      </c>
      <c r="BK779" t="s">
        <v>101</v>
      </c>
      <c r="BL779" t="s">
        <v>369</v>
      </c>
      <c r="BM779" t="s">
        <v>14937</v>
      </c>
      <c r="BN779" t="s">
        <v>74</v>
      </c>
      <c r="BO779" t="s">
        <v>712</v>
      </c>
      <c r="BP779" t="s">
        <v>74</v>
      </c>
      <c r="BQ779" t="s">
        <v>74</v>
      </c>
      <c r="BR779" t="s">
        <v>104</v>
      </c>
      <c r="BS779" t="s">
        <v>14938</v>
      </c>
      <c r="BT779" t="str">
        <f>HYPERLINK("https%3A%2F%2Fwww.webofscience.com%2Fwos%2Fwoscc%2Ffull-record%2FWOS:000432691200001","View Full Record in Web of Science")</f>
        <v>View Full Record in Web of Science</v>
      </c>
    </row>
    <row r="780" spans="1:72" x14ac:dyDescent="0.15">
      <c r="A780" t="s">
        <v>72</v>
      </c>
      <c r="B780" t="s">
        <v>14939</v>
      </c>
      <c r="C780" t="s">
        <v>74</v>
      </c>
      <c r="D780" t="s">
        <v>74</v>
      </c>
      <c r="E780" t="s">
        <v>74</v>
      </c>
      <c r="F780" t="s">
        <v>14940</v>
      </c>
      <c r="G780" t="s">
        <v>74</v>
      </c>
      <c r="H780" t="s">
        <v>74</v>
      </c>
      <c r="I780" t="s">
        <v>14941</v>
      </c>
      <c r="J780" t="s">
        <v>14923</v>
      </c>
      <c r="K780" t="s">
        <v>74</v>
      </c>
      <c r="L780" t="s">
        <v>74</v>
      </c>
      <c r="M780" t="s">
        <v>78</v>
      </c>
      <c r="N780" t="s">
        <v>79</v>
      </c>
      <c r="O780" t="s">
        <v>74</v>
      </c>
      <c r="P780" t="s">
        <v>74</v>
      </c>
      <c r="Q780" t="s">
        <v>74</v>
      </c>
      <c r="R780" t="s">
        <v>74</v>
      </c>
      <c r="S780" t="s">
        <v>74</v>
      </c>
      <c r="T780" t="s">
        <v>14942</v>
      </c>
      <c r="U780" t="s">
        <v>14943</v>
      </c>
      <c r="V780" t="s">
        <v>14944</v>
      </c>
      <c r="W780" t="s">
        <v>14945</v>
      </c>
      <c r="X780" t="s">
        <v>14946</v>
      </c>
      <c r="Y780" t="s">
        <v>14947</v>
      </c>
      <c r="Z780" t="s">
        <v>14948</v>
      </c>
      <c r="AA780" t="s">
        <v>14949</v>
      </c>
      <c r="AB780" t="s">
        <v>14950</v>
      </c>
      <c r="AC780" t="s">
        <v>14951</v>
      </c>
      <c r="AD780" t="s">
        <v>14952</v>
      </c>
      <c r="AE780" t="s">
        <v>14953</v>
      </c>
      <c r="AF780" t="s">
        <v>74</v>
      </c>
      <c r="AG780">
        <v>60</v>
      </c>
      <c r="AH780">
        <v>8</v>
      </c>
      <c r="AI780">
        <v>8</v>
      </c>
      <c r="AJ780">
        <v>3</v>
      </c>
      <c r="AK780">
        <v>32</v>
      </c>
      <c r="AL780" t="s">
        <v>1793</v>
      </c>
      <c r="AM780" t="s">
        <v>1794</v>
      </c>
      <c r="AN780" t="s">
        <v>1795</v>
      </c>
      <c r="AO780" t="s">
        <v>14932</v>
      </c>
      <c r="AP780" t="s">
        <v>14933</v>
      </c>
      <c r="AQ780" t="s">
        <v>74</v>
      </c>
      <c r="AR780" t="s">
        <v>14934</v>
      </c>
      <c r="AS780" t="s">
        <v>14935</v>
      </c>
      <c r="AT780" t="s">
        <v>13121</v>
      </c>
      <c r="AU780">
        <v>2018</v>
      </c>
      <c r="AV780">
        <v>35</v>
      </c>
      <c r="AW780">
        <v>7</v>
      </c>
      <c r="AX780" t="s">
        <v>74</v>
      </c>
      <c r="AY780" t="s">
        <v>74</v>
      </c>
      <c r="AZ780" t="s">
        <v>74</v>
      </c>
      <c r="BA780" t="s">
        <v>74</v>
      </c>
      <c r="BB780">
        <v>881</v>
      </c>
      <c r="BC780">
        <v>895</v>
      </c>
      <c r="BD780" t="s">
        <v>74</v>
      </c>
      <c r="BE780" t="s">
        <v>14954</v>
      </c>
      <c r="BF780" t="str">
        <f>HYPERLINK("http://dx.doi.org/10.1007/s00376-017-7162-7","http://dx.doi.org/10.1007/s00376-017-7162-7")</f>
        <v>http://dx.doi.org/10.1007/s00376-017-7162-7</v>
      </c>
      <c r="BG780" t="s">
        <v>74</v>
      </c>
      <c r="BH780" t="s">
        <v>74</v>
      </c>
      <c r="BI780">
        <v>15</v>
      </c>
      <c r="BJ780" t="s">
        <v>369</v>
      </c>
      <c r="BK780" t="s">
        <v>101</v>
      </c>
      <c r="BL780" t="s">
        <v>369</v>
      </c>
      <c r="BM780" t="s">
        <v>14937</v>
      </c>
      <c r="BN780" t="s">
        <v>74</v>
      </c>
      <c r="BO780" t="s">
        <v>74</v>
      </c>
      <c r="BP780" t="s">
        <v>74</v>
      </c>
      <c r="BQ780" t="s">
        <v>74</v>
      </c>
      <c r="BR780" t="s">
        <v>104</v>
      </c>
      <c r="BS780" t="s">
        <v>14955</v>
      </c>
      <c r="BT780" t="str">
        <f>HYPERLINK("https%3A%2F%2Fwww.webofscience.com%2Fwos%2Fwoscc%2Ffull-record%2FWOS:000432691200011","View Full Record in Web of Science")</f>
        <v>View Full Record in Web of Science</v>
      </c>
    </row>
    <row r="781" spans="1:72" x14ac:dyDescent="0.15">
      <c r="A781" t="s">
        <v>72</v>
      </c>
      <c r="B781" t="s">
        <v>14956</v>
      </c>
      <c r="C781" t="s">
        <v>74</v>
      </c>
      <c r="D781" t="s">
        <v>74</v>
      </c>
      <c r="E781" t="s">
        <v>74</v>
      </c>
      <c r="F781" t="s">
        <v>14957</v>
      </c>
      <c r="G781" t="s">
        <v>74</v>
      </c>
      <c r="H781" t="s">
        <v>74</v>
      </c>
      <c r="I781" t="s">
        <v>14958</v>
      </c>
      <c r="J781" t="s">
        <v>14959</v>
      </c>
      <c r="K781" t="s">
        <v>74</v>
      </c>
      <c r="L781" t="s">
        <v>74</v>
      </c>
      <c r="M781" t="s">
        <v>78</v>
      </c>
      <c r="N781" t="s">
        <v>2499</v>
      </c>
      <c r="O781" t="s">
        <v>74</v>
      </c>
      <c r="P781" t="s">
        <v>74</v>
      </c>
      <c r="Q781" t="s">
        <v>74</v>
      </c>
      <c r="R781" t="s">
        <v>74</v>
      </c>
      <c r="S781" t="s">
        <v>74</v>
      </c>
      <c r="T781" t="s">
        <v>74</v>
      </c>
      <c r="U781" t="s">
        <v>74</v>
      </c>
      <c r="V781" t="s">
        <v>74</v>
      </c>
      <c r="W781" t="s">
        <v>74</v>
      </c>
      <c r="X781" t="s">
        <v>74</v>
      </c>
      <c r="Y781" t="s">
        <v>74</v>
      </c>
      <c r="Z781" t="s">
        <v>14960</v>
      </c>
      <c r="AA781" t="s">
        <v>74</v>
      </c>
      <c r="AB781" t="s">
        <v>74</v>
      </c>
      <c r="AC781" t="s">
        <v>74</v>
      </c>
      <c r="AD781" t="s">
        <v>74</v>
      </c>
      <c r="AE781" t="s">
        <v>74</v>
      </c>
      <c r="AF781" t="s">
        <v>74</v>
      </c>
      <c r="AG781">
        <v>0</v>
      </c>
      <c r="AH781">
        <v>0</v>
      </c>
      <c r="AI781">
        <v>0</v>
      </c>
      <c r="AJ781">
        <v>0</v>
      </c>
      <c r="AK781">
        <v>1</v>
      </c>
      <c r="AL781" t="s">
        <v>14961</v>
      </c>
      <c r="AM781" t="s">
        <v>14962</v>
      </c>
      <c r="AN781" t="s">
        <v>14963</v>
      </c>
      <c r="AO781" t="s">
        <v>14964</v>
      </c>
      <c r="AP781" t="s">
        <v>74</v>
      </c>
      <c r="AQ781" t="s">
        <v>74</v>
      </c>
      <c r="AR781" t="s">
        <v>14965</v>
      </c>
      <c r="AS781" t="s">
        <v>14966</v>
      </c>
      <c r="AT781" t="s">
        <v>13458</v>
      </c>
      <c r="AU781">
        <v>2018</v>
      </c>
      <c r="AV781">
        <v>56</v>
      </c>
      <c r="AW781">
        <v>7</v>
      </c>
      <c r="AX781" t="s">
        <v>74</v>
      </c>
      <c r="AY781" t="s">
        <v>74</v>
      </c>
      <c r="AZ781" t="s">
        <v>74</v>
      </c>
      <c r="BA781" t="s">
        <v>74</v>
      </c>
      <c r="BB781">
        <v>8</v>
      </c>
      <c r="BC781">
        <v>8</v>
      </c>
      <c r="BD781" t="s">
        <v>74</v>
      </c>
      <c r="BE781" t="s">
        <v>74</v>
      </c>
      <c r="BF781" t="s">
        <v>74</v>
      </c>
      <c r="BG781" t="s">
        <v>74</v>
      </c>
      <c r="BH781" t="s">
        <v>74</v>
      </c>
      <c r="BI781">
        <v>1</v>
      </c>
      <c r="BJ781" t="s">
        <v>14967</v>
      </c>
      <c r="BK781" t="s">
        <v>101</v>
      </c>
      <c r="BL781" t="s">
        <v>4854</v>
      </c>
      <c r="BM781" t="s">
        <v>14968</v>
      </c>
      <c r="BN781" t="s">
        <v>74</v>
      </c>
      <c r="BO781" t="s">
        <v>74</v>
      </c>
      <c r="BP781" t="s">
        <v>74</v>
      </c>
      <c r="BQ781" t="s">
        <v>74</v>
      </c>
      <c r="BR781" t="s">
        <v>104</v>
      </c>
      <c r="BS781" t="s">
        <v>14969</v>
      </c>
      <c r="BT781" t="str">
        <f>HYPERLINK("https%3A%2F%2Fwww.webofscience.com%2Fwos%2Fwoscc%2Ffull-record%2FWOS:000446028300003","View Full Record in Web of Science")</f>
        <v>View Full Record in Web of Science</v>
      </c>
    </row>
    <row r="782" spans="1:72" x14ac:dyDescent="0.15">
      <c r="A782" t="s">
        <v>72</v>
      </c>
      <c r="B782" t="s">
        <v>14970</v>
      </c>
      <c r="C782" t="s">
        <v>74</v>
      </c>
      <c r="D782" t="s">
        <v>74</v>
      </c>
      <c r="E782" t="s">
        <v>74</v>
      </c>
      <c r="F782" t="s">
        <v>14971</v>
      </c>
      <c r="G782" t="s">
        <v>74</v>
      </c>
      <c r="H782" t="s">
        <v>74</v>
      </c>
      <c r="I782" t="s">
        <v>14972</v>
      </c>
      <c r="J782" t="s">
        <v>14973</v>
      </c>
      <c r="K782" t="s">
        <v>74</v>
      </c>
      <c r="L782" t="s">
        <v>74</v>
      </c>
      <c r="M782" t="s">
        <v>78</v>
      </c>
      <c r="N782" t="s">
        <v>133</v>
      </c>
      <c r="O782" t="s">
        <v>14974</v>
      </c>
      <c r="P782" t="s">
        <v>14975</v>
      </c>
      <c r="Q782" t="s">
        <v>14976</v>
      </c>
      <c r="R782" t="s">
        <v>74</v>
      </c>
      <c r="S782" t="s">
        <v>74</v>
      </c>
      <c r="T782" t="s">
        <v>74</v>
      </c>
      <c r="U782" t="s">
        <v>14977</v>
      </c>
      <c r="V782" t="s">
        <v>14978</v>
      </c>
      <c r="W782" t="s">
        <v>14979</v>
      </c>
      <c r="X782" t="s">
        <v>14980</v>
      </c>
      <c r="Y782" t="s">
        <v>14981</v>
      </c>
      <c r="Z782" t="s">
        <v>14982</v>
      </c>
      <c r="AA782" t="s">
        <v>14983</v>
      </c>
      <c r="AB782" t="s">
        <v>14984</v>
      </c>
      <c r="AC782" t="s">
        <v>14985</v>
      </c>
      <c r="AD782" t="s">
        <v>14986</v>
      </c>
      <c r="AE782" t="s">
        <v>14987</v>
      </c>
      <c r="AF782" t="s">
        <v>74</v>
      </c>
      <c r="AG782">
        <v>66</v>
      </c>
      <c r="AH782">
        <v>10</v>
      </c>
      <c r="AI782">
        <v>10</v>
      </c>
      <c r="AJ782">
        <v>1</v>
      </c>
      <c r="AK782">
        <v>11</v>
      </c>
      <c r="AL782" t="s">
        <v>14988</v>
      </c>
      <c r="AM782" t="s">
        <v>14989</v>
      </c>
      <c r="AN782" t="s">
        <v>14990</v>
      </c>
      <c r="AO782" t="s">
        <v>14991</v>
      </c>
      <c r="AP782" t="s">
        <v>14992</v>
      </c>
      <c r="AQ782" t="s">
        <v>74</v>
      </c>
      <c r="AR782" t="s">
        <v>14993</v>
      </c>
      <c r="AS782" t="s">
        <v>14994</v>
      </c>
      <c r="AT782" t="s">
        <v>13121</v>
      </c>
      <c r="AU782">
        <v>2018</v>
      </c>
      <c r="AV782">
        <v>94</v>
      </c>
      <c r="AW782">
        <v>3</v>
      </c>
      <c r="AX782" t="s">
        <v>74</v>
      </c>
      <c r="AY782" t="s">
        <v>74</v>
      </c>
      <c r="AZ782" t="s">
        <v>74</v>
      </c>
      <c r="BA782" t="s">
        <v>74</v>
      </c>
      <c r="BB782">
        <v>619</v>
      </c>
      <c r="BC782">
        <v>633</v>
      </c>
      <c r="BD782" t="s">
        <v>74</v>
      </c>
      <c r="BE782" t="s">
        <v>14995</v>
      </c>
      <c r="BF782" t="str">
        <f>HYPERLINK("http://dx.doi.org/10.5343/bms.2017.1136","http://dx.doi.org/10.5343/bms.2017.1136")</f>
        <v>http://dx.doi.org/10.5343/bms.2017.1136</v>
      </c>
      <c r="BG782" t="s">
        <v>74</v>
      </c>
      <c r="BH782" t="s">
        <v>74</v>
      </c>
      <c r="BI782">
        <v>15</v>
      </c>
      <c r="BJ782" t="s">
        <v>1838</v>
      </c>
      <c r="BK782" t="s">
        <v>158</v>
      </c>
      <c r="BL782" t="s">
        <v>1838</v>
      </c>
      <c r="BM782" t="s">
        <v>14996</v>
      </c>
      <c r="BN782" t="s">
        <v>74</v>
      </c>
      <c r="BO782" t="s">
        <v>74</v>
      </c>
      <c r="BP782" t="s">
        <v>74</v>
      </c>
      <c r="BQ782" t="s">
        <v>74</v>
      </c>
      <c r="BR782" t="s">
        <v>104</v>
      </c>
      <c r="BS782" t="s">
        <v>14997</v>
      </c>
      <c r="BT782" t="str">
        <f>HYPERLINK("https%3A%2F%2Fwww.webofscience.com%2Fwos%2Fwoscc%2Ffull-record%2FWOS:000447254900009","View Full Record in Web of Science")</f>
        <v>View Full Record in Web of Science</v>
      </c>
    </row>
    <row r="783" spans="1:72" x14ac:dyDescent="0.15">
      <c r="A783" t="s">
        <v>72</v>
      </c>
      <c r="B783" t="s">
        <v>14998</v>
      </c>
      <c r="C783" t="s">
        <v>74</v>
      </c>
      <c r="D783" t="s">
        <v>74</v>
      </c>
      <c r="E783" t="s">
        <v>74</v>
      </c>
      <c r="F783" t="s">
        <v>14999</v>
      </c>
      <c r="G783" t="s">
        <v>74</v>
      </c>
      <c r="H783" t="s">
        <v>74</v>
      </c>
      <c r="I783" t="s">
        <v>15000</v>
      </c>
      <c r="J783" t="s">
        <v>1482</v>
      </c>
      <c r="K783" t="s">
        <v>74</v>
      </c>
      <c r="L783" t="s">
        <v>74</v>
      </c>
      <c r="M783" t="s">
        <v>78</v>
      </c>
      <c r="N783" t="s">
        <v>79</v>
      </c>
      <c r="O783" t="s">
        <v>74</v>
      </c>
      <c r="P783" t="s">
        <v>74</v>
      </c>
      <c r="Q783" t="s">
        <v>74</v>
      </c>
      <c r="R783" t="s">
        <v>74</v>
      </c>
      <c r="S783" t="s">
        <v>74</v>
      </c>
      <c r="T783" t="s">
        <v>15001</v>
      </c>
      <c r="U783" t="s">
        <v>15002</v>
      </c>
      <c r="V783" t="s">
        <v>15003</v>
      </c>
      <c r="W783" t="s">
        <v>15004</v>
      </c>
      <c r="X783" t="s">
        <v>15005</v>
      </c>
      <c r="Y783" t="s">
        <v>15006</v>
      </c>
      <c r="Z783" t="s">
        <v>15007</v>
      </c>
      <c r="AA783" t="s">
        <v>15008</v>
      </c>
      <c r="AB783" t="s">
        <v>15009</v>
      </c>
      <c r="AC783" t="s">
        <v>15010</v>
      </c>
      <c r="AD783" t="s">
        <v>15011</v>
      </c>
      <c r="AE783" t="s">
        <v>15012</v>
      </c>
      <c r="AF783" t="s">
        <v>74</v>
      </c>
      <c r="AG783">
        <v>61</v>
      </c>
      <c r="AH783">
        <v>10</v>
      </c>
      <c r="AI783">
        <v>13</v>
      </c>
      <c r="AJ783">
        <v>1</v>
      </c>
      <c r="AK783">
        <v>19</v>
      </c>
      <c r="AL783" t="s">
        <v>758</v>
      </c>
      <c r="AM783" t="s">
        <v>759</v>
      </c>
      <c r="AN783" t="s">
        <v>760</v>
      </c>
      <c r="AO783" t="s">
        <v>1495</v>
      </c>
      <c r="AP783" t="s">
        <v>74</v>
      </c>
      <c r="AQ783" t="s">
        <v>74</v>
      </c>
      <c r="AR783" t="s">
        <v>1496</v>
      </c>
      <c r="AS783" t="s">
        <v>1497</v>
      </c>
      <c r="AT783" t="s">
        <v>13121</v>
      </c>
      <c r="AU783">
        <v>2018</v>
      </c>
      <c r="AV783">
        <v>8</v>
      </c>
      <c r="AW783">
        <v>14</v>
      </c>
      <c r="AX783" t="s">
        <v>74</v>
      </c>
      <c r="AY783" t="s">
        <v>74</v>
      </c>
      <c r="AZ783" t="s">
        <v>74</v>
      </c>
      <c r="BA783" t="s">
        <v>74</v>
      </c>
      <c r="BB783">
        <v>7031</v>
      </c>
      <c r="BC783">
        <v>7043</v>
      </c>
      <c r="BD783" t="s">
        <v>74</v>
      </c>
      <c r="BE783" t="s">
        <v>15013</v>
      </c>
      <c r="BF783" t="str">
        <f>HYPERLINK("http://dx.doi.org/10.1002/ece3.4223","http://dx.doi.org/10.1002/ece3.4223")</f>
        <v>http://dx.doi.org/10.1002/ece3.4223</v>
      </c>
      <c r="BG783" t="s">
        <v>74</v>
      </c>
      <c r="BH783" t="s">
        <v>74</v>
      </c>
      <c r="BI783">
        <v>13</v>
      </c>
      <c r="BJ783" t="s">
        <v>1499</v>
      </c>
      <c r="BK783" t="s">
        <v>101</v>
      </c>
      <c r="BL783" t="s">
        <v>1500</v>
      </c>
      <c r="BM783" t="s">
        <v>15014</v>
      </c>
      <c r="BN783">
        <v>30073065</v>
      </c>
      <c r="BO783" t="s">
        <v>9552</v>
      </c>
      <c r="BP783" t="s">
        <v>74</v>
      </c>
      <c r="BQ783" t="s">
        <v>74</v>
      </c>
      <c r="BR783" t="s">
        <v>104</v>
      </c>
      <c r="BS783" t="s">
        <v>15015</v>
      </c>
      <c r="BT783" t="str">
        <f>HYPERLINK("https%3A%2F%2Fwww.webofscience.com%2Fwos%2Fwoscc%2Ffull-record%2FWOS:000440138400017","View Full Record in Web of Science")</f>
        <v>View Full Record in Web of Science</v>
      </c>
    </row>
    <row r="784" spans="1:72" x14ac:dyDescent="0.15">
      <c r="A784" t="s">
        <v>72</v>
      </c>
      <c r="B784" t="s">
        <v>15016</v>
      </c>
      <c r="C784" t="s">
        <v>74</v>
      </c>
      <c r="D784" t="s">
        <v>74</v>
      </c>
      <c r="E784" t="s">
        <v>74</v>
      </c>
      <c r="F784" t="s">
        <v>15017</v>
      </c>
      <c r="G784" t="s">
        <v>74</v>
      </c>
      <c r="H784" t="s">
        <v>74</v>
      </c>
      <c r="I784" t="s">
        <v>15018</v>
      </c>
      <c r="J784" t="s">
        <v>15019</v>
      </c>
      <c r="K784" t="s">
        <v>74</v>
      </c>
      <c r="L784" t="s">
        <v>74</v>
      </c>
      <c r="M784" t="s">
        <v>78</v>
      </c>
      <c r="N784" t="s">
        <v>79</v>
      </c>
      <c r="O784" t="s">
        <v>74</v>
      </c>
      <c r="P784" t="s">
        <v>74</v>
      </c>
      <c r="Q784" t="s">
        <v>74</v>
      </c>
      <c r="R784" t="s">
        <v>74</v>
      </c>
      <c r="S784" t="s">
        <v>74</v>
      </c>
      <c r="T784" t="s">
        <v>15020</v>
      </c>
      <c r="U784" t="s">
        <v>15021</v>
      </c>
      <c r="V784" t="s">
        <v>15022</v>
      </c>
      <c r="W784" t="s">
        <v>15023</v>
      </c>
      <c r="X784" t="s">
        <v>15024</v>
      </c>
      <c r="Y784" t="s">
        <v>15025</v>
      </c>
      <c r="Z784" t="s">
        <v>15026</v>
      </c>
      <c r="AA784" t="s">
        <v>15027</v>
      </c>
      <c r="AB784" t="s">
        <v>15028</v>
      </c>
      <c r="AC784" t="s">
        <v>15029</v>
      </c>
      <c r="AD784" t="s">
        <v>15030</v>
      </c>
      <c r="AE784" t="s">
        <v>15031</v>
      </c>
      <c r="AF784" t="s">
        <v>74</v>
      </c>
      <c r="AG784">
        <v>87</v>
      </c>
      <c r="AH784">
        <v>18</v>
      </c>
      <c r="AI784">
        <v>18</v>
      </c>
      <c r="AJ784">
        <v>0</v>
      </c>
      <c r="AK784">
        <v>44</v>
      </c>
      <c r="AL784" t="s">
        <v>758</v>
      </c>
      <c r="AM784" t="s">
        <v>759</v>
      </c>
      <c r="AN784" t="s">
        <v>760</v>
      </c>
      <c r="AO784" t="s">
        <v>15032</v>
      </c>
      <c r="AP784" t="s">
        <v>74</v>
      </c>
      <c r="AQ784" t="s">
        <v>74</v>
      </c>
      <c r="AR784" t="s">
        <v>15033</v>
      </c>
      <c r="AS784" t="s">
        <v>15034</v>
      </c>
      <c r="AT784" t="s">
        <v>13121</v>
      </c>
      <c r="AU784">
        <v>2018</v>
      </c>
      <c r="AV784">
        <v>11</v>
      </c>
      <c r="AW784">
        <v>6</v>
      </c>
      <c r="AX784" t="s">
        <v>74</v>
      </c>
      <c r="AY784" t="s">
        <v>74</v>
      </c>
      <c r="AZ784" t="s">
        <v>74</v>
      </c>
      <c r="BA784" t="s">
        <v>74</v>
      </c>
      <c r="BB784">
        <v>978</v>
      </c>
      <c r="BC784">
        <v>994</v>
      </c>
      <c r="BD784" t="s">
        <v>74</v>
      </c>
      <c r="BE784" t="s">
        <v>15035</v>
      </c>
      <c r="BF784" t="str">
        <f>HYPERLINK("http://dx.doi.org/10.1111/eva.12613","http://dx.doi.org/10.1111/eva.12613")</f>
        <v>http://dx.doi.org/10.1111/eva.12613</v>
      </c>
      <c r="BG784" t="s">
        <v>74</v>
      </c>
      <c r="BH784" t="s">
        <v>74</v>
      </c>
      <c r="BI784">
        <v>17</v>
      </c>
      <c r="BJ784" t="s">
        <v>15036</v>
      </c>
      <c r="BK784" t="s">
        <v>101</v>
      </c>
      <c r="BL784" t="s">
        <v>15036</v>
      </c>
      <c r="BM784" t="s">
        <v>15037</v>
      </c>
      <c r="BN784">
        <v>29928304</v>
      </c>
      <c r="BO784" t="s">
        <v>1502</v>
      </c>
      <c r="BP784" t="s">
        <v>74</v>
      </c>
      <c r="BQ784" t="s">
        <v>74</v>
      </c>
      <c r="BR784" t="s">
        <v>104</v>
      </c>
      <c r="BS784" t="s">
        <v>15038</v>
      </c>
      <c r="BT784" t="str">
        <f>HYPERLINK("https%3A%2F%2Fwww.webofscience.com%2Fwos%2Fwoscc%2Ffull-record%2FWOS:000435084900013","View Full Record in Web of Science")</f>
        <v>View Full Record in Web of Science</v>
      </c>
    </row>
    <row r="785" spans="1:72" x14ac:dyDescent="0.15">
      <c r="A785" t="s">
        <v>72</v>
      </c>
      <c r="B785" t="s">
        <v>15039</v>
      </c>
      <c r="C785" t="s">
        <v>74</v>
      </c>
      <c r="D785" t="s">
        <v>74</v>
      </c>
      <c r="E785" t="s">
        <v>74</v>
      </c>
      <c r="F785" t="s">
        <v>15040</v>
      </c>
      <c r="G785" t="s">
        <v>74</v>
      </c>
      <c r="H785" t="s">
        <v>74</v>
      </c>
      <c r="I785" t="s">
        <v>15041</v>
      </c>
      <c r="J785" t="s">
        <v>616</v>
      </c>
      <c r="K785" t="s">
        <v>74</v>
      </c>
      <c r="L785" t="s">
        <v>74</v>
      </c>
      <c r="M785" t="s">
        <v>78</v>
      </c>
      <c r="N785" t="s">
        <v>79</v>
      </c>
      <c r="O785" t="s">
        <v>74</v>
      </c>
      <c r="P785" t="s">
        <v>74</v>
      </c>
      <c r="Q785" t="s">
        <v>74</v>
      </c>
      <c r="R785" t="s">
        <v>74</v>
      </c>
      <c r="S785" t="s">
        <v>74</v>
      </c>
      <c r="T785" t="s">
        <v>15042</v>
      </c>
      <c r="U785" t="s">
        <v>15043</v>
      </c>
      <c r="V785" t="s">
        <v>15044</v>
      </c>
      <c r="W785" t="s">
        <v>15045</v>
      </c>
      <c r="X785" t="s">
        <v>15046</v>
      </c>
      <c r="Y785" t="s">
        <v>15047</v>
      </c>
      <c r="Z785" t="s">
        <v>15048</v>
      </c>
      <c r="AA785" t="s">
        <v>74</v>
      </c>
      <c r="AB785" t="s">
        <v>15049</v>
      </c>
      <c r="AC785" t="s">
        <v>15050</v>
      </c>
      <c r="AD785" t="s">
        <v>15051</v>
      </c>
      <c r="AE785" t="s">
        <v>15052</v>
      </c>
      <c r="AF785" t="s">
        <v>74</v>
      </c>
      <c r="AG785">
        <v>123</v>
      </c>
      <c r="AH785">
        <v>14</v>
      </c>
      <c r="AI785">
        <v>15</v>
      </c>
      <c r="AJ785">
        <v>8</v>
      </c>
      <c r="AK785">
        <v>57</v>
      </c>
      <c r="AL785" t="s">
        <v>92</v>
      </c>
      <c r="AM785" t="s">
        <v>93</v>
      </c>
      <c r="AN785" t="s">
        <v>94</v>
      </c>
      <c r="AO785" t="s">
        <v>628</v>
      </c>
      <c r="AP785" t="s">
        <v>629</v>
      </c>
      <c r="AQ785" t="s">
        <v>74</v>
      </c>
      <c r="AR785" t="s">
        <v>630</v>
      </c>
      <c r="AS785" t="s">
        <v>631</v>
      </c>
      <c r="AT785" t="s">
        <v>13121</v>
      </c>
      <c r="AU785">
        <v>2018</v>
      </c>
      <c r="AV785">
        <v>94</v>
      </c>
      <c r="AW785">
        <v>7</v>
      </c>
      <c r="AX785" t="s">
        <v>74</v>
      </c>
      <c r="AY785" t="s">
        <v>74</v>
      </c>
      <c r="AZ785" t="s">
        <v>74</v>
      </c>
      <c r="BA785" t="s">
        <v>74</v>
      </c>
      <c r="BB785" t="s">
        <v>74</v>
      </c>
      <c r="BC785" t="s">
        <v>74</v>
      </c>
      <c r="BD785" t="s">
        <v>15053</v>
      </c>
      <c r="BE785" t="s">
        <v>15054</v>
      </c>
      <c r="BF785" t="str">
        <f>HYPERLINK("http://dx.doi.org/10.1093/femsec/fiy102","http://dx.doi.org/10.1093/femsec/fiy102")</f>
        <v>http://dx.doi.org/10.1093/femsec/fiy102</v>
      </c>
      <c r="BG785" t="s">
        <v>74</v>
      </c>
      <c r="BH785" t="s">
        <v>74</v>
      </c>
      <c r="BI785">
        <v>16</v>
      </c>
      <c r="BJ785" t="s">
        <v>344</v>
      </c>
      <c r="BK785" t="s">
        <v>101</v>
      </c>
      <c r="BL785" t="s">
        <v>344</v>
      </c>
      <c r="BM785" t="s">
        <v>14222</v>
      </c>
      <c r="BN785">
        <v>29868789</v>
      </c>
      <c r="BO785" t="s">
        <v>712</v>
      </c>
      <c r="BP785" t="s">
        <v>74</v>
      </c>
      <c r="BQ785" t="s">
        <v>74</v>
      </c>
      <c r="BR785" t="s">
        <v>104</v>
      </c>
      <c r="BS785" t="s">
        <v>15055</v>
      </c>
      <c r="BT785" t="str">
        <f>HYPERLINK("https%3A%2F%2Fwww.webofscience.com%2Fwos%2Fwoscc%2Ffull-record%2FWOS:000439792600020","View Full Record in Web of Science")</f>
        <v>View Full Record in Web of Science</v>
      </c>
    </row>
    <row r="786" spans="1:72" x14ac:dyDescent="0.15">
      <c r="A786" t="s">
        <v>72</v>
      </c>
      <c r="B786" t="s">
        <v>15056</v>
      </c>
      <c r="C786" t="s">
        <v>74</v>
      </c>
      <c r="D786" t="s">
        <v>74</v>
      </c>
      <c r="E786" t="s">
        <v>74</v>
      </c>
      <c r="F786" t="s">
        <v>15057</v>
      </c>
      <c r="G786" t="s">
        <v>74</v>
      </c>
      <c r="H786" t="s">
        <v>74</v>
      </c>
      <c r="I786" t="s">
        <v>15058</v>
      </c>
      <c r="J786" t="s">
        <v>4011</v>
      </c>
      <c r="K786" t="s">
        <v>74</v>
      </c>
      <c r="L786" t="s">
        <v>74</v>
      </c>
      <c r="M786" t="s">
        <v>78</v>
      </c>
      <c r="N786" t="s">
        <v>79</v>
      </c>
      <c r="O786" t="s">
        <v>74</v>
      </c>
      <c r="P786" t="s">
        <v>74</v>
      </c>
      <c r="Q786" t="s">
        <v>74</v>
      </c>
      <c r="R786" t="s">
        <v>74</v>
      </c>
      <c r="S786" t="s">
        <v>74</v>
      </c>
      <c r="T786" t="s">
        <v>15059</v>
      </c>
      <c r="U786" t="s">
        <v>15060</v>
      </c>
      <c r="V786" t="s">
        <v>15061</v>
      </c>
      <c r="W786" t="s">
        <v>15062</v>
      </c>
      <c r="X786" t="s">
        <v>15063</v>
      </c>
      <c r="Y786" t="s">
        <v>15064</v>
      </c>
      <c r="Z786" t="s">
        <v>15065</v>
      </c>
      <c r="AA786" t="s">
        <v>15066</v>
      </c>
      <c r="AB786" t="s">
        <v>15067</v>
      </c>
      <c r="AC786" t="s">
        <v>15068</v>
      </c>
      <c r="AD786" t="s">
        <v>15069</v>
      </c>
      <c r="AE786" t="s">
        <v>15070</v>
      </c>
      <c r="AF786" t="s">
        <v>74</v>
      </c>
      <c r="AG786">
        <v>124</v>
      </c>
      <c r="AH786">
        <v>10</v>
      </c>
      <c r="AI786">
        <v>12</v>
      </c>
      <c r="AJ786">
        <v>4</v>
      </c>
      <c r="AK786">
        <v>57</v>
      </c>
      <c r="AL786" t="s">
        <v>149</v>
      </c>
      <c r="AM786" t="s">
        <v>93</v>
      </c>
      <c r="AN786" t="s">
        <v>150</v>
      </c>
      <c r="AO786" t="s">
        <v>4022</v>
      </c>
      <c r="AP786" t="s">
        <v>4023</v>
      </c>
      <c r="AQ786" t="s">
        <v>74</v>
      </c>
      <c r="AR786" t="s">
        <v>4024</v>
      </c>
      <c r="AS786" t="s">
        <v>4025</v>
      </c>
      <c r="AT786" t="s">
        <v>13301</v>
      </c>
      <c r="AU786">
        <v>2018</v>
      </c>
      <c r="AV786">
        <v>232</v>
      </c>
      <c r="AW786" t="s">
        <v>74</v>
      </c>
      <c r="AX786" t="s">
        <v>74</v>
      </c>
      <c r="AY786" t="s">
        <v>74</v>
      </c>
      <c r="AZ786" t="s">
        <v>74</v>
      </c>
      <c r="BA786" t="s">
        <v>74</v>
      </c>
      <c r="BB786">
        <v>244</v>
      </c>
      <c r="BC786">
        <v>264</v>
      </c>
      <c r="BD786" t="s">
        <v>74</v>
      </c>
      <c r="BE786" t="s">
        <v>15071</v>
      </c>
      <c r="BF786" t="str">
        <f>HYPERLINK("http://dx.doi.org/10.1016/j.gca.2018.04.030","http://dx.doi.org/10.1016/j.gca.2018.04.030")</f>
        <v>http://dx.doi.org/10.1016/j.gca.2018.04.030</v>
      </c>
      <c r="BG786" t="s">
        <v>74</v>
      </c>
      <c r="BH786" t="s">
        <v>74</v>
      </c>
      <c r="BI786">
        <v>21</v>
      </c>
      <c r="BJ786" t="s">
        <v>484</v>
      </c>
      <c r="BK786" t="s">
        <v>101</v>
      </c>
      <c r="BL786" t="s">
        <v>484</v>
      </c>
      <c r="BM786" t="s">
        <v>15072</v>
      </c>
      <c r="BN786" t="s">
        <v>74</v>
      </c>
      <c r="BO786" t="s">
        <v>6666</v>
      </c>
      <c r="BP786" t="s">
        <v>74</v>
      </c>
      <c r="BQ786" t="s">
        <v>74</v>
      </c>
      <c r="BR786" t="s">
        <v>104</v>
      </c>
      <c r="BS786" t="s">
        <v>15073</v>
      </c>
      <c r="BT786" t="str">
        <f>HYPERLINK("https%3A%2F%2Fwww.webofscience.com%2Fwos%2Fwoscc%2Ffull-record%2FWOS:000432751700013","View Full Record in Web of Science")</f>
        <v>View Full Record in Web of Science</v>
      </c>
    </row>
    <row r="787" spans="1:72" x14ac:dyDescent="0.15">
      <c r="A787" t="s">
        <v>72</v>
      </c>
      <c r="B787" t="s">
        <v>15074</v>
      </c>
      <c r="C787" t="s">
        <v>74</v>
      </c>
      <c r="D787" t="s">
        <v>74</v>
      </c>
      <c r="E787" t="s">
        <v>74</v>
      </c>
      <c r="F787" t="s">
        <v>15075</v>
      </c>
      <c r="G787" t="s">
        <v>74</v>
      </c>
      <c r="H787" t="s">
        <v>74</v>
      </c>
      <c r="I787" t="s">
        <v>15076</v>
      </c>
      <c r="J787" t="s">
        <v>14481</v>
      </c>
      <c r="K787" t="s">
        <v>74</v>
      </c>
      <c r="L787" t="s">
        <v>74</v>
      </c>
      <c r="M787" t="s">
        <v>78</v>
      </c>
      <c r="N787" t="s">
        <v>79</v>
      </c>
      <c r="O787" t="s">
        <v>74</v>
      </c>
      <c r="P787" t="s">
        <v>74</v>
      </c>
      <c r="Q787" t="s">
        <v>74</v>
      </c>
      <c r="R787" t="s">
        <v>74</v>
      </c>
      <c r="S787" t="s">
        <v>74</v>
      </c>
      <c r="T787" t="s">
        <v>74</v>
      </c>
      <c r="U787" t="s">
        <v>15077</v>
      </c>
      <c r="V787" t="s">
        <v>15078</v>
      </c>
      <c r="W787" t="s">
        <v>15079</v>
      </c>
      <c r="X787" t="s">
        <v>15080</v>
      </c>
      <c r="Y787" t="s">
        <v>15081</v>
      </c>
      <c r="Z787" t="s">
        <v>15082</v>
      </c>
      <c r="AA787" t="s">
        <v>15083</v>
      </c>
      <c r="AB787" t="s">
        <v>15084</v>
      </c>
      <c r="AC787" t="s">
        <v>15085</v>
      </c>
      <c r="AD787" t="s">
        <v>15086</v>
      </c>
      <c r="AE787" t="s">
        <v>15087</v>
      </c>
      <c r="AF787" t="s">
        <v>74</v>
      </c>
      <c r="AG787">
        <v>87</v>
      </c>
      <c r="AH787">
        <v>24</v>
      </c>
      <c r="AI787">
        <v>28</v>
      </c>
      <c r="AJ787">
        <v>0</v>
      </c>
      <c r="AK787">
        <v>5</v>
      </c>
      <c r="AL787" t="s">
        <v>2393</v>
      </c>
      <c r="AM787" t="s">
        <v>2394</v>
      </c>
      <c r="AN787" t="s">
        <v>2395</v>
      </c>
      <c r="AO787" t="s">
        <v>14493</v>
      </c>
      <c r="AP787" t="s">
        <v>14494</v>
      </c>
      <c r="AQ787" t="s">
        <v>74</v>
      </c>
      <c r="AR787" t="s">
        <v>14495</v>
      </c>
      <c r="AS787" t="s">
        <v>14496</v>
      </c>
      <c r="AT787" t="s">
        <v>13458</v>
      </c>
      <c r="AU787">
        <v>2018</v>
      </c>
      <c r="AV787">
        <v>130</v>
      </c>
      <c r="AW787" t="s">
        <v>367</v>
      </c>
      <c r="AX787" t="s">
        <v>74</v>
      </c>
      <c r="AY787" t="s">
        <v>74</v>
      </c>
      <c r="AZ787" t="s">
        <v>74</v>
      </c>
      <c r="BA787" t="s">
        <v>74</v>
      </c>
      <c r="BB787">
        <v>1177</v>
      </c>
      <c r="BC787">
        <v>1196</v>
      </c>
      <c r="BD787" t="s">
        <v>74</v>
      </c>
      <c r="BE787" t="s">
        <v>15088</v>
      </c>
      <c r="BF787" t="str">
        <f>HYPERLINK("http://dx.doi.org/10.1130/B31800.1","http://dx.doi.org/10.1130/B31800.1")</f>
        <v>http://dx.doi.org/10.1130/B31800.1</v>
      </c>
      <c r="BG787" t="s">
        <v>74</v>
      </c>
      <c r="BH787" t="s">
        <v>74</v>
      </c>
      <c r="BI787">
        <v>20</v>
      </c>
      <c r="BJ787" t="s">
        <v>182</v>
      </c>
      <c r="BK787" t="s">
        <v>101</v>
      </c>
      <c r="BL787" t="s">
        <v>183</v>
      </c>
      <c r="BM787" t="s">
        <v>14498</v>
      </c>
      <c r="BN787" t="s">
        <v>74</v>
      </c>
      <c r="BO787" t="s">
        <v>211</v>
      </c>
      <c r="BP787" t="s">
        <v>74</v>
      </c>
      <c r="BQ787" t="s">
        <v>74</v>
      </c>
      <c r="BR787" t="s">
        <v>104</v>
      </c>
      <c r="BS787" t="s">
        <v>15089</v>
      </c>
      <c r="BT787" t="str">
        <f>HYPERLINK("https%3A%2F%2Fwww.webofscience.com%2Fwos%2Fwoscc%2Ffull-record%2FWOS:000437009200009","View Full Record in Web of Science")</f>
        <v>View Full Record in Web of Science</v>
      </c>
    </row>
    <row r="788" spans="1:72" x14ac:dyDescent="0.15">
      <c r="A788" t="s">
        <v>72</v>
      </c>
      <c r="B788" t="s">
        <v>15090</v>
      </c>
      <c r="C788" t="s">
        <v>74</v>
      </c>
      <c r="D788" t="s">
        <v>74</v>
      </c>
      <c r="E788" t="s">
        <v>74</v>
      </c>
      <c r="F788" t="s">
        <v>15091</v>
      </c>
      <c r="G788" t="s">
        <v>74</v>
      </c>
      <c r="H788" t="s">
        <v>74</v>
      </c>
      <c r="I788" t="s">
        <v>15092</v>
      </c>
      <c r="J788" t="s">
        <v>15093</v>
      </c>
      <c r="K788" t="s">
        <v>74</v>
      </c>
      <c r="L788" t="s">
        <v>74</v>
      </c>
      <c r="M788" t="s">
        <v>78</v>
      </c>
      <c r="N788" t="s">
        <v>79</v>
      </c>
      <c r="O788" t="s">
        <v>74</v>
      </c>
      <c r="P788" t="s">
        <v>74</v>
      </c>
      <c r="Q788" t="s">
        <v>74</v>
      </c>
      <c r="R788" t="s">
        <v>74</v>
      </c>
      <c r="S788" t="s">
        <v>74</v>
      </c>
      <c r="T788" t="s">
        <v>15094</v>
      </c>
      <c r="U788" t="s">
        <v>15095</v>
      </c>
      <c r="V788" t="s">
        <v>15096</v>
      </c>
      <c r="W788" t="s">
        <v>15097</v>
      </c>
      <c r="X788" t="s">
        <v>15098</v>
      </c>
      <c r="Y788" t="s">
        <v>15099</v>
      </c>
      <c r="Z788" t="s">
        <v>15100</v>
      </c>
      <c r="AA788" t="s">
        <v>15101</v>
      </c>
      <c r="AB788" t="s">
        <v>15102</v>
      </c>
      <c r="AC788" t="s">
        <v>15103</v>
      </c>
      <c r="AD788" t="s">
        <v>15104</v>
      </c>
      <c r="AE788" t="s">
        <v>15105</v>
      </c>
      <c r="AF788" t="s">
        <v>74</v>
      </c>
      <c r="AG788">
        <v>124</v>
      </c>
      <c r="AH788">
        <v>255</v>
      </c>
      <c r="AI788">
        <v>268</v>
      </c>
      <c r="AJ788">
        <v>11</v>
      </c>
      <c r="AK788">
        <v>43</v>
      </c>
      <c r="AL788" t="s">
        <v>503</v>
      </c>
      <c r="AM788" t="s">
        <v>504</v>
      </c>
      <c r="AN788" t="s">
        <v>505</v>
      </c>
      <c r="AO788" t="s">
        <v>74</v>
      </c>
      <c r="AP788" t="s">
        <v>15106</v>
      </c>
      <c r="AQ788" t="s">
        <v>74</v>
      </c>
      <c r="AR788" t="s">
        <v>15107</v>
      </c>
      <c r="AS788" t="s">
        <v>15108</v>
      </c>
      <c r="AT788" t="s">
        <v>13121</v>
      </c>
      <c r="AU788">
        <v>2018</v>
      </c>
      <c r="AV788">
        <v>10</v>
      </c>
      <c r="AW788">
        <v>7</v>
      </c>
      <c r="AX788" t="s">
        <v>74</v>
      </c>
      <c r="AY788" t="s">
        <v>74</v>
      </c>
      <c r="AZ788" t="s">
        <v>74</v>
      </c>
      <c r="BA788" t="s">
        <v>74</v>
      </c>
      <c r="BB788">
        <v>1383</v>
      </c>
      <c r="BC788">
        <v>1413</v>
      </c>
      <c r="BD788" t="s">
        <v>74</v>
      </c>
      <c r="BE788" t="s">
        <v>15109</v>
      </c>
      <c r="BF788" t="str">
        <f>HYPERLINK("http://dx.doi.org/10.1029/2017MS001217","http://dx.doi.org/10.1029/2017MS001217")</f>
        <v>http://dx.doi.org/10.1029/2017MS001217</v>
      </c>
      <c r="BG788" t="s">
        <v>74</v>
      </c>
      <c r="BH788" t="s">
        <v>74</v>
      </c>
      <c r="BI788">
        <v>31</v>
      </c>
      <c r="BJ788" t="s">
        <v>369</v>
      </c>
      <c r="BK788" t="s">
        <v>101</v>
      </c>
      <c r="BL788" t="s">
        <v>369</v>
      </c>
      <c r="BM788" t="s">
        <v>15110</v>
      </c>
      <c r="BN788" t="s">
        <v>74</v>
      </c>
      <c r="BO788" t="s">
        <v>1278</v>
      </c>
      <c r="BP788" t="s">
        <v>1167</v>
      </c>
      <c r="BQ788" t="s">
        <v>1168</v>
      </c>
      <c r="BR788" t="s">
        <v>104</v>
      </c>
      <c r="BS788" t="s">
        <v>15111</v>
      </c>
      <c r="BT788" t="str">
        <f>HYPERLINK("https%3A%2F%2Fwww.webofscience.com%2Fwos%2Fwoscc%2Ffull-record%2FWOS:000441886300001","View Full Record in Web of Science")</f>
        <v>View Full Record in Web of Science</v>
      </c>
    </row>
    <row r="789" spans="1:72" x14ac:dyDescent="0.15">
      <c r="A789" t="s">
        <v>72</v>
      </c>
      <c r="B789" t="s">
        <v>15112</v>
      </c>
      <c r="C789" t="s">
        <v>74</v>
      </c>
      <c r="D789" t="s">
        <v>74</v>
      </c>
      <c r="E789" t="s">
        <v>74</v>
      </c>
      <c r="F789" t="s">
        <v>15113</v>
      </c>
      <c r="G789" t="s">
        <v>74</v>
      </c>
      <c r="H789" t="s">
        <v>74</v>
      </c>
      <c r="I789" t="s">
        <v>15114</v>
      </c>
      <c r="J789" t="s">
        <v>773</v>
      </c>
      <c r="K789" t="s">
        <v>74</v>
      </c>
      <c r="L789" t="s">
        <v>74</v>
      </c>
      <c r="M789" t="s">
        <v>78</v>
      </c>
      <c r="N789" t="s">
        <v>79</v>
      </c>
      <c r="O789" t="s">
        <v>74</v>
      </c>
      <c r="P789" t="s">
        <v>74</v>
      </c>
      <c r="Q789" t="s">
        <v>74</v>
      </c>
      <c r="R789" t="s">
        <v>74</v>
      </c>
      <c r="S789" t="s">
        <v>74</v>
      </c>
      <c r="T789" t="s">
        <v>74</v>
      </c>
      <c r="U789" t="s">
        <v>15115</v>
      </c>
      <c r="V789" t="s">
        <v>15116</v>
      </c>
      <c r="W789" t="s">
        <v>15117</v>
      </c>
      <c r="X789" t="s">
        <v>15118</v>
      </c>
      <c r="Y789" t="s">
        <v>15119</v>
      </c>
      <c r="Z789" t="s">
        <v>15120</v>
      </c>
      <c r="AA789" t="s">
        <v>15121</v>
      </c>
      <c r="AB789" t="s">
        <v>15122</v>
      </c>
      <c r="AC789" t="s">
        <v>15123</v>
      </c>
      <c r="AD789" t="s">
        <v>15124</v>
      </c>
      <c r="AE789" t="s">
        <v>15125</v>
      </c>
      <c r="AF789" t="s">
        <v>74</v>
      </c>
      <c r="AG789">
        <v>60</v>
      </c>
      <c r="AH789">
        <v>42</v>
      </c>
      <c r="AI789">
        <v>45</v>
      </c>
      <c r="AJ789">
        <v>0</v>
      </c>
      <c r="AK789">
        <v>23</v>
      </c>
      <c r="AL789" t="s">
        <v>785</v>
      </c>
      <c r="AM789" t="s">
        <v>786</v>
      </c>
      <c r="AN789" t="s">
        <v>787</v>
      </c>
      <c r="AO789" t="s">
        <v>788</v>
      </c>
      <c r="AP789" t="s">
        <v>789</v>
      </c>
      <c r="AQ789" t="s">
        <v>74</v>
      </c>
      <c r="AR789" t="s">
        <v>790</v>
      </c>
      <c r="AS789" t="s">
        <v>791</v>
      </c>
      <c r="AT789" t="s">
        <v>13121</v>
      </c>
      <c r="AU789">
        <v>2018</v>
      </c>
      <c r="AV789">
        <v>31</v>
      </c>
      <c r="AW789">
        <v>13</v>
      </c>
      <c r="AX789" t="s">
        <v>74</v>
      </c>
      <c r="AY789" t="s">
        <v>74</v>
      </c>
      <c r="AZ789" t="s">
        <v>74</v>
      </c>
      <c r="BA789" t="s">
        <v>74</v>
      </c>
      <c r="BB789">
        <v>5147</v>
      </c>
      <c r="BC789">
        <v>5163</v>
      </c>
      <c r="BD789" t="s">
        <v>74</v>
      </c>
      <c r="BE789" t="s">
        <v>15126</v>
      </c>
      <c r="BF789" t="str">
        <f>HYPERLINK("http://dx.doi.org/10.1175/JCLI-D-17-0797.1","http://dx.doi.org/10.1175/JCLI-D-17-0797.1")</f>
        <v>http://dx.doi.org/10.1175/JCLI-D-17-0797.1</v>
      </c>
      <c r="BG789" t="s">
        <v>74</v>
      </c>
      <c r="BH789" t="s">
        <v>74</v>
      </c>
      <c r="BI789">
        <v>17</v>
      </c>
      <c r="BJ789" t="s">
        <v>369</v>
      </c>
      <c r="BK789" t="s">
        <v>101</v>
      </c>
      <c r="BL789" t="s">
        <v>369</v>
      </c>
      <c r="BM789" t="s">
        <v>15127</v>
      </c>
      <c r="BN789" t="s">
        <v>74</v>
      </c>
      <c r="BO789" t="s">
        <v>74</v>
      </c>
      <c r="BP789" t="s">
        <v>74</v>
      </c>
      <c r="BQ789" t="s">
        <v>74</v>
      </c>
      <c r="BR789" t="s">
        <v>104</v>
      </c>
      <c r="BS789" t="s">
        <v>15128</v>
      </c>
      <c r="BT789" t="str">
        <f>HYPERLINK("https%3A%2F%2Fwww.webofscience.com%2Fwos%2Fwoscc%2Ffull-record%2FWOS:000437827700011","View Full Record in Web of Science")</f>
        <v>View Full Record in Web of Science</v>
      </c>
    </row>
    <row r="790" spans="1:72" x14ac:dyDescent="0.15">
      <c r="A790" t="s">
        <v>72</v>
      </c>
      <c r="B790" t="s">
        <v>15129</v>
      </c>
      <c r="C790" t="s">
        <v>74</v>
      </c>
      <c r="D790" t="s">
        <v>74</v>
      </c>
      <c r="E790" t="s">
        <v>74</v>
      </c>
      <c r="F790" t="s">
        <v>15130</v>
      </c>
      <c r="G790" t="s">
        <v>74</v>
      </c>
      <c r="H790" t="s">
        <v>74</v>
      </c>
      <c r="I790" t="s">
        <v>15131</v>
      </c>
      <c r="J790" t="s">
        <v>773</v>
      </c>
      <c r="K790" t="s">
        <v>74</v>
      </c>
      <c r="L790" t="s">
        <v>74</v>
      </c>
      <c r="M790" t="s">
        <v>78</v>
      </c>
      <c r="N790" t="s">
        <v>79</v>
      </c>
      <c r="O790" t="s">
        <v>74</v>
      </c>
      <c r="P790" t="s">
        <v>74</v>
      </c>
      <c r="Q790" t="s">
        <v>74</v>
      </c>
      <c r="R790" t="s">
        <v>74</v>
      </c>
      <c r="S790" t="s">
        <v>74</v>
      </c>
      <c r="T790" t="s">
        <v>15132</v>
      </c>
      <c r="U790" t="s">
        <v>15133</v>
      </c>
      <c r="V790" t="s">
        <v>15134</v>
      </c>
      <c r="W790" t="s">
        <v>15135</v>
      </c>
      <c r="X790" t="s">
        <v>15136</v>
      </c>
      <c r="Y790" t="s">
        <v>15137</v>
      </c>
      <c r="Z790" t="s">
        <v>15138</v>
      </c>
      <c r="AA790" t="s">
        <v>15139</v>
      </c>
      <c r="AB790" t="s">
        <v>15140</v>
      </c>
      <c r="AC790" t="s">
        <v>15141</v>
      </c>
      <c r="AD790" t="s">
        <v>15142</v>
      </c>
      <c r="AE790" t="s">
        <v>15143</v>
      </c>
      <c r="AF790" t="s">
        <v>74</v>
      </c>
      <c r="AG790">
        <v>79</v>
      </c>
      <c r="AH790">
        <v>23</v>
      </c>
      <c r="AI790">
        <v>23</v>
      </c>
      <c r="AJ790">
        <v>0</v>
      </c>
      <c r="AK790">
        <v>22</v>
      </c>
      <c r="AL790" t="s">
        <v>785</v>
      </c>
      <c r="AM790" t="s">
        <v>786</v>
      </c>
      <c r="AN790" t="s">
        <v>787</v>
      </c>
      <c r="AO790" t="s">
        <v>788</v>
      </c>
      <c r="AP790" t="s">
        <v>789</v>
      </c>
      <c r="AQ790" t="s">
        <v>74</v>
      </c>
      <c r="AR790" t="s">
        <v>790</v>
      </c>
      <c r="AS790" t="s">
        <v>791</v>
      </c>
      <c r="AT790" t="s">
        <v>13121</v>
      </c>
      <c r="AU790">
        <v>2018</v>
      </c>
      <c r="AV790">
        <v>31</v>
      </c>
      <c r="AW790">
        <v>14</v>
      </c>
      <c r="AX790" t="s">
        <v>74</v>
      </c>
      <c r="AY790" t="s">
        <v>74</v>
      </c>
      <c r="AZ790" t="s">
        <v>74</v>
      </c>
      <c r="BA790" t="s">
        <v>74</v>
      </c>
      <c r="BB790">
        <v>5351</v>
      </c>
      <c r="BC790">
        <v>5370</v>
      </c>
      <c r="BD790" t="s">
        <v>74</v>
      </c>
      <c r="BE790" t="s">
        <v>15144</v>
      </c>
      <c r="BF790" t="str">
        <f>HYPERLINK("http://dx.doi.org/10.1175/JCLI-D-17-0623.1","http://dx.doi.org/10.1175/JCLI-D-17-0623.1")</f>
        <v>http://dx.doi.org/10.1175/JCLI-D-17-0623.1</v>
      </c>
      <c r="BG790" t="s">
        <v>74</v>
      </c>
      <c r="BH790" t="s">
        <v>74</v>
      </c>
      <c r="BI790">
        <v>20</v>
      </c>
      <c r="BJ790" t="s">
        <v>369</v>
      </c>
      <c r="BK790" t="s">
        <v>101</v>
      </c>
      <c r="BL790" t="s">
        <v>369</v>
      </c>
      <c r="BM790" t="s">
        <v>15145</v>
      </c>
      <c r="BN790" t="s">
        <v>74</v>
      </c>
      <c r="BO790" t="s">
        <v>486</v>
      </c>
      <c r="BP790" t="s">
        <v>74</v>
      </c>
      <c r="BQ790" t="s">
        <v>74</v>
      </c>
      <c r="BR790" t="s">
        <v>104</v>
      </c>
      <c r="BS790" t="s">
        <v>15146</v>
      </c>
      <c r="BT790" t="str">
        <f>HYPERLINK("https%3A%2F%2Fwww.webofscience.com%2Fwos%2Fwoscc%2Ffull-record%2FWOS:000435075300002","View Full Record in Web of Science")</f>
        <v>View Full Record in Web of Science</v>
      </c>
    </row>
    <row r="791" spans="1:72" x14ac:dyDescent="0.15">
      <c r="A791" t="s">
        <v>72</v>
      </c>
      <c r="B791" t="s">
        <v>15147</v>
      </c>
      <c r="C791" t="s">
        <v>74</v>
      </c>
      <c r="D791" t="s">
        <v>74</v>
      </c>
      <c r="E791" t="s">
        <v>74</v>
      </c>
      <c r="F791" t="s">
        <v>15148</v>
      </c>
      <c r="G791" t="s">
        <v>74</v>
      </c>
      <c r="H791" t="s">
        <v>74</v>
      </c>
      <c r="I791" t="s">
        <v>15149</v>
      </c>
      <c r="J791" t="s">
        <v>15150</v>
      </c>
      <c r="K791" t="s">
        <v>74</v>
      </c>
      <c r="L791" t="s">
        <v>74</v>
      </c>
      <c r="M791" t="s">
        <v>78</v>
      </c>
      <c r="N791" t="s">
        <v>79</v>
      </c>
      <c r="O791" t="s">
        <v>74</v>
      </c>
      <c r="P791" t="s">
        <v>74</v>
      </c>
      <c r="Q791" t="s">
        <v>74</v>
      </c>
      <c r="R791" t="s">
        <v>74</v>
      </c>
      <c r="S791" t="s">
        <v>74</v>
      </c>
      <c r="T791" t="s">
        <v>15151</v>
      </c>
      <c r="U791" t="s">
        <v>15152</v>
      </c>
      <c r="V791" t="s">
        <v>15153</v>
      </c>
      <c r="W791" t="s">
        <v>15154</v>
      </c>
      <c r="X791" t="s">
        <v>15155</v>
      </c>
      <c r="Y791" t="s">
        <v>15156</v>
      </c>
      <c r="Z791" t="s">
        <v>15157</v>
      </c>
      <c r="AA791" t="s">
        <v>15158</v>
      </c>
      <c r="AB791" t="s">
        <v>15159</v>
      </c>
      <c r="AC791" t="s">
        <v>15160</v>
      </c>
      <c r="AD791" t="s">
        <v>15161</v>
      </c>
      <c r="AE791" t="s">
        <v>15162</v>
      </c>
      <c r="AF791" t="s">
        <v>74</v>
      </c>
      <c r="AG791">
        <v>30</v>
      </c>
      <c r="AH791">
        <v>28</v>
      </c>
      <c r="AI791">
        <v>32</v>
      </c>
      <c r="AJ791">
        <v>1</v>
      </c>
      <c r="AK791">
        <v>8</v>
      </c>
      <c r="AL791" t="s">
        <v>15163</v>
      </c>
      <c r="AM791" t="s">
        <v>10049</v>
      </c>
      <c r="AN791" t="s">
        <v>10050</v>
      </c>
      <c r="AO791" t="s">
        <v>15164</v>
      </c>
      <c r="AP791" t="s">
        <v>74</v>
      </c>
      <c r="AQ791" t="s">
        <v>74</v>
      </c>
      <c r="AR791" t="s">
        <v>15165</v>
      </c>
      <c r="AS791" t="s">
        <v>15166</v>
      </c>
      <c r="AT791" t="s">
        <v>13121</v>
      </c>
      <c r="AU791">
        <v>2018</v>
      </c>
      <c r="AV791" t="s">
        <v>74</v>
      </c>
      <c r="AW791">
        <v>7</v>
      </c>
      <c r="AX791" t="s">
        <v>74</v>
      </c>
      <c r="AY791" t="s">
        <v>74</v>
      </c>
      <c r="AZ791" t="s">
        <v>74</v>
      </c>
      <c r="BA791" t="s">
        <v>74</v>
      </c>
      <c r="BB791" t="s">
        <v>74</v>
      </c>
      <c r="BC791" t="s">
        <v>74</v>
      </c>
      <c r="BD791">
        <v>55</v>
      </c>
      <c r="BE791" t="s">
        <v>15167</v>
      </c>
      <c r="BF791" t="str">
        <f>HYPERLINK("http://dx.doi.org/10.1088/1475-7516/2018/07/055","http://dx.doi.org/10.1088/1475-7516/2018/07/055")</f>
        <v>http://dx.doi.org/10.1088/1475-7516/2018/07/055</v>
      </c>
      <c r="BG791" t="s">
        <v>74</v>
      </c>
      <c r="BH791" t="s">
        <v>74</v>
      </c>
      <c r="BI791">
        <v>24</v>
      </c>
      <c r="BJ791" t="s">
        <v>7770</v>
      </c>
      <c r="BK791" t="s">
        <v>101</v>
      </c>
      <c r="BL791" t="s">
        <v>7771</v>
      </c>
      <c r="BM791" t="s">
        <v>15168</v>
      </c>
      <c r="BN791" t="s">
        <v>74</v>
      </c>
      <c r="BO791" t="s">
        <v>2282</v>
      </c>
      <c r="BP791" t="s">
        <v>74</v>
      </c>
      <c r="BQ791" t="s">
        <v>74</v>
      </c>
      <c r="BR791" t="s">
        <v>104</v>
      </c>
      <c r="BS791" t="s">
        <v>15169</v>
      </c>
      <c r="BT791" t="str">
        <f>HYPERLINK("https%3A%2F%2Fwww.webofscience.com%2Fwos%2Fwoscc%2Ffull-record%2FWOS:000439838200004","View Full Record in Web of Science")</f>
        <v>View Full Record in Web of Science</v>
      </c>
    </row>
    <row r="792" spans="1:72" x14ac:dyDescent="0.15">
      <c r="A792" t="s">
        <v>72</v>
      </c>
      <c r="B792" t="s">
        <v>15170</v>
      </c>
      <c r="C792" t="s">
        <v>74</v>
      </c>
      <c r="D792" t="s">
        <v>74</v>
      </c>
      <c r="E792" t="s">
        <v>74</v>
      </c>
      <c r="F792" t="s">
        <v>15171</v>
      </c>
      <c r="G792" t="s">
        <v>74</v>
      </c>
      <c r="H792" t="s">
        <v>74</v>
      </c>
      <c r="I792" t="s">
        <v>15172</v>
      </c>
      <c r="J792" t="s">
        <v>1613</v>
      </c>
      <c r="K792" t="s">
        <v>74</v>
      </c>
      <c r="L792" t="s">
        <v>74</v>
      </c>
      <c r="M792" t="s">
        <v>78</v>
      </c>
      <c r="N792" t="s">
        <v>79</v>
      </c>
      <c r="O792" t="s">
        <v>74</v>
      </c>
      <c r="P792" t="s">
        <v>74</v>
      </c>
      <c r="Q792" t="s">
        <v>74</v>
      </c>
      <c r="R792" t="s">
        <v>74</v>
      </c>
      <c r="S792" t="s">
        <v>74</v>
      </c>
      <c r="T792" t="s">
        <v>74</v>
      </c>
      <c r="U792" t="s">
        <v>15173</v>
      </c>
      <c r="V792" t="s">
        <v>15174</v>
      </c>
      <c r="W792" t="s">
        <v>15175</v>
      </c>
      <c r="X792" t="s">
        <v>1468</v>
      </c>
      <c r="Y792" t="s">
        <v>15176</v>
      </c>
      <c r="Z792" t="s">
        <v>15177</v>
      </c>
      <c r="AA792" t="s">
        <v>74</v>
      </c>
      <c r="AB792" t="s">
        <v>15178</v>
      </c>
      <c r="AC792" t="s">
        <v>15179</v>
      </c>
      <c r="AD792" t="s">
        <v>15180</v>
      </c>
      <c r="AE792" t="s">
        <v>15181</v>
      </c>
      <c r="AF792" t="s">
        <v>74</v>
      </c>
      <c r="AG792">
        <v>49</v>
      </c>
      <c r="AH792">
        <v>5</v>
      </c>
      <c r="AI792">
        <v>6</v>
      </c>
      <c r="AJ792">
        <v>1</v>
      </c>
      <c r="AK792">
        <v>21</v>
      </c>
      <c r="AL792" t="s">
        <v>676</v>
      </c>
      <c r="AM792" t="s">
        <v>677</v>
      </c>
      <c r="AN792" t="s">
        <v>678</v>
      </c>
      <c r="AO792" t="s">
        <v>1625</v>
      </c>
      <c r="AP792" t="s">
        <v>1626</v>
      </c>
      <c r="AQ792" t="s">
        <v>74</v>
      </c>
      <c r="AR792" t="s">
        <v>1627</v>
      </c>
      <c r="AS792" t="s">
        <v>1628</v>
      </c>
      <c r="AT792" t="s">
        <v>13121</v>
      </c>
      <c r="AU792">
        <v>2018</v>
      </c>
      <c r="AV792">
        <v>165</v>
      </c>
      <c r="AW792">
        <v>7</v>
      </c>
      <c r="AX792" t="s">
        <v>74</v>
      </c>
      <c r="AY792" t="s">
        <v>74</v>
      </c>
      <c r="AZ792" t="s">
        <v>74</v>
      </c>
      <c r="BA792" t="s">
        <v>74</v>
      </c>
      <c r="BB792" t="s">
        <v>74</v>
      </c>
      <c r="BC792" t="s">
        <v>74</v>
      </c>
      <c r="BD792">
        <v>117</v>
      </c>
      <c r="BE792" t="s">
        <v>15182</v>
      </c>
      <c r="BF792" t="str">
        <f>HYPERLINK("http://dx.doi.org/10.1007/s00227-018-3376-1","http://dx.doi.org/10.1007/s00227-018-3376-1")</f>
        <v>http://dx.doi.org/10.1007/s00227-018-3376-1</v>
      </c>
      <c r="BG792" t="s">
        <v>74</v>
      </c>
      <c r="BH792" t="s">
        <v>74</v>
      </c>
      <c r="BI792">
        <v>11</v>
      </c>
      <c r="BJ792" t="s">
        <v>1630</v>
      </c>
      <c r="BK792" t="s">
        <v>101</v>
      </c>
      <c r="BL792" t="s">
        <v>1630</v>
      </c>
      <c r="BM792" t="s">
        <v>15183</v>
      </c>
      <c r="BN792" t="s">
        <v>74</v>
      </c>
      <c r="BO792" t="s">
        <v>211</v>
      </c>
      <c r="BP792" t="s">
        <v>74</v>
      </c>
      <c r="BQ792" t="s">
        <v>74</v>
      </c>
      <c r="BR792" t="s">
        <v>104</v>
      </c>
      <c r="BS792" t="s">
        <v>15184</v>
      </c>
      <c r="BT792" t="str">
        <f>HYPERLINK("https%3A%2F%2Fwww.webofscience.com%2Fwos%2Fwoscc%2Ffull-record%2FWOS:000436324600001","View Full Record in Web of Science")</f>
        <v>View Full Record in Web of Science</v>
      </c>
    </row>
    <row r="793" spans="1:72" x14ac:dyDescent="0.15">
      <c r="A793" t="s">
        <v>72</v>
      </c>
      <c r="B793" t="s">
        <v>15185</v>
      </c>
      <c r="C793" t="s">
        <v>74</v>
      </c>
      <c r="D793" t="s">
        <v>74</v>
      </c>
      <c r="E793" t="s">
        <v>74</v>
      </c>
      <c r="F793" t="s">
        <v>15186</v>
      </c>
      <c r="G793" t="s">
        <v>74</v>
      </c>
      <c r="H793" t="s">
        <v>74</v>
      </c>
      <c r="I793" t="s">
        <v>15187</v>
      </c>
      <c r="J793" t="s">
        <v>1118</v>
      </c>
      <c r="K793" t="s">
        <v>74</v>
      </c>
      <c r="L793" t="s">
        <v>74</v>
      </c>
      <c r="M793" t="s">
        <v>78</v>
      </c>
      <c r="N793" t="s">
        <v>79</v>
      </c>
      <c r="O793" t="s">
        <v>74</v>
      </c>
      <c r="P793" t="s">
        <v>74</v>
      </c>
      <c r="Q793" t="s">
        <v>74</v>
      </c>
      <c r="R793" t="s">
        <v>74</v>
      </c>
      <c r="S793" t="s">
        <v>74</v>
      </c>
      <c r="T793" t="s">
        <v>74</v>
      </c>
      <c r="U793" t="s">
        <v>15188</v>
      </c>
      <c r="V793" t="s">
        <v>15189</v>
      </c>
      <c r="W793" t="s">
        <v>15190</v>
      </c>
      <c r="X793" t="s">
        <v>15191</v>
      </c>
      <c r="Y793" t="s">
        <v>15192</v>
      </c>
      <c r="Z793" t="s">
        <v>15193</v>
      </c>
      <c r="AA793" t="s">
        <v>15194</v>
      </c>
      <c r="AB793" t="s">
        <v>15195</v>
      </c>
      <c r="AC793" t="s">
        <v>15196</v>
      </c>
      <c r="AD793" t="s">
        <v>15196</v>
      </c>
      <c r="AE793" t="s">
        <v>15197</v>
      </c>
      <c r="AF793" t="s">
        <v>74</v>
      </c>
      <c r="AG793">
        <v>93</v>
      </c>
      <c r="AH793">
        <v>314</v>
      </c>
      <c r="AI793">
        <v>343</v>
      </c>
      <c r="AJ793">
        <v>23</v>
      </c>
      <c r="AK793">
        <v>228</v>
      </c>
      <c r="AL793" t="s">
        <v>1130</v>
      </c>
      <c r="AM793" t="s">
        <v>1131</v>
      </c>
      <c r="AN793" t="s">
        <v>1132</v>
      </c>
      <c r="AO793" t="s">
        <v>1133</v>
      </c>
      <c r="AP793" t="s">
        <v>1134</v>
      </c>
      <c r="AQ793" t="s">
        <v>74</v>
      </c>
      <c r="AR793" t="s">
        <v>1135</v>
      </c>
      <c r="AS793" t="s">
        <v>1136</v>
      </c>
      <c r="AT793" t="s">
        <v>13121</v>
      </c>
      <c r="AU793">
        <v>2018</v>
      </c>
      <c r="AV793">
        <v>8</v>
      </c>
      <c r="AW793">
        <v>7</v>
      </c>
      <c r="AX793" t="s">
        <v>74</v>
      </c>
      <c r="AY793" t="s">
        <v>74</v>
      </c>
      <c r="AZ793" t="s">
        <v>74</v>
      </c>
      <c r="BA793" t="s">
        <v>74</v>
      </c>
      <c r="BB793">
        <v>579</v>
      </c>
      <c r="BC793">
        <v>587</v>
      </c>
      <c r="BD793" t="s">
        <v>74</v>
      </c>
      <c r="BE793" t="s">
        <v>15198</v>
      </c>
      <c r="BF793" t="str">
        <f>HYPERLINK("http://dx.doi.org/10.1038/s41558-018-0187-9","http://dx.doi.org/10.1038/s41558-018-0187-9")</f>
        <v>http://dx.doi.org/10.1038/s41558-018-0187-9</v>
      </c>
      <c r="BG793" t="s">
        <v>74</v>
      </c>
      <c r="BH793" t="s">
        <v>74</v>
      </c>
      <c r="BI793">
        <v>9</v>
      </c>
      <c r="BJ793" t="s">
        <v>1139</v>
      </c>
      <c r="BK793" t="s">
        <v>1140</v>
      </c>
      <c r="BL793" t="s">
        <v>318</v>
      </c>
      <c r="BM793" t="s">
        <v>15199</v>
      </c>
      <c r="BN793" t="s">
        <v>74</v>
      </c>
      <c r="BO793" t="s">
        <v>74</v>
      </c>
      <c r="BP793" t="s">
        <v>1167</v>
      </c>
      <c r="BQ793" t="s">
        <v>1168</v>
      </c>
      <c r="BR793" t="s">
        <v>104</v>
      </c>
      <c r="BS793" t="s">
        <v>15200</v>
      </c>
      <c r="BT793" t="str">
        <f>HYPERLINK("https%3A%2F%2Fwww.webofscience.com%2Fwos%2Fwoscc%2Ffull-record%2FWOS:000440200100016","View Full Record in Web of Science")</f>
        <v>View Full Record in Web of Science</v>
      </c>
    </row>
    <row r="794" spans="1:72" x14ac:dyDescent="0.15">
      <c r="A794" t="s">
        <v>72</v>
      </c>
      <c r="B794" t="s">
        <v>15201</v>
      </c>
      <c r="C794" t="s">
        <v>74</v>
      </c>
      <c r="D794" t="s">
        <v>74</v>
      </c>
      <c r="E794" t="s">
        <v>74</v>
      </c>
      <c r="F794" t="s">
        <v>15202</v>
      </c>
      <c r="G794" t="s">
        <v>74</v>
      </c>
      <c r="H794" t="s">
        <v>74</v>
      </c>
      <c r="I794" t="s">
        <v>15203</v>
      </c>
      <c r="J794" t="s">
        <v>1147</v>
      </c>
      <c r="K794" t="s">
        <v>74</v>
      </c>
      <c r="L794" t="s">
        <v>74</v>
      </c>
      <c r="M794" t="s">
        <v>78</v>
      </c>
      <c r="N794" t="s">
        <v>273</v>
      </c>
      <c r="O794" t="s">
        <v>74</v>
      </c>
      <c r="P794" t="s">
        <v>74</v>
      </c>
      <c r="Q794" t="s">
        <v>74</v>
      </c>
      <c r="R794" t="s">
        <v>74</v>
      </c>
      <c r="S794" t="s">
        <v>74</v>
      </c>
      <c r="T794" t="s">
        <v>74</v>
      </c>
      <c r="U794" t="s">
        <v>15204</v>
      </c>
      <c r="V794" t="s">
        <v>15205</v>
      </c>
      <c r="W794" t="s">
        <v>15206</v>
      </c>
      <c r="X794" t="s">
        <v>15207</v>
      </c>
      <c r="Y794" t="s">
        <v>15208</v>
      </c>
      <c r="Z794" t="s">
        <v>15209</v>
      </c>
      <c r="AA794" t="s">
        <v>15210</v>
      </c>
      <c r="AB794" t="s">
        <v>15211</v>
      </c>
      <c r="AC794" t="s">
        <v>15212</v>
      </c>
      <c r="AD794" t="s">
        <v>15213</v>
      </c>
      <c r="AE794" t="s">
        <v>15214</v>
      </c>
      <c r="AF794" t="s">
        <v>74</v>
      </c>
      <c r="AG794">
        <v>138</v>
      </c>
      <c r="AH794">
        <v>137</v>
      </c>
      <c r="AI794">
        <v>148</v>
      </c>
      <c r="AJ794">
        <v>4</v>
      </c>
      <c r="AK794">
        <v>174</v>
      </c>
      <c r="AL794" t="s">
        <v>1159</v>
      </c>
      <c r="AM794" t="s">
        <v>258</v>
      </c>
      <c r="AN794" t="s">
        <v>1160</v>
      </c>
      <c r="AO794" t="s">
        <v>1161</v>
      </c>
      <c r="AP794" t="s">
        <v>1162</v>
      </c>
      <c r="AQ794" t="s">
        <v>74</v>
      </c>
      <c r="AR794" t="s">
        <v>1163</v>
      </c>
      <c r="AS794" t="s">
        <v>1164</v>
      </c>
      <c r="AT794" t="s">
        <v>13121</v>
      </c>
      <c r="AU794">
        <v>2018</v>
      </c>
      <c r="AV794">
        <v>11</v>
      </c>
      <c r="AW794">
        <v>7</v>
      </c>
      <c r="AX794" t="s">
        <v>74</v>
      </c>
      <c r="AY794" t="s">
        <v>74</v>
      </c>
      <c r="AZ794" t="s">
        <v>74</v>
      </c>
      <c r="BA794" t="s">
        <v>74</v>
      </c>
      <c r="BB794">
        <v>474</v>
      </c>
      <c r="BC794">
        <v>485</v>
      </c>
      <c r="BD794" t="s">
        <v>74</v>
      </c>
      <c r="BE794" t="s">
        <v>15215</v>
      </c>
      <c r="BF794" t="str">
        <f>HYPERLINK("http://dx.doi.org/10.1038/s41561-018-0146-0","http://dx.doi.org/10.1038/s41561-018-0146-0")</f>
        <v>http://dx.doi.org/10.1038/s41561-018-0146-0</v>
      </c>
      <c r="BG794" t="s">
        <v>74</v>
      </c>
      <c r="BH794" t="s">
        <v>74</v>
      </c>
      <c r="BI794">
        <v>12</v>
      </c>
      <c r="BJ794" t="s">
        <v>182</v>
      </c>
      <c r="BK794" t="s">
        <v>101</v>
      </c>
      <c r="BL794" t="s">
        <v>183</v>
      </c>
      <c r="BM794" t="s">
        <v>13659</v>
      </c>
      <c r="BN794" t="s">
        <v>74</v>
      </c>
      <c r="BO794" t="s">
        <v>15216</v>
      </c>
      <c r="BP794" t="s">
        <v>74</v>
      </c>
      <c r="BQ794" t="s">
        <v>74</v>
      </c>
      <c r="BR794" t="s">
        <v>104</v>
      </c>
      <c r="BS794" t="s">
        <v>15217</v>
      </c>
      <c r="BT794" t="str">
        <f>HYPERLINK("https%3A%2F%2Fwww.webofscience.com%2Fwos%2Fwoscc%2Ffull-record%2FWOS:000438794800009","View Full Record in Web of Science")</f>
        <v>View Full Record in Web of Science</v>
      </c>
    </row>
    <row r="795" spans="1:72" x14ac:dyDescent="0.15">
      <c r="A795" t="s">
        <v>72</v>
      </c>
      <c r="B795" t="s">
        <v>15218</v>
      </c>
      <c r="C795" t="s">
        <v>74</v>
      </c>
      <c r="D795" t="s">
        <v>74</v>
      </c>
      <c r="E795" t="s">
        <v>74</v>
      </c>
      <c r="F795" t="s">
        <v>15219</v>
      </c>
      <c r="G795" t="s">
        <v>74</v>
      </c>
      <c r="H795" t="s">
        <v>74</v>
      </c>
      <c r="I795" t="s">
        <v>15220</v>
      </c>
      <c r="J795" t="s">
        <v>15221</v>
      </c>
      <c r="K795" t="s">
        <v>74</v>
      </c>
      <c r="L795" t="s">
        <v>74</v>
      </c>
      <c r="M795" t="s">
        <v>78</v>
      </c>
      <c r="N795" t="s">
        <v>79</v>
      </c>
      <c r="O795" t="s">
        <v>74</v>
      </c>
      <c r="P795" t="s">
        <v>74</v>
      </c>
      <c r="Q795" t="s">
        <v>74</v>
      </c>
      <c r="R795" t="s">
        <v>74</v>
      </c>
      <c r="S795" t="s">
        <v>74</v>
      </c>
      <c r="T795" t="s">
        <v>15222</v>
      </c>
      <c r="U795" t="s">
        <v>15223</v>
      </c>
      <c r="V795" t="s">
        <v>15224</v>
      </c>
      <c r="W795" t="s">
        <v>15225</v>
      </c>
      <c r="X795" t="s">
        <v>15226</v>
      </c>
      <c r="Y795" t="s">
        <v>15227</v>
      </c>
      <c r="Z795" t="s">
        <v>15228</v>
      </c>
      <c r="AA795" t="s">
        <v>15229</v>
      </c>
      <c r="AB795" t="s">
        <v>15230</v>
      </c>
      <c r="AC795" t="s">
        <v>15231</v>
      </c>
      <c r="AD795" t="s">
        <v>15232</v>
      </c>
      <c r="AE795" t="s">
        <v>15233</v>
      </c>
      <c r="AF795" t="s">
        <v>74</v>
      </c>
      <c r="AG795">
        <v>34</v>
      </c>
      <c r="AH795">
        <v>1</v>
      </c>
      <c r="AI795">
        <v>1</v>
      </c>
      <c r="AJ795">
        <v>0</v>
      </c>
      <c r="AK795">
        <v>28</v>
      </c>
      <c r="AL795" t="s">
        <v>758</v>
      </c>
      <c r="AM795" t="s">
        <v>759</v>
      </c>
      <c r="AN795" t="s">
        <v>760</v>
      </c>
      <c r="AO795" t="s">
        <v>15234</v>
      </c>
      <c r="AP795" t="s">
        <v>15235</v>
      </c>
      <c r="AQ795" t="s">
        <v>74</v>
      </c>
      <c r="AR795" t="s">
        <v>15236</v>
      </c>
      <c r="AS795" t="s">
        <v>15237</v>
      </c>
      <c r="AT795" t="s">
        <v>13121</v>
      </c>
      <c r="AU795">
        <v>2018</v>
      </c>
      <c r="AV795">
        <v>66</v>
      </c>
      <c r="AW795">
        <v>3</v>
      </c>
      <c r="AX795" t="s">
        <v>74</v>
      </c>
      <c r="AY795" t="s">
        <v>74</v>
      </c>
      <c r="AZ795" t="s">
        <v>74</v>
      </c>
      <c r="BA795" t="s">
        <v>74</v>
      </c>
      <c r="BB795">
        <v>173</v>
      </c>
      <c r="BC795">
        <v>181</v>
      </c>
      <c r="BD795" t="s">
        <v>74</v>
      </c>
      <c r="BE795" t="s">
        <v>15238</v>
      </c>
      <c r="BF795" t="str">
        <f>HYPERLINK("http://dx.doi.org/10.1111/pre.12221","http://dx.doi.org/10.1111/pre.12221")</f>
        <v>http://dx.doi.org/10.1111/pre.12221</v>
      </c>
      <c r="BG795" t="s">
        <v>74</v>
      </c>
      <c r="BH795" t="s">
        <v>74</v>
      </c>
      <c r="BI795">
        <v>9</v>
      </c>
      <c r="BJ795" t="s">
        <v>1630</v>
      </c>
      <c r="BK795" t="s">
        <v>101</v>
      </c>
      <c r="BL795" t="s">
        <v>1630</v>
      </c>
      <c r="BM795" t="s">
        <v>15239</v>
      </c>
      <c r="BN795" t="s">
        <v>74</v>
      </c>
      <c r="BO795" t="s">
        <v>74</v>
      </c>
      <c r="BP795" t="s">
        <v>74</v>
      </c>
      <c r="BQ795" t="s">
        <v>74</v>
      </c>
      <c r="BR795" t="s">
        <v>104</v>
      </c>
      <c r="BS795" t="s">
        <v>15240</v>
      </c>
      <c r="BT795" t="str">
        <f>HYPERLINK("https%3A%2F%2Fwww.webofscience.com%2Fwos%2Fwoscc%2Ffull-record%2FWOS:000437840100003","View Full Record in Web of Science")</f>
        <v>View Full Record in Web of Science</v>
      </c>
    </row>
    <row r="796" spans="1:72" x14ac:dyDescent="0.15">
      <c r="A796" t="s">
        <v>72</v>
      </c>
      <c r="B796" t="s">
        <v>15241</v>
      </c>
      <c r="C796" t="s">
        <v>74</v>
      </c>
      <c r="D796" t="s">
        <v>74</v>
      </c>
      <c r="E796" t="s">
        <v>74</v>
      </c>
      <c r="F796" t="s">
        <v>15242</v>
      </c>
      <c r="G796" t="s">
        <v>74</v>
      </c>
      <c r="H796" t="s">
        <v>74</v>
      </c>
      <c r="I796" t="s">
        <v>15243</v>
      </c>
      <c r="J796" t="s">
        <v>1192</v>
      </c>
      <c r="K796" t="s">
        <v>74</v>
      </c>
      <c r="L796" t="s">
        <v>74</v>
      </c>
      <c r="M796" t="s">
        <v>78</v>
      </c>
      <c r="N796" t="s">
        <v>79</v>
      </c>
      <c r="O796" t="s">
        <v>74</v>
      </c>
      <c r="P796" t="s">
        <v>74</v>
      </c>
      <c r="Q796" t="s">
        <v>74</v>
      </c>
      <c r="R796" t="s">
        <v>74</v>
      </c>
      <c r="S796" t="s">
        <v>74</v>
      </c>
      <c r="T796" t="s">
        <v>15244</v>
      </c>
      <c r="U796" t="s">
        <v>15245</v>
      </c>
      <c r="V796" t="s">
        <v>15246</v>
      </c>
      <c r="W796" t="s">
        <v>15247</v>
      </c>
      <c r="X796" t="s">
        <v>4956</v>
      </c>
      <c r="Y796" t="s">
        <v>15248</v>
      </c>
      <c r="Z796" t="s">
        <v>11484</v>
      </c>
      <c r="AA796" t="s">
        <v>74</v>
      </c>
      <c r="AB796" t="s">
        <v>74</v>
      </c>
      <c r="AC796" t="s">
        <v>15249</v>
      </c>
      <c r="AD796" t="s">
        <v>15250</v>
      </c>
      <c r="AE796" t="s">
        <v>15251</v>
      </c>
      <c r="AF796" t="s">
        <v>74</v>
      </c>
      <c r="AG796">
        <v>42</v>
      </c>
      <c r="AH796">
        <v>11</v>
      </c>
      <c r="AI796">
        <v>12</v>
      </c>
      <c r="AJ796">
        <v>0</v>
      </c>
      <c r="AK796">
        <v>23</v>
      </c>
      <c r="AL796" t="s">
        <v>337</v>
      </c>
      <c r="AM796" t="s">
        <v>258</v>
      </c>
      <c r="AN796" t="s">
        <v>338</v>
      </c>
      <c r="AO796" t="s">
        <v>1204</v>
      </c>
      <c r="AP796" t="s">
        <v>1205</v>
      </c>
      <c r="AQ796" t="s">
        <v>74</v>
      </c>
      <c r="AR796" t="s">
        <v>1206</v>
      </c>
      <c r="AS796" t="s">
        <v>1207</v>
      </c>
      <c r="AT796" t="s">
        <v>13121</v>
      </c>
      <c r="AU796">
        <v>2018</v>
      </c>
      <c r="AV796">
        <v>41</v>
      </c>
      <c r="AW796">
        <v>7</v>
      </c>
      <c r="AX796" t="s">
        <v>74</v>
      </c>
      <c r="AY796" t="s">
        <v>74</v>
      </c>
      <c r="AZ796" t="s">
        <v>74</v>
      </c>
      <c r="BA796" t="s">
        <v>74</v>
      </c>
      <c r="BB796">
        <v>1435</v>
      </c>
      <c r="BC796">
        <v>1445</v>
      </c>
      <c r="BD796" t="s">
        <v>74</v>
      </c>
      <c r="BE796" t="s">
        <v>15252</v>
      </c>
      <c r="BF796" t="str">
        <f>HYPERLINK("http://dx.doi.org/10.1007/s00300-018-2296-3","http://dx.doi.org/10.1007/s00300-018-2296-3")</f>
        <v>http://dx.doi.org/10.1007/s00300-018-2296-3</v>
      </c>
      <c r="BG796" t="s">
        <v>74</v>
      </c>
      <c r="BH796" t="s">
        <v>74</v>
      </c>
      <c r="BI796">
        <v>11</v>
      </c>
      <c r="BJ796" t="s">
        <v>1209</v>
      </c>
      <c r="BK796" t="s">
        <v>101</v>
      </c>
      <c r="BL796" t="s">
        <v>1210</v>
      </c>
      <c r="BM796" t="s">
        <v>13708</v>
      </c>
      <c r="BN796" t="s">
        <v>74</v>
      </c>
      <c r="BO796" t="s">
        <v>74</v>
      </c>
      <c r="BP796" t="s">
        <v>74</v>
      </c>
      <c r="BQ796" t="s">
        <v>74</v>
      </c>
      <c r="BR796" t="s">
        <v>104</v>
      </c>
      <c r="BS796" t="s">
        <v>15253</v>
      </c>
      <c r="BT796" t="str">
        <f>HYPERLINK("https%3A%2F%2Fwww.webofscience.com%2Fwos%2Fwoscc%2Ffull-record%2FWOS:000437102400010","View Full Record in Web of Science")</f>
        <v>View Full Record in Web of Science</v>
      </c>
    </row>
    <row r="797" spans="1:72" x14ac:dyDescent="0.15">
      <c r="A797" t="s">
        <v>72</v>
      </c>
      <c r="B797" t="s">
        <v>15254</v>
      </c>
      <c r="C797" t="s">
        <v>74</v>
      </c>
      <c r="D797" t="s">
        <v>74</v>
      </c>
      <c r="E797" t="s">
        <v>74</v>
      </c>
      <c r="F797" t="s">
        <v>15255</v>
      </c>
      <c r="G797" t="s">
        <v>74</v>
      </c>
      <c r="H797" t="s">
        <v>74</v>
      </c>
      <c r="I797" t="s">
        <v>15256</v>
      </c>
      <c r="J797" t="s">
        <v>15257</v>
      </c>
      <c r="K797" t="s">
        <v>74</v>
      </c>
      <c r="L797" t="s">
        <v>74</v>
      </c>
      <c r="M797" t="s">
        <v>78</v>
      </c>
      <c r="N797" t="s">
        <v>79</v>
      </c>
      <c r="O797" t="s">
        <v>74</v>
      </c>
      <c r="P797" t="s">
        <v>74</v>
      </c>
      <c r="Q797" t="s">
        <v>74</v>
      </c>
      <c r="R797" t="s">
        <v>74</v>
      </c>
      <c r="S797" t="s">
        <v>74</v>
      </c>
      <c r="T797" t="s">
        <v>15258</v>
      </c>
      <c r="U797" t="s">
        <v>15259</v>
      </c>
      <c r="V797" t="s">
        <v>15260</v>
      </c>
      <c r="W797" t="s">
        <v>15261</v>
      </c>
      <c r="X797" t="s">
        <v>15262</v>
      </c>
      <c r="Y797" t="s">
        <v>15263</v>
      </c>
      <c r="Z797" t="s">
        <v>15264</v>
      </c>
      <c r="AA797" t="s">
        <v>15265</v>
      </c>
      <c r="AB797" t="s">
        <v>15266</v>
      </c>
      <c r="AC797" t="s">
        <v>15267</v>
      </c>
      <c r="AD797" t="s">
        <v>15268</v>
      </c>
      <c r="AE797" t="s">
        <v>15269</v>
      </c>
      <c r="AF797" t="s">
        <v>74</v>
      </c>
      <c r="AG797">
        <v>45</v>
      </c>
      <c r="AH797">
        <v>30</v>
      </c>
      <c r="AI797">
        <v>31</v>
      </c>
      <c r="AJ797">
        <v>0</v>
      </c>
      <c r="AK797">
        <v>13</v>
      </c>
      <c r="AL797" t="s">
        <v>1901</v>
      </c>
      <c r="AM797" t="s">
        <v>1902</v>
      </c>
      <c r="AN797" t="s">
        <v>1903</v>
      </c>
      <c r="AO797" t="s">
        <v>15270</v>
      </c>
      <c r="AP797" t="s">
        <v>15271</v>
      </c>
      <c r="AQ797" t="s">
        <v>74</v>
      </c>
      <c r="AR797" t="s">
        <v>15257</v>
      </c>
      <c r="AS797" t="s">
        <v>15272</v>
      </c>
      <c r="AT797" t="s">
        <v>13121</v>
      </c>
      <c r="AU797">
        <v>2018</v>
      </c>
      <c r="AV797">
        <v>255</v>
      </c>
      <c r="AW797">
        <v>4</v>
      </c>
      <c r="AX797" t="s">
        <v>74</v>
      </c>
      <c r="AY797" t="s">
        <v>74</v>
      </c>
      <c r="AZ797" t="s">
        <v>74</v>
      </c>
      <c r="BA797" t="s">
        <v>74</v>
      </c>
      <c r="BB797">
        <v>1239</v>
      </c>
      <c r="BC797">
        <v>1252</v>
      </c>
      <c r="BD797" t="s">
        <v>74</v>
      </c>
      <c r="BE797" t="s">
        <v>15273</v>
      </c>
      <c r="BF797" t="str">
        <f>HYPERLINK("http://dx.doi.org/10.1007/s00709-018-1225-1","http://dx.doi.org/10.1007/s00709-018-1225-1")</f>
        <v>http://dx.doi.org/10.1007/s00709-018-1225-1</v>
      </c>
      <c r="BG797" t="s">
        <v>74</v>
      </c>
      <c r="BH797" t="s">
        <v>74</v>
      </c>
      <c r="BI797">
        <v>14</v>
      </c>
      <c r="BJ797" t="s">
        <v>15274</v>
      </c>
      <c r="BK797" t="s">
        <v>101</v>
      </c>
      <c r="BL797" t="s">
        <v>15274</v>
      </c>
      <c r="BM797" t="s">
        <v>15275</v>
      </c>
      <c r="BN797">
        <v>29470709</v>
      </c>
      <c r="BO797" t="s">
        <v>2444</v>
      </c>
      <c r="BP797" t="s">
        <v>74</v>
      </c>
      <c r="BQ797" t="s">
        <v>74</v>
      </c>
      <c r="BR797" t="s">
        <v>104</v>
      </c>
      <c r="BS797" t="s">
        <v>15276</v>
      </c>
      <c r="BT797" t="str">
        <f>HYPERLINK("https%3A%2F%2Fwww.webofscience.com%2Fwos%2Fwoscc%2Ffull-record%2FWOS:000434795100021","View Full Record in Web of Science")</f>
        <v>View Full Record in Web of Science</v>
      </c>
    </row>
    <row r="798" spans="1:72" x14ac:dyDescent="0.15">
      <c r="A798" t="s">
        <v>72</v>
      </c>
      <c r="B798" t="s">
        <v>15277</v>
      </c>
      <c r="C798" t="s">
        <v>74</v>
      </c>
      <c r="D798" t="s">
        <v>74</v>
      </c>
      <c r="E798" t="s">
        <v>74</v>
      </c>
      <c r="F798" t="s">
        <v>15278</v>
      </c>
      <c r="G798" t="s">
        <v>74</v>
      </c>
      <c r="H798" t="s">
        <v>74</v>
      </c>
      <c r="I798" t="s">
        <v>15279</v>
      </c>
      <c r="J798" t="s">
        <v>15280</v>
      </c>
      <c r="K798" t="s">
        <v>74</v>
      </c>
      <c r="L798" t="s">
        <v>74</v>
      </c>
      <c r="M798" t="s">
        <v>78</v>
      </c>
      <c r="N798" t="s">
        <v>79</v>
      </c>
      <c r="O798" t="s">
        <v>74</v>
      </c>
      <c r="P798" t="s">
        <v>74</v>
      </c>
      <c r="Q798" t="s">
        <v>74</v>
      </c>
      <c r="R798" t="s">
        <v>74</v>
      </c>
      <c r="S798" t="s">
        <v>74</v>
      </c>
      <c r="T798" t="s">
        <v>15281</v>
      </c>
      <c r="U798" t="s">
        <v>15282</v>
      </c>
      <c r="V798" t="s">
        <v>15283</v>
      </c>
      <c r="W798" t="s">
        <v>15284</v>
      </c>
      <c r="X798" t="s">
        <v>15285</v>
      </c>
      <c r="Y798" t="s">
        <v>15286</v>
      </c>
      <c r="Z798" t="s">
        <v>15287</v>
      </c>
      <c r="AA798" t="s">
        <v>15288</v>
      </c>
      <c r="AB798" t="s">
        <v>15289</v>
      </c>
      <c r="AC798" t="s">
        <v>15290</v>
      </c>
      <c r="AD798" t="s">
        <v>15291</v>
      </c>
      <c r="AE798" t="s">
        <v>15292</v>
      </c>
      <c r="AF798" t="s">
        <v>74</v>
      </c>
      <c r="AG798">
        <v>76</v>
      </c>
      <c r="AH798">
        <v>34</v>
      </c>
      <c r="AI798">
        <v>40</v>
      </c>
      <c r="AJ798">
        <v>8</v>
      </c>
      <c r="AK798">
        <v>41</v>
      </c>
      <c r="AL798" t="s">
        <v>15293</v>
      </c>
      <c r="AM798" t="s">
        <v>15294</v>
      </c>
      <c r="AN798" t="s">
        <v>15295</v>
      </c>
      <c r="AO798" t="s">
        <v>15296</v>
      </c>
      <c r="AP798" t="s">
        <v>74</v>
      </c>
      <c r="AQ798" t="s">
        <v>74</v>
      </c>
      <c r="AR798" t="s">
        <v>15297</v>
      </c>
      <c r="AS798" t="s">
        <v>15298</v>
      </c>
      <c r="AT798" t="s">
        <v>13121</v>
      </c>
      <c r="AU798">
        <v>2018</v>
      </c>
      <c r="AV798">
        <v>41</v>
      </c>
      <c r="AW798">
        <v>4</v>
      </c>
      <c r="AX798" t="s">
        <v>74</v>
      </c>
      <c r="AY798" t="s">
        <v>74</v>
      </c>
      <c r="AZ798" t="s">
        <v>74</v>
      </c>
      <c r="BA798" t="s">
        <v>74</v>
      </c>
      <c r="BB798">
        <v>279</v>
      </c>
      <c r="BC798">
        <v>290</v>
      </c>
      <c r="BD798" t="s">
        <v>74</v>
      </c>
      <c r="BE798" t="s">
        <v>15299</v>
      </c>
      <c r="BF798" t="str">
        <f>HYPERLINK("http://dx.doi.org/10.1016/j.syapm.2018.01.009","http://dx.doi.org/10.1016/j.syapm.2018.01.009")</f>
        <v>http://dx.doi.org/10.1016/j.syapm.2018.01.009</v>
      </c>
      <c r="BG798" t="s">
        <v>74</v>
      </c>
      <c r="BH798" t="s">
        <v>74</v>
      </c>
      <c r="BI798">
        <v>12</v>
      </c>
      <c r="BJ798" t="s">
        <v>13600</v>
      </c>
      <c r="BK798" t="s">
        <v>101</v>
      </c>
      <c r="BL798" t="s">
        <v>13600</v>
      </c>
      <c r="BM798" t="s">
        <v>15300</v>
      </c>
      <c r="BN798">
        <v>29475572</v>
      </c>
      <c r="BO798" t="s">
        <v>74</v>
      </c>
      <c r="BP798" t="s">
        <v>74</v>
      </c>
      <c r="BQ798" t="s">
        <v>74</v>
      </c>
      <c r="BR798" t="s">
        <v>104</v>
      </c>
      <c r="BS798" t="s">
        <v>15301</v>
      </c>
      <c r="BT798" t="str">
        <f>HYPERLINK("https%3A%2F%2Fwww.webofscience.com%2Fwos%2Fwoscc%2Ffull-record%2FWOS:000439923300003","View Full Record in Web of Science")</f>
        <v>View Full Record in Web of Science</v>
      </c>
    </row>
    <row r="799" spans="1:72" x14ac:dyDescent="0.15">
      <c r="A799" t="s">
        <v>72</v>
      </c>
      <c r="B799" t="s">
        <v>15302</v>
      </c>
      <c r="C799" t="s">
        <v>74</v>
      </c>
      <c r="D799" t="s">
        <v>74</v>
      </c>
      <c r="E799" t="s">
        <v>74</v>
      </c>
      <c r="F799" t="s">
        <v>15303</v>
      </c>
      <c r="G799" t="s">
        <v>74</v>
      </c>
      <c r="H799" t="s">
        <v>74</v>
      </c>
      <c r="I799" t="s">
        <v>15304</v>
      </c>
      <c r="J799" t="s">
        <v>15280</v>
      </c>
      <c r="K799" t="s">
        <v>74</v>
      </c>
      <c r="L799" t="s">
        <v>74</v>
      </c>
      <c r="M799" t="s">
        <v>78</v>
      </c>
      <c r="N799" t="s">
        <v>79</v>
      </c>
      <c r="O799" t="s">
        <v>74</v>
      </c>
      <c r="P799" t="s">
        <v>74</v>
      </c>
      <c r="Q799" t="s">
        <v>74</v>
      </c>
      <c r="R799" t="s">
        <v>74</v>
      </c>
      <c r="S799" t="s">
        <v>74</v>
      </c>
      <c r="T799" t="s">
        <v>15305</v>
      </c>
      <c r="U799" t="s">
        <v>15306</v>
      </c>
      <c r="V799" t="s">
        <v>15307</v>
      </c>
      <c r="W799" t="s">
        <v>15308</v>
      </c>
      <c r="X799" t="s">
        <v>15309</v>
      </c>
      <c r="Y799" t="s">
        <v>15310</v>
      </c>
      <c r="Z799" t="s">
        <v>15311</v>
      </c>
      <c r="AA799" t="s">
        <v>15312</v>
      </c>
      <c r="AB799" t="s">
        <v>15313</v>
      </c>
      <c r="AC799" t="s">
        <v>15314</v>
      </c>
      <c r="AD799" t="s">
        <v>15315</v>
      </c>
      <c r="AE799" t="s">
        <v>15316</v>
      </c>
      <c r="AF799" t="s">
        <v>74</v>
      </c>
      <c r="AG799">
        <v>59</v>
      </c>
      <c r="AH799">
        <v>28</v>
      </c>
      <c r="AI799">
        <v>29</v>
      </c>
      <c r="AJ799">
        <v>2</v>
      </c>
      <c r="AK799">
        <v>48</v>
      </c>
      <c r="AL799" t="s">
        <v>15293</v>
      </c>
      <c r="AM799" t="s">
        <v>15294</v>
      </c>
      <c r="AN799" t="s">
        <v>15295</v>
      </c>
      <c r="AO799" t="s">
        <v>15296</v>
      </c>
      <c r="AP799" t="s">
        <v>15317</v>
      </c>
      <c r="AQ799" t="s">
        <v>74</v>
      </c>
      <c r="AR799" t="s">
        <v>15297</v>
      </c>
      <c r="AS799" t="s">
        <v>15298</v>
      </c>
      <c r="AT799" t="s">
        <v>13121</v>
      </c>
      <c r="AU799">
        <v>2018</v>
      </c>
      <c r="AV799">
        <v>41</v>
      </c>
      <c r="AW799">
        <v>4</v>
      </c>
      <c r="AX799" t="s">
        <v>74</v>
      </c>
      <c r="AY799" t="s">
        <v>74</v>
      </c>
      <c r="AZ799" t="s">
        <v>74</v>
      </c>
      <c r="BA799" t="s">
        <v>74</v>
      </c>
      <c r="BB799">
        <v>363</v>
      </c>
      <c r="BC799">
        <v>373</v>
      </c>
      <c r="BD799" t="s">
        <v>74</v>
      </c>
      <c r="BE799" t="s">
        <v>15318</v>
      </c>
      <c r="BF799" t="str">
        <f>HYPERLINK("http://dx.doi.org/10.1016/j.syapm.2018.01.006","http://dx.doi.org/10.1016/j.syapm.2018.01.006")</f>
        <v>http://dx.doi.org/10.1016/j.syapm.2018.01.006</v>
      </c>
      <c r="BG799" t="s">
        <v>74</v>
      </c>
      <c r="BH799" t="s">
        <v>74</v>
      </c>
      <c r="BI799">
        <v>11</v>
      </c>
      <c r="BJ799" t="s">
        <v>13600</v>
      </c>
      <c r="BK799" t="s">
        <v>101</v>
      </c>
      <c r="BL799" t="s">
        <v>13600</v>
      </c>
      <c r="BM799" t="s">
        <v>15300</v>
      </c>
      <c r="BN799">
        <v>29452715</v>
      </c>
      <c r="BO799" t="s">
        <v>74</v>
      </c>
      <c r="BP799" t="s">
        <v>74</v>
      </c>
      <c r="BQ799" t="s">
        <v>74</v>
      </c>
      <c r="BR799" t="s">
        <v>104</v>
      </c>
      <c r="BS799" t="s">
        <v>15319</v>
      </c>
      <c r="BT799" t="str">
        <f>HYPERLINK("https%3A%2F%2Fwww.webofscience.com%2Fwos%2Fwoscc%2Ffull-record%2FWOS:000439923300012","View Full Record in Web of Science")</f>
        <v>View Full Record in Web of Science</v>
      </c>
    </row>
    <row r="800" spans="1:72" x14ac:dyDescent="0.15">
      <c r="A800" t="s">
        <v>72</v>
      </c>
      <c r="B800" t="s">
        <v>15320</v>
      </c>
      <c r="C800" t="s">
        <v>74</v>
      </c>
      <c r="D800" t="s">
        <v>74</v>
      </c>
      <c r="E800" t="s">
        <v>74</v>
      </c>
      <c r="F800" t="s">
        <v>15321</v>
      </c>
      <c r="G800" t="s">
        <v>74</v>
      </c>
      <c r="H800" t="s">
        <v>74</v>
      </c>
      <c r="I800" t="s">
        <v>15322</v>
      </c>
      <c r="J800" t="s">
        <v>15323</v>
      </c>
      <c r="K800" t="s">
        <v>74</v>
      </c>
      <c r="L800" t="s">
        <v>74</v>
      </c>
      <c r="M800" t="s">
        <v>78</v>
      </c>
      <c r="N800" t="s">
        <v>79</v>
      </c>
      <c r="O800" t="s">
        <v>74</v>
      </c>
      <c r="P800" t="s">
        <v>74</v>
      </c>
      <c r="Q800" t="s">
        <v>74</v>
      </c>
      <c r="R800" t="s">
        <v>74</v>
      </c>
      <c r="S800" t="s">
        <v>74</v>
      </c>
      <c r="T800" t="s">
        <v>74</v>
      </c>
      <c r="U800" t="s">
        <v>15324</v>
      </c>
      <c r="V800" t="s">
        <v>15325</v>
      </c>
      <c r="W800" t="s">
        <v>15326</v>
      </c>
      <c r="X800" t="s">
        <v>15327</v>
      </c>
      <c r="Y800" t="s">
        <v>15328</v>
      </c>
      <c r="Z800" t="s">
        <v>15329</v>
      </c>
      <c r="AA800" t="s">
        <v>15330</v>
      </c>
      <c r="AB800" t="s">
        <v>15331</v>
      </c>
      <c r="AC800" t="s">
        <v>15332</v>
      </c>
      <c r="AD800" t="s">
        <v>15333</v>
      </c>
      <c r="AE800" t="s">
        <v>15334</v>
      </c>
      <c r="AF800" t="s">
        <v>74</v>
      </c>
      <c r="AG800">
        <v>21</v>
      </c>
      <c r="AH800">
        <v>12</v>
      </c>
      <c r="AI800">
        <v>13</v>
      </c>
      <c r="AJ800">
        <v>1</v>
      </c>
      <c r="AK800">
        <v>9</v>
      </c>
      <c r="AL800" t="s">
        <v>1901</v>
      </c>
      <c r="AM800" t="s">
        <v>1902</v>
      </c>
      <c r="AN800" t="s">
        <v>1903</v>
      </c>
      <c r="AO800" t="s">
        <v>15335</v>
      </c>
      <c r="AP800" t="s">
        <v>15336</v>
      </c>
      <c r="AQ800" t="s">
        <v>74</v>
      </c>
      <c r="AR800" t="s">
        <v>15337</v>
      </c>
      <c r="AS800" t="s">
        <v>15338</v>
      </c>
      <c r="AT800" t="s">
        <v>13121</v>
      </c>
      <c r="AU800">
        <v>2018</v>
      </c>
      <c r="AV800">
        <v>163</v>
      </c>
      <c r="AW800">
        <v>7</v>
      </c>
      <c r="AX800" t="s">
        <v>74</v>
      </c>
      <c r="AY800" t="s">
        <v>74</v>
      </c>
      <c r="AZ800" t="s">
        <v>74</v>
      </c>
      <c r="BA800" t="s">
        <v>74</v>
      </c>
      <c r="BB800">
        <v>1921</v>
      </c>
      <c r="BC800">
        <v>1926</v>
      </c>
      <c r="BD800" t="s">
        <v>74</v>
      </c>
      <c r="BE800" t="s">
        <v>15339</v>
      </c>
      <c r="BF800" t="str">
        <f>HYPERLINK("http://dx.doi.org/10.1007/s00705-018-3794-x","http://dx.doi.org/10.1007/s00705-018-3794-x")</f>
        <v>http://dx.doi.org/10.1007/s00705-018-3794-x</v>
      </c>
      <c r="BG800" t="s">
        <v>74</v>
      </c>
      <c r="BH800" t="s">
        <v>74</v>
      </c>
      <c r="BI800">
        <v>6</v>
      </c>
      <c r="BJ800" t="s">
        <v>15340</v>
      </c>
      <c r="BK800" t="s">
        <v>101</v>
      </c>
      <c r="BL800" t="s">
        <v>15340</v>
      </c>
      <c r="BM800" t="s">
        <v>15341</v>
      </c>
      <c r="BN800">
        <v>29516246</v>
      </c>
      <c r="BO800" t="s">
        <v>661</v>
      </c>
      <c r="BP800" t="s">
        <v>74</v>
      </c>
      <c r="BQ800" t="s">
        <v>74</v>
      </c>
      <c r="BR800" t="s">
        <v>104</v>
      </c>
      <c r="BS800" t="s">
        <v>15342</v>
      </c>
      <c r="BT800" t="str">
        <f>HYPERLINK("https%3A%2F%2Fwww.webofscience.com%2Fwos%2Fwoscc%2Ffull-record%2FWOS:000435401300020","View Full Record in Web of Science")</f>
        <v>View Full Record in Web of Science</v>
      </c>
    </row>
    <row r="801" spans="1:72" x14ac:dyDescent="0.15">
      <c r="A801" t="s">
        <v>72</v>
      </c>
      <c r="B801" t="s">
        <v>15343</v>
      </c>
      <c r="C801" t="s">
        <v>74</v>
      </c>
      <c r="D801" t="s">
        <v>74</v>
      </c>
      <c r="E801" t="s">
        <v>74</v>
      </c>
      <c r="F801" t="s">
        <v>15344</v>
      </c>
      <c r="G801" t="s">
        <v>74</v>
      </c>
      <c r="H801" t="s">
        <v>74</v>
      </c>
      <c r="I801" t="s">
        <v>15345</v>
      </c>
      <c r="J801" t="s">
        <v>15346</v>
      </c>
      <c r="K801" t="s">
        <v>74</v>
      </c>
      <c r="L801" t="s">
        <v>74</v>
      </c>
      <c r="M801" t="s">
        <v>78</v>
      </c>
      <c r="N801" t="s">
        <v>79</v>
      </c>
      <c r="O801" t="s">
        <v>74</v>
      </c>
      <c r="P801" t="s">
        <v>74</v>
      </c>
      <c r="Q801" t="s">
        <v>74</v>
      </c>
      <c r="R801" t="s">
        <v>74</v>
      </c>
      <c r="S801" t="s">
        <v>74</v>
      </c>
      <c r="T801" t="s">
        <v>15347</v>
      </c>
      <c r="U801" t="s">
        <v>15348</v>
      </c>
      <c r="V801" t="s">
        <v>15349</v>
      </c>
      <c r="W801" t="s">
        <v>15350</v>
      </c>
      <c r="X801" t="s">
        <v>15351</v>
      </c>
      <c r="Y801" t="s">
        <v>15352</v>
      </c>
      <c r="Z801" t="s">
        <v>15353</v>
      </c>
      <c r="AA801" t="s">
        <v>15354</v>
      </c>
      <c r="AB801" t="s">
        <v>15355</v>
      </c>
      <c r="AC801" t="s">
        <v>15356</v>
      </c>
      <c r="AD801" t="s">
        <v>15356</v>
      </c>
      <c r="AE801" t="s">
        <v>15357</v>
      </c>
      <c r="AF801" t="s">
        <v>74</v>
      </c>
      <c r="AG801">
        <v>80</v>
      </c>
      <c r="AH801">
        <v>29</v>
      </c>
      <c r="AI801">
        <v>32</v>
      </c>
      <c r="AJ801">
        <v>2</v>
      </c>
      <c r="AK801">
        <v>42</v>
      </c>
      <c r="AL801" t="s">
        <v>758</v>
      </c>
      <c r="AM801" t="s">
        <v>759</v>
      </c>
      <c r="AN801" t="s">
        <v>760</v>
      </c>
      <c r="AO801" t="s">
        <v>15358</v>
      </c>
      <c r="AP801" t="s">
        <v>15359</v>
      </c>
      <c r="AQ801" t="s">
        <v>74</v>
      </c>
      <c r="AR801" t="s">
        <v>15360</v>
      </c>
      <c r="AS801" t="s">
        <v>15361</v>
      </c>
      <c r="AT801" t="s">
        <v>13121</v>
      </c>
      <c r="AU801">
        <v>2018</v>
      </c>
      <c r="AV801">
        <v>21</v>
      </c>
      <c r="AW801">
        <v>7</v>
      </c>
      <c r="AX801" t="s">
        <v>74</v>
      </c>
      <c r="AY801" t="s">
        <v>74</v>
      </c>
      <c r="AZ801" t="s">
        <v>74</v>
      </c>
      <c r="BA801" t="s">
        <v>74</v>
      </c>
      <c r="BB801">
        <v>1043</v>
      </c>
      <c r="BC801">
        <v>1054</v>
      </c>
      <c r="BD801" t="s">
        <v>74</v>
      </c>
      <c r="BE801" t="s">
        <v>15362</v>
      </c>
      <c r="BF801" t="str">
        <f>HYPERLINK("http://dx.doi.org/10.1111/ele.12970","http://dx.doi.org/10.1111/ele.12970")</f>
        <v>http://dx.doi.org/10.1111/ele.12970</v>
      </c>
      <c r="BG801" t="s">
        <v>74</v>
      </c>
      <c r="BH801" t="s">
        <v>74</v>
      </c>
      <c r="BI801">
        <v>12</v>
      </c>
      <c r="BJ801" t="s">
        <v>2087</v>
      </c>
      <c r="BK801" t="s">
        <v>101</v>
      </c>
      <c r="BL801" t="s">
        <v>559</v>
      </c>
      <c r="BM801" t="s">
        <v>15363</v>
      </c>
      <c r="BN801">
        <v>29659122</v>
      </c>
      <c r="BO801" t="s">
        <v>740</v>
      </c>
      <c r="BP801" t="s">
        <v>74</v>
      </c>
      <c r="BQ801" t="s">
        <v>74</v>
      </c>
      <c r="BR801" t="s">
        <v>104</v>
      </c>
      <c r="BS801" t="s">
        <v>15364</v>
      </c>
      <c r="BT801" t="str">
        <f>HYPERLINK("https%3A%2F%2Fwww.webofscience.com%2Fwos%2Fwoscc%2Ffull-record%2FWOS:000435270600010","View Full Record in Web of Science")</f>
        <v>View Full Record in Web of Science</v>
      </c>
    </row>
    <row r="802" spans="1:72" x14ac:dyDescent="0.15">
      <c r="A802" t="s">
        <v>72</v>
      </c>
      <c r="B802" t="s">
        <v>15365</v>
      </c>
      <c r="C802" t="s">
        <v>74</v>
      </c>
      <c r="D802" t="s">
        <v>74</v>
      </c>
      <c r="E802" t="s">
        <v>74</v>
      </c>
      <c r="F802" t="s">
        <v>15366</v>
      </c>
      <c r="G802" t="s">
        <v>74</v>
      </c>
      <c r="H802" t="s">
        <v>74</v>
      </c>
      <c r="I802" t="s">
        <v>15367</v>
      </c>
      <c r="J802" t="s">
        <v>4982</v>
      </c>
      <c r="K802" t="s">
        <v>74</v>
      </c>
      <c r="L802" t="s">
        <v>74</v>
      </c>
      <c r="M802" t="s">
        <v>78</v>
      </c>
      <c r="N802" t="s">
        <v>79</v>
      </c>
      <c r="O802" t="s">
        <v>74</v>
      </c>
      <c r="P802" t="s">
        <v>74</v>
      </c>
      <c r="Q802" t="s">
        <v>74</v>
      </c>
      <c r="R802" t="s">
        <v>74</v>
      </c>
      <c r="S802" t="s">
        <v>74</v>
      </c>
      <c r="T802" t="s">
        <v>15368</v>
      </c>
      <c r="U802" t="s">
        <v>15369</v>
      </c>
      <c r="V802" t="s">
        <v>15370</v>
      </c>
      <c r="W802" t="s">
        <v>15371</v>
      </c>
      <c r="X802" t="s">
        <v>15372</v>
      </c>
      <c r="Y802" t="s">
        <v>15373</v>
      </c>
      <c r="Z802" t="s">
        <v>15374</v>
      </c>
      <c r="AA802" t="s">
        <v>15375</v>
      </c>
      <c r="AB802" t="s">
        <v>15376</v>
      </c>
      <c r="AC802" t="s">
        <v>15377</v>
      </c>
      <c r="AD802" t="s">
        <v>15378</v>
      </c>
      <c r="AE802" t="s">
        <v>15379</v>
      </c>
      <c r="AF802" t="s">
        <v>74</v>
      </c>
      <c r="AG802">
        <v>48</v>
      </c>
      <c r="AH802">
        <v>4</v>
      </c>
      <c r="AI802">
        <v>4</v>
      </c>
      <c r="AJ802">
        <v>1</v>
      </c>
      <c r="AK802">
        <v>15</v>
      </c>
      <c r="AL802" t="s">
        <v>201</v>
      </c>
      <c r="AM802" t="s">
        <v>93</v>
      </c>
      <c r="AN802" t="s">
        <v>202</v>
      </c>
      <c r="AO802" t="s">
        <v>4995</v>
      </c>
      <c r="AP802" t="s">
        <v>4996</v>
      </c>
      <c r="AQ802" t="s">
        <v>74</v>
      </c>
      <c r="AR802" t="s">
        <v>4997</v>
      </c>
      <c r="AS802" t="s">
        <v>4998</v>
      </c>
      <c r="AT802" t="s">
        <v>13121</v>
      </c>
      <c r="AU802">
        <v>2018</v>
      </c>
      <c r="AV802">
        <v>85</v>
      </c>
      <c r="AW802" t="s">
        <v>74</v>
      </c>
      <c r="AX802" t="s">
        <v>74</v>
      </c>
      <c r="AY802" t="s">
        <v>74</v>
      </c>
      <c r="AZ802" t="s">
        <v>155</v>
      </c>
      <c r="BA802" t="s">
        <v>74</v>
      </c>
      <c r="BB802">
        <v>116</v>
      </c>
      <c r="BC802">
        <v>122</v>
      </c>
      <c r="BD802" t="s">
        <v>74</v>
      </c>
      <c r="BE802" t="s">
        <v>15380</v>
      </c>
      <c r="BF802" t="str">
        <f>HYPERLINK("http://dx.doi.org/10.1016/j.envsci.2018.04.006","http://dx.doi.org/10.1016/j.envsci.2018.04.006")</f>
        <v>http://dx.doi.org/10.1016/j.envsci.2018.04.006</v>
      </c>
      <c r="BG802" t="s">
        <v>74</v>
      </c>
      <c r="BH802" t="s">
        <v>74</v>
      </c>
      <c r="BI802">
        <v>7</v>
      </c>
      <c r="BJ802" t="s">
        <v>558</v>
      </c>
      <c r="BK802" t="s">
        <v>1140</v>
      </c>
      <c r="BL802" t="s">
        <v>559</v>
      </c>
      <c r="BM802" t="s">
        <v>15381</v>
      </c>
      <c r="BN802" t="s">
        <v>74</v>
      </c>
      <c r="BO802" t="s">
        <v>74</v>
      </c>
      <c r="BP802" t="s">
        <v>74</v>
      </c>
      <c r="BQ802" t="s">
        <v>74</v>
      </c>
      <c r="BR802" t="s">
        <v>104</v>
      </c>
      <c r="BS802" t="s">
        <v>15382</v>
      </c>
      <c r="BT802" t="str">
        <f>HYPERLINK("https%3A%2F%2Fwww.webofscience.com%2Fwos%2Fwoscc%2Ffull-record%2FWOS:000435049300014","View Full Record in Web of Science")</f>
        <v>View Full Record in Web of Science</v>
      </c>
    </row>
    <row r="803" spans="1:72" x14ac:dyDescent="0.15">
      <c r="A803" t="s">
        <v>72</v>
      </c>
      <c r="B803" t="s">
        <v>15383</v>
      </c>
      <c r="C803" t="s">
        <v>74</v>
      </c>
      <c r="D803" t="s">
        <v>74</v>
      </c>
      <c r="E803" t="s">
        <v>74</v>
      </c>
      <c r="F803" t="s">
        <v>15384</v>
      </c>
      <c r="G803" t="s">
        <v>74</v>
      </c>
      <c r="H803" t="s">
        <v>74</v>
      </c>
      <c r="I803" t="s">
        <v>15385</v>
      </c>
      <c r="J803" t="s">
        <v>15386</v>
      </c>
      <c r="K803" t="s">
        <v>74</v>
      </c>
      <c r="L803" t="s">
        <v>74</v>
      </c>
      <c r="M803" t="s">
        <v>78</v>
      </c>
      <c r="N803" t="s">
        <v>133</v>
      </c>
      <c r="O803" t="s">
        <v>15387</v>
      </c>
      <c r="P803" t="s">
        <v>15388</v>
      </c>
      <c r="Q803" t="s">
        <v>15389</v>
      </c>
      <c r="R803" t="s">
        <v>74</v>
      </c>
      <c r="S803" t="s">
        <v>74</v>
      </c>
      <c r="T803" t="s">
        <v>15390</v>
      </c>
      <c r="U803" t="s">
        <v>15391</v>
      </c>
      <c r="V803" t="s">
        <v>15392</v>
      </c>
      <c r="W803" t="s">
        <v>15393</v>
      </c>
      <c r="X803" t="s">
        <v>15394</v>
      </c>
      <c r="Y803" t="s">
        <v>15395</v>
      </c>
      <c r="Z803" t="s">
        <v>15396</v>
      </c>
      <c r="AA803" t="s">
        <v>15397</v>
      </c>
      <c r="AB803" t="s">
        <v>15398</v>
      </c>
      <c r="AC803" t="s">
        <v>74</v>
      </c>
      <c r="AD803" t="s">
        <v>74</v>
      </c>
      <c r="AE803" t="s">
        <v>74</v>
      </c>
      <c r="AF803" t="s">
        <v>74</v>
      </c>
      <c r="AG803">
        <v>88</v>
      </c>
      <c r="AH803">
        <v>16</v>
      </c>
      <c r="AI803">
        <v>17</v>
      </c>
      <c r="AJ803">
        <v>1</v>
      </c>
      <c r="AK803">
        <v>7</v>
      </c>
      <c r="AL803" t="s">
        <v>337</v>
      </c>
      <c r="AM803" t="s">
        <v>258</v>
      </c>
      <c r="AN803" t="s">
        <v>387</v>
      </c>
      <c r="AO803" t="s">
        <v>15399</v>
      </c>
      <c r="AP803" t="s">
        <v>15400</v>
      </c>
      <c r="AQ803" t="s">
        <v>74</v>
      </c>
      <c r="AR803" t="s">
        <v>15401</v>
      </c>
      <c r="AS803" t="s">
        <v>15402</v>
      </c>
      <c r="AT803" t="s">
        <v>13121</v>
      </c>
      <c r="AU803">
        <v>2018</v>
      </c>
      <c r="AV803">
        <v>123</v>
      </c>
      <c r="AW803">
        <v>3</v>
      </c>
      <c r="AX803" t="s">
        <v>74</v>
      </c>
      <c r="AY803" t="s">
        <v>74</v>
      </c>
      <c r="AZ803" t="s">
        <v>155</v>
      </c>
      <c r="BA803" t="s">
        <v>74</v>
      </c>
      <c r="BB803">
        <v>457</v>
      </c>
      <c r="BC803">
        <v>476</v>
      </c>
      <c r="BD803" t="s">
        <v>74</v>
      </c>
      <c r="BE803" t="s">
        <v>15403</v>
      </c>
      <c r="BF803" t="str">
        <f>HYPERLINK("http://dx.doi.org/10.1007/s11242-018-1079-1","http://dx.doi.org/10.1007/s11242-018-1079-1")</f>
        <v>http://dx.doi.org/10.1007/s11242-018-1079-1</v>
      </c>
      <c r="BG803" t="s">
        <v>74</v>
      </c>
      <c r="BH803" t="s">
        <v>74</v>
      </c>
      <c r="BI803">
        <v>20</v>
      </c>
      <c r="BJ803" t="s">
        <v>15404</v>
      </c>
      <c r="BK803" t="s">
        <v>158</v>
      </c>
      <c r="BL803" t="s">
        <v>4854</v>
      </c>
      <c r="BM803" t="s">
        <v>15405</v>
      </c>
      <c r="BN803" t="s">
        <v>74</v>
      </c>
      <c r="BO803" t="s">
        <v>74</v>
      </c>
      <c r="BP803" t="s">
        <v>74</v>
      </c>
      <c r="BQ803" t="s">
        <v>74</v>
      </c>
      <c r="BR803" t="s">
        <v>104</v>
      </c>
      <c r="BS803" t="s">
        <v>15406</v>
      </c>
      <c r="BT803" t="str">
        <f>HYPERLINK("https%3A%2F%2Fwww.webofscience.com%2Fwos%2Fwoscc%2Ffull-record%2FWOS:000434910500002","View Full Record in Web of Science")</f>
        <v>View Full Record in Web of Science</v>
      </c>
    </row>
    <row r="804" spans="1:72" x14ac:dyDescent="0.15">
      <c r="A804" t="s">
        <v>72</v>
      </c>
      <c r="B804" t="s">
        <v>15407</v>
      </c>
      <c r="C804" t="s">
        <v>74</v>
      </c>
      <c r="D804" t="s">
        <v>74</v>
      </c>
      <c r="E804" t="s">
        <v>74</v>
      </c>
      <c r="F804" t="s">
        <v>15408</v>
      </c>
      <c r="G804" t="s">
        <v>74</v>
      </c>
      <c r="H804" t="s">
        <v>74</v>
      </c>
      <c r="I804" t="s">
        <v>15409</v>
      </c>
      <c r="J804" t="s">
        <v>299</v>
      </c>
      <c r="K804" t="s">
        <v>74</v>
      </c>
      <c r="L804" t="s">
        <v>74</v>
      </c>
      <c r="M804" t="s">
        <v>78</v>
      </c>
      <c r="N804" t="s">
        <v>79</v>
      </c>
      <c r="O804" t="s">
        <v>74</v>
      </c>
      <c r="P804" t="s">
        <v>74</v>
      </c>
      <c r="Q804" t="s">
        <v>74</v>
      </c>
      <c r="R804" t="s">
        <v>74</v>
      </c>
      <c r="S804" t="s">
        <v>74</v>
      </c>
      <c r="T804" t="s">
        <v>15410</v>
      </c>
      <c r="U804" t="s">
        <v>15411</v>
      </c>
      <c r="V804" t="s">
        <v>15412</v>
      </c>
      <c r="W804" t="s">
        <v>15413</v>
      </c>
      <c r="X804" t="s">
        <v>15414</v>
      </c>
      <c r="Y804" t="s">
        <v>15415</v>
      </c>
      <c r="Z804" t="s">
        <v>15416</v>
      </c>
      <c r="AA804" t="s">
        <v>15417</v>
      </c>
      <c r="AB804" t="s">
        <v>15418</v>
      </c>
      <c r="AC804" t="s">
        <v>15419</v>
      </c>
      <c r="AD804" t="s">
        <v>15420</v>
      </c>
      <c r="AE804" t="s">
        <v>15421</v>
      </c>
      <c r="AF804" t="s">
        <v>74</v>
      </c>
      <c r="AG804">
        <v>38</v>
      </c>
      <c r="AH804">
        <v>12</v>
      </c>
      <c r="AI804">
        <v>13</v>
      </c>
      <c r="AJ804">
        <v>5</v>
      </c>
      <c r="AK804">
        <v>34</v>
      </c>
      <c r="AL804" t="s">
        <v>149</v>
      </c>
      <c r="AM804" t="s">
        <v>93</v>
      </c>
      <c r="AN804" t="s">
        <v>150</v>
      </c>
      <c r="AO804" t="s">
        <v>312</v>
      </c>
      <c r="AP804" t="s">
        <v>313</v>
      </c>
      <c r="AQ804" t="s">
        <v>74</v>
      </c>
      <c r="AR804" t="s">
        <v>314</v>
      </c>
      <c r="AS804" t="s">
        <v>315</v>
      </c>
      <c r="AT804" t="s">
        <v>13121</v>
      </c>
      <c r="AU804">
        <v>2018</v>
      </c>
      <c r="AV804">
        <v>184</v>
      </c>
      <c r="AW804" t="s">
        <v>74</v>
      </c>
      <c r="AX804" t="s">
        <v>74</v>
      </c>
      <c r="AY804" t="s">
        <v>74</v>
      </c>
      <c r="AZ804" t="s">
        <v>74</v>
      </c>
      <c r="BA804" t="s">
        <v>74</v>
      </c>
      <c r="BB804">
        <v>212</v>
      </c>
      <c r="BC804">
        <v>223</v>
      </c>
      <c r="BD804" t="s">
        <v>74</v>
      </c>
      <c r="BE804" t="s">
        <v>15422</v>
      </c>
      <c r="BF804" t="str">
        <f>HYPERLINK("http://dx.doi.org/10.1016/j.atmosenv.2018.04.038","http://dx.doi.org/10.1016/j.atmosenv.2018.04.038")</f>
        <v>http://dx.doi.org/10.1016/j.atmosenv.2018.04.038</v>
      </c>
      <c r="BG804" t="s">
        <v>74</v>
      </c>
      <c r="BH804" t="s">
        <v>74</v>
      </c>
      <c r="BI804">
        <v>12</v>
      </c>
      <c r="BJ804" t="s">
        <v>317</v>
      </c>
      <c r="BK804" t="s">
        <v>101</v>
      </c>
      <c r="BL804" t="s">
        <v>318</v>
      </c>
      <c r="BM804" t="s">
        <v>15423</v>
      </c>
      <c r="BN804" t="s">
        <v>74</v>
      </c>
      <c r="BO804" t="s">
        <v>535</v>
      </c>
      <c r="BP804" t="s">
        <v>74</v>
      </c>
      <c r="BQ804" t="s">
        <v>74</v>
      </c>
      <c r="BR804" t="s">
        <v>104</v>
      </c>
      <c r="BS804" t="s">
        <v>15424</v>
      </c>
      <c r="BT804" t="str">
        <f>HYPERLINK("https%3A%2F%2Fwww.webofscience.com%2Fwos%2Fwoscc%2Ffull-record%2FWOS:000433652300022","View Full Record in Web of Science")</f>
        <v>View Full Record in Web of Science</v>
      </c>
    </row>
    <row r="805" spans="1:72" x14ac:dyDescent="0.15">
      <c r="A805" t="s">
        <v>72</v>
      </c>
      <c r="B805" t="s">
        <v>15425</v>
      </c>
      <c r="C805" t="s">
        <v>74</v>
      </c>
      <c r="D805" t="s">
        <v>74</v>
      </c>
      <c r="E805" t="s">
        <v>74</v>
      </c>
      <c r="F805" t="s">
        <v>15426</v>
      </c>
      <c r="G805" t="s">
        <v>74</v>
      </c>
      <c r="H805" t="s">
        <v>74</v>
      </c>
      <c r="I805" t="s">
        <v>15427</v>
      </c>
      <c r="J805" t="s">
        <v>2261</v>
      </c>
      <c r="K805" t="s">
        <v>74</v>
      </c>
      <c r="L805" t="s">
        <v>74</v>
      </c>
      <c r="M805" t="s">
        <v>78</v>
      </c>
      <c r="N805" t="s">
        <v>79</v>
      </c>
      <c r="O805" t="s">
        <v>74</v>
      </c>
      <c r="P805" t="s">
        <v>74</v>
      </c>
      <c r="Q805" t="s">
        <v>74</v>
      </c>
      <c r="R805" t="s">
        <v>74</v>
      </c>
      <c r="S805" t="s">
        <v>74</v>
      </c>
      <c r="T805" t="s">
        <v>15428</v>
      </c>
      <c r="U805" t="s">
        <v>15429</v>
      </c>
      <c r="V805" t="s">
        <v>15430</v>
      </c>
      <c r="W805" t="s">
        <v>15431</v>
      </c>
      <c r="X805" t="s">
        <v>15432</v>
      </c>
      <c r="Y805" t="s">
        <v>15433</v>
      </c>
      <c r="Z805" t="s">
        <v>15434</v>
      </c>
      <c r="AA805" t="s">
        <v>74</v>
      </c>
      <c r="AB805" t="s">
        <v>15435</v>
      </c>
      <c r="AC805" t="s">
        <v>74</v>
      </c>
      <c r="AD805" t="s">
        <v>74</v>
      </c>
      <c r="AE805" t="s">
        <v>74</v>
      </c>
      <c r="AF805" t="s">
        <v>74</v>
      </c>
      <c r="AG805">
        <v>55</v>
      </c>
      <c r="AH805">
        <v>4</v>
      </c>
      <c r="AI805">
        <v>5</v>
      </c>
      <c r="AJ805">
        <v>6</v>
      </c>
      <c r="AK805">
        <v>34</v>
      </c>
      <c r="AL805" t="s">
        <v>337</v>
      </c>
      <c r="AM805" t="s">
        <v>258</v>
      </c>
      <c r="AN805" t="s">
        <v>387</v>
      </c>
      <c r="AO805" t="s">
        <v>2274</v>
      </c>
      <c r="AP805" t="s">
        <v>2275</v>
      </c>
      <c r="AQ805" t="s">
        <v>74</v>
      </c>
      <c r="AR805" t="s">
        <v>2276</v>
      </c>
      <c r="AS805" t="s">
        <v>2277</v>
      </c>
      <c r="AT805" t="s">
        <v>13121</v>
      </c>
      <c r="AU805">
        <v>2018</v>
      </c>
      <c r="AV805">
        <v>32</v>
      </c>
      <c r="AW805">
        <v>7</v>
      </c>
      <c r="AX805" t="s">
        <v>74</v>
      </c>
      <c r="AY805" t="s">
        <v>74</v>
      </c>
      <c r="AZ805" t="s">
        <v>74</v>
      </c>
      <c r="BA805" t="s">
        <v>74</v>
      </c>
      <c r="BB805">
        <v>1903</v>
      </c>
      <c r="BC805">
        <v>1918</v>
      </c>
      <c r="BD805" t="s">
        <v>74</v>
      </c>
      <c r="BE805" t="s">
        <v>15436</v>
      </c>
      <c r="BF805" t="str">
        <f>HYPERLINK("http://dx.doi.org/10.1007/s00477-018-1551-z","http://dx.doi.org/10.1007/s00477-018-1551-z")</f>
        <v>http://dx.doi.org/10.1007/s00477-018-1551-z</v>
      </c>
      <c r="BG805" t="s">
        <v>74</v>
      </c>
      <c r="BH805" t="s">
        <v>74</v>
      </c>
      <c r="BI805">
        <v>16</v>
      </c>
      <c r="BJ805" t="s">
        <v>2279</v>
      </c>
      <c r="BK805" t="s">
        <v>101</v>
      </c>
      <c r="BL805" t="s">
        <v>2280</v>
      </c>
      <c r="BM805" t="s">
        <v>15437</v>
      </c>
      <c r="BN805" t="s">
        <v>74</v>
      </c>
      <c r="BO805" t="s">
        <v>74</v>
      </c>
      <c r="BP805" t="s">
        <v>74</v>
      </c>
      <c r="BQ805" t="s">
        <v>74</v>
      </c>
      <c r="BR805" t="s">
        <v>104</v>
      </c>
      <c r="BS805" t="s">
        <v>15438</v>
      </c>
      <c r="BT805" t="str">
        <f>HYPERLINK("https%3A%2F%2Fwww.webofscience.com%2Fwos%2Fwoscc%2Ffull-record%2FWOS:000434839500001","View Full Record in Web of Science")</f>
        <v>View Full Record in Web of Science</v>
      </c>
    </row>
    <row r="806" spans="1:72" x14ac:dyDescent="0.15">
      <c r="A806" t="s">
        <v>72</v>
      </c>
      <c r="B806" t="s">
        <v>15439</v>
      </c>
      <c r="C806" t="s">
        <v>74</v>
      </c>
      <c r="D806" t="s">
        <v>74</v>
      </c>
      <c r="E806" t="s">
        <v>74</v>
      </c>
      <c r="F806" t="s">
        <v>15440</v>
      </c>
      <c r="G806" t="s">
        <v>74</v>
      </c>
      <c r="H806" t="s">
        <v>74</v>
      </c>
      <c r="I806" t="s">
        <v>15441</v>
      </c>
      <c r="J806" t="s">
        <v>773</v>
      </c>
      <c r="K806" t="s">
        <v>74</v>
      </c>
      <c r="L806" t="s">
        <v>74</v>
      </c>
      <c r="M806" t="s">
        <v>78</v>
      </c>
      <c r="N806" t="s">
        <v>79</v>
      </c>
      <c r="O806" t="s">
        <v>74</v>
      </c>
      <c r="P806" t="s">
        <v>74</v>
      </c>
      <c r="Q806" t="s">
        <v>74</v>
      </c>
      <c r="R806" t="s">
        <v>74</v>
      </c>
      <c r="S806" t="s">
        <v>74</v>
      </c>
      <c r="T806" t="s">
        <v>15442</v>
      </c>
      <c r="U806" t="s">
        <v>15443</v>
      </c>
      <c r="V806" t="s">
        <v>15444</v>
      </c>
      <c r="W806" t="s">
        <v>15445</v>
      </c>
      <c r="X806" t="s">
        <v>15446</v>
      </c>
      <c r="Y806" t="s">
        <v>15447</v>
      </c>
      <c r="Z806" t="s">
        <v>15448</v>
      </c>
      <c r="AA806" t="s">
        <v>15449</v>
      </c>
      <c r="AB806" t="s">
        <v>15450</v>
      </c>
      <c r="AC806" t="s">
        <v>15451</v>
      </c>
      <c r="AD806" t="s">
        <v>15452</v>
      </c>
      <c r="AE806" t="s">
        <v>15453</v>
      </c>
      <c r="AF806" t="s">
        <v>74</v>
      </c>
      <c r="AG806">
        <v>58</v>
      </c>
      <c r="AH806">
        <v>61</v>
      </c>
      <c r="AI806">
        <v>67</v>
      </c>
      <c r="AJ806">
        <v>0</v>
      </c>
      <c r="AK806">
        <v>37</v>
      </c>
      <c r="AL806" t="s">
        <v>785</v>
      </c>
      <c r="AM806" t="s">
        <v>786</v>
      </c>
      <c r="AN806" t="s">
        <v>787</v>
      </c>
      <c r="AO806" t="s">
        <v>788</v>
      </c>
      <c r="AP806" t="s">
        <v>789</v>
      </c>
      <c r="AQ806" t="s">
        <v>74</v>
      </c>
      <c r="AR806" t="s">
        <v>790</v>
      </c>
      <c r="AS806" t="s">
        <v>791</v>
      </c>
      <c r="AT806" t="s">
        <v>13121</v>
      </c>
      <c r="AU806">
        <v>2018</v>
      </c>
      <c r="AV806">
        <v>31</v>
      </c>
      <c r="AW806">
        <v>13</v>
      </c>
      <c r="AX806" t="s">
        <v>74</v>
      </c>
      <c r="AY806" t="s">
        <v>74</v>
      </c>
      <c r="AZ806" t="s">
        <v>74</v>
      </c>
      <c r="BA806" t="s">
        <v>74</v>
      </c>
      <c r="BB806">
        <v>5243</v>
      </c>
      <c r="BC806">
        <v>5261</v>
      </c>
      <c r="BD806" t="s">
        <v>74</v>
      </c>
      <c r="BE806" t="s">
        <v>15454</v>
      </c>
      <c r="BF806" t="str">
        <f>HYPERLINK("http://dx.doi.org/10.1175/JCLI-D-17-0854.1","http://dx.doi.org/10.1175/JCLI-D-17-0854.1")</f>
        <v>http://dx.doi.org/10.1175/JCLI-D-17-0854.1</v>
      </c>
      <c r="BG806" t="s">
        <v>74</v>
      </c>
      <c r="BH806" t="s">
        <v>74</v>
      </c>
      <c r="BI806">
        <v>19</v>
      </c>
      <c r="BJ806" t="s">
        <v>369</v>
      </c>
      <c r="BK806" t="s">
        <v>101</v>
      </c>
      <c r="BL806" t="s">
        <v>369</v>
      </c>
      <c r="BM806" t="s">
        <v>13494</v>
      </c>
      <c r="BN806" t="s">
        <v>74</v>
      </c>
      <c r="BO806" t="s">
        <v>712</v>
      </c>
      <c r="BP806" t="s">
        <v>74</v>
      </c>
      <c r="BQ806" t="s">
        <v>74</v>
      </c>
      <c r="BR806" t="s">
        <v>104</v>
      </c>
      <c r="BS806" t="s">
        <v>15455</v>
      </c>
      <c r="BT806" t="str">
        <f>HYPERLINK("https%3A%2F%2Fwww.webofscience.com%2Fwos%2Fwoscc%2Ffull-record%2FWOS:000434636100001","View Full Record in Web of Science")</f>
        <v>View Full Record in Web of Science</v>
      </c>
    </row>
    <row r="807" spans="1:72" x14ac:dyDescent="0.15">
      <c r="A807" t="s">
        <v>72</v>
      </c>
      <c r="B807" t="s">
        <v>15456</v>
      </c>
      <c r="C807" t="s">
        <v>74</v>
      </c>
      <c r="D807" t="s">
        <v>74</v>
      </c>
      <c r="E807" t="s">
        <v>74</v>
      </c>
      <c r="F807" t="s">
        <v>15457</v>
      </c>
      <c r="G807" t="s">
        <v>74</v>
      </c>
      <c r="H807" t="s">
        <v>74</v>
      </c>
      <c r="I807" t="s">
        <v>15458</v>
      </c>
      <c r="J807" t="s">
        <v>15459</v>
      </c>
      <c r="K807" t="s">
        <v>74</v>
      </c>
      <c r="L807" t="s">
        <v>74</v>
      </c>
      <c r="M807" t="s">
        <v>78</v>
      </c>
      <c r="N807" t="s">
        <v>79</v>
      </c>
      <c r="O807" t="s">
        <v>74</v>
      </c>
      <c r="P807" t="s">
        <v>74</v>
      </c>
      <c r="Q807" t="s">
        <v>74</v>
      </c>
      <c r="R807" t="s">
        <v>74</v>
      </c>
      <c r="S807" t="s">
        <v>74</v>
      </c>
      <c r="T807" t="s">
        <v>74</v>
      </c>
      <c r="U807" t="s">
        <v>15460</v>
      </c>
      <c r="V807" t="s">
        <v>15461</v>
      </c>
      <c r="W807" t="s">
        <v>15462</v>
      </c>
      <c r="X807" t="s">
        <v>15463</v>
      </c>
      <c r="Y807" t="s">
        <v>15464</v>
      </c>
      <c r="Z807" t="s">
        <v>15465</v>
      </c>
      <c r="AA807" t="s">
        <v>15466</v>
      </c>
      <c r="AB807" t="s">
        <v>15467</v>
      </c>
      <c r="AC807" t="s">
        <v>15468</v>
      </c>
      <c r="AD807" t="s">
        <v>15469</v>
      </c>
      <c r="AE807" t="s">
        <v>15470</v>
      </c>
      <c r="AF807" t="s">
        <v>74</v>
      </c>
      <c r="AG807">
        <v>57</v>
      </c>
      <c r="AH807">
        <v>10</v>
      </c>
      <c r="AI807">
        <v>10</v>
      </c>
      <c r="AJ807">
        <v>0</v>
      </c>
      <c r="AK807">
        <v>34</v>
      </c>
      <c r="AL807" t="s">
        <v>337</v>
      </c>
      <c r="AM807" t="s">
        <v>258</v>
      </c>
      <c r="AN807" t="s">
        <v>338</v>
      </c>
      <c r="AO807" t="s">
        <v>15471</v>
      </c>
      <c r="AP807" t="s">
        <v>15472</v>
      </c>
      <c r="AQ807" t="s">
        <v>74</v>
      </c>
      <c r="AR807" t="s">
        <v>15473</v>
      </c>
      <c r="AS807" t="s">
        <v>15474</v>
      </c>
      <c r="AT807" t="s">
        <v>13121</v>
      </c>
      <c r="AU807">
        <v>2018</v>
      </c>
      <c r="AV807">
        <v>75</v>
      </c>
      <c r="AW807">
        <v>1</v>
      </c>
      <c r="AX807" t="s">
        <v>74</v>
      </c>
      <c r="AY807" t="s">
        <v>74</v>
      </c>
      <c r="AZ807" t="s">
        <v>74</v>
      </c>
      <c r="BA807" t="s">
        <v>74</v>
      </c>
      <c r="BB807">
        <v>75</v>
      </c>
      <c r="BC807">
        <v>86</v>
      </c>
      <c r="BD807" t="s">
        <v>74</v>
      </c>
      <c r="BE807" t="s">
        <v>15475</v>
      </c>
      <c r="BF807" t="str">
        <f>HYPERLINK("http://dx.doi.org/10.1007/s00244-018-0529-7","http://dx.doi.org/10.1007/s00244-018-0529-7")</f>
        <v>http://dx.doi.org/10.1007/s00244-018-0529-7</v>
      </c>
      <c r="BG807" t="s">
        <v>74</v>
      </c>
      <c r="BH807" t="s">
        <v>74</v>
      </c>
      <c r="BI807">
        <v>12</v>
      </c>
      <c r="BJ807" t="s">
        <v>14555</v>
      </c>
      <c r="BK807" t="s">
        <v>101</v>
      </c>
      <c r="BL807" t="s">
        <v>14556</v>
      </c>
      <c r="BM807" t="s">
        <v>15476</v>
      </c>
      <c r="BN807">
        <v>29725722</v>
      </c>
      <c r="BO807" t="s">
        <v>74</v>
      </c>
      <c r="BP807" t="s">
        <v>74</v>
      </c>
      <c r="BQ807" t="s">
        <v>74</v>
      </c>
      <c r="BR807" t="s">
        <v>104</v>
      </c>
      <c r="BS807" t="s">
        <v>15477</v>
      </c>
      <c r="BT807" t="str">
        <f>HYPERLINK("https%3A%2F%2Fwww.webofscience.com%2Fwos%2Fwoscc%2Ffull-record%2FWOS:000434353500009","View Full Record in Web of Science")</f>
        <v>View Full Record in Web of Science</v>
      </c>
    </row>
    <row r="808" spans="1:72" x14ac:dyDescent="0.15">
      <c r="A808" t="s">
        <v>72</v>
      </c>
      <c r="B808" t="s">
        <v>15478</v>
      </c>
      <c r="C808" t="s">
        <v>74</v>
      </c>
      <c r="D808" t="s">
        <v>74</v>
      </c>
      <c r="E808" t="s">
        <v>74</v>
      </c>
      <c r="F808" t="s">
        <v>15479</v>
      </c>
      <c r="G808" t="s">
        <v>74</v>
      </c>
      <c r="H808" t="s">
        <v>74</v>
      </c>
      <c r="I808" t="s">
        <v>15480</v>
      </c>
      <c r="J808" t="s">
        <v>11501</v>
      </c>
      <c r="K808" t="s">
        <v>74</v>
      </c>
      <c r="L808" t="s">
        <v>74</v>
      </c>
      <c r="M808" t="s">
        <v>78</v>
      </c>
      <c r="N808" t="s">
        <v>273</v>
      </c>
      <c r="O808" t="s">
        <v>74</v>
      </c>
      <c r="P808" t="s">
        <v>74</v>
      </c>
      <c r="Q808" t="s">
        <v>74</v>
      </c>
      <c r="R808" t="s">
        <v>74</v>
      </c>
      <c r="S808" t="s">
        <v>74</v>
      </c>
      <c r="T808" t="s">
        <v>15481</v>
      </c>
      <c r="U808" t="s">
        <v>15482</v>
      </c>
      <c r="V808" t="s">
        <v>15483</v>
      </c>
      <c r="W808" t="s">
        <v>15484</v>
      </c>
      <c r="X808" t="s">
        <v>15485</v>
      </c>
      <c r="Y808" t="s">
        <v>15486</v>
      </c>
      <c r="Z808" t="s">
        <v>15487</v>
      </c>
      <c r="AA808" t="s">
        <v>15488</v>
      </c>
      <c r="AB808" t="s">
        <v>15489</v>
      </c>
      <c r="AC808" t="s">
        <v>15490</v>
      </c>
      <c r="AD808" t="s">
        <v>15491</v>
      </c>
      <c r="AE808" t="s">
        <v>15492</v>
      </c>
      <c r="AF808" t="s">
        <v>74</v>
      </c>
      <c r="AG808">
        <v>122</v>
      </c>
      <c r="AH808">
        <v>19</v>
      </c>
      <c r="AI808">
        <v>19</v>
      </c>
      <c r="AJ808">
        <v>1</v>
      </c>
      <c r="AK808">
        <v>26</v>
      </c>
      <c r="AL808" t="s">
        <v>337</v>
      </c>
      <c r="AM808" t="s">
        <v>912</v>
      </c>
      <c r="AN808" t="s">
        <v>913</v>
      </c>
      <c r="AO808" t="s">
        <v>11514</v>
      </c>
      <c r="AP808" t="s">
        <v>11515</v>
      </c>
      <c r="AQ808" t="s">
        <v>74</v>
      </c>
      <c r="AR808" t="s">
        <v>11516</v>
      </c>
      <c r="AS808" t="s">
        <v>11517</v>
      </c>
      <c r="AT808" t="s">
        <v>13121</v>
      </c>
      <c r="AU808">
        <v>2018</v>
      </c>
      <c r="AV808">
        <v>27</v>
      </c>
      <c r="AW808">
        <v>8</v>
      </c>
      <c r="AX808" t="s">
        <v>74</v>
      </c>
      <c r="AY808" t="s">
        <v>74</v>
      </c>
      <c r="AZ808" t="s">
        <v>74</v>
      </c>
      <c r="BA808" t="s">
        <v>74</v>
      </c>
      <c r="BB808">
        <v>1789</v>
      </c>
      <c r="BC808">
        <v>1809</v>
      </c>
      <c r="BD808" t="s">
        <v>74</v>
      </c>
      <c r="BE808" t="s">
        <v>15493</v>
      </c>
      <c r="BF808" t="str">
        <f>HYPERLINK("http://dx.doi.org/10.1007/s10531-018-1547-5","http://dx.doi.org/10.1007/s10531-018-1547-5")</f>
        <v>http://dx.doi.org/10.1007/s10531-018-1547-5</v>
      </c>
      <c r="BG808" t="s">
        <v>74</v>
      </c>
      <c r="BH808" t="s">
        <v>74</v>
      </c>
      <c r="BI808">
        <v>21</v>
      </c>
      <c r="BJ808" t="s">
        <v>2560</v>
      </c>
      <c r="BK808" t="s">
        <v>101</v>
      </c>
      <c r="BL808" t="s">
        <v>1210</v>
      </c>
      <c r="BM808" t="s">
        <v>15494</v>
      </c>
      <c r="BN808" t="s">
        <v>74</v>
      </c>
      <c r="BO808" t="s">
        <v>346</v>
      </c>
      <c r="BP808" t="s">
        <v>74</v>
      </c>
      <c r="BQ808" t="s">
        <v>74</v>
      </c>
      <c r="BR808" t="s">
        <v>104</v>
      </c>
      <c r="BS808" t="s">
        <v>15495</v>
      </c>
      <c r="BT808" t="str">
        <f>HYPERLINK("https%3A%2F%2Fwww.webofscience.com%2Fwos%2Fwoscc%2Ffull-record%2FWOS:000434255200001","View Full Record in Web of Science")</f>
        <v>View Full Record in Web of Science</v>
      </c>
    </row>
    <row r="809" spans="1:72" x14ac:dyDescent="0.15">
      <c r="A809" t="s">
        <v>72</v>
      </c>
      <c r="B809" t="s">
        <v>15496</v>
      </c>
      <c r="C809" t="s">
        <v>74</v>
      </c>
      <c r="D809" t="s">
        <v>74</v>
      </c>
      <c r="E809" t="s">
        <v>74</v>
      </c>
      <c r="F809" t="s">
        <v>15497</v>
      </c>
      <c r="G809" t="s">
        <v>74</v>
      </c>
      <c r="H809" t="s">
        <v>74</v>
      </c>
      <c r="I809" t="s">
        <v>15498</v>
      </c>
      <c r="J809" t="s">
        <v>13265</v>
      </c>
      <c r="K809" t="s">
        <v>74</v>
      </c>
      <c r="L809" t="s">
        <v>74</v>
      </c>
      <c r="M809" t="s">
        <v>78</v>
      </c>
      <c r="N809" t="s">
        <v>79</v>
      </c>
      <c r="O809" t="s">
        <v>74</v>
      </c>
      <c r="P809" t="s">
        <v>74</v>
      </c>
      <c r="Q809" t="s">
        <v>74</v>
      </c>
      <c r="R809" t="s">
        <v>74</v>
      </c>
      <c r="S809" t="s">
        <v>74</v>
      </c>
      <c r="T809" t="s">
        <v>15499</v>
      </c>
      <c r="U809" t="s">
        <v>15500</v>
      </c>
      <c r="V809" t="s">
        <v>15501</v>
      </c>
      <c r="W809" t="s">
        <v>15502</v>
      </c>
      <c r="X809" t="s">
        <v>15503</v>
      </c>
      <c r="Y809" t="s">
        <v>15504</v>
      </c>
      <c r="Z809" t="s">
        <v>15505</v>
      </c>
      <c r="AA809" t="s">
        <v>15506</v>
      </c>
      <c r="AB809" t="s">
        <v>15507</v>
      </c>
      <c r="AC809" t="s">
        <v>15508</v>
      </c>
      <c r="AD809" t="s">
        <v>15509</v>
      </c>
      <c r="AE809" t="s">
        <v>15510</v>
      </c>
      <c r="AF809" t="s">
        <v>74</v>
      </c>
      <c r="AG809">
        <v>37</v>
      </c>
      <c r="AH809">
        <v>24</v>
      </c>
      <c r="AI809">
        <v>26</v>
      </c>
      <c r="AJ809">
        <v>0</v>
      </c>
      <c r="AK809">
        <v>29</v>
      </c>
      <c r="AL809" t="s">
        <v>430</v>
      </c>
      <c r="AM809" t="s">
        <v>286</v>
      </c>
      <c r="AN809" t="s">
        <v>431</v>
      </c>
      <c r="AO809" t="s">
        <v>13278</v>
      </c>
      <c r="AP809" t="s">
        <v>13279</v>
      </c>
      <c r="AQ809" t="s">
        <v>74</v>
      </c>
      <c r="AR809" t="s">
        <v>13280</v>
      </c>
      <c r="AS809" t="s">
        <v>13281</v>
      </c>
      <c r="AT809" t="s">
        <v>13121</v>
      </c>
      <c r="AU809">
        <v>2018</v>
      </c>
      <c r="AV809">
        <v>151</v>
      </c>
      <c r="AW809" t="s">
        <v>74</v>
      </c>
      <c r="AX809" t="s">
        <v>74</v>
      </c>
      <c r="AY809" t="s">
        <v>74</v>
      </c>
      <c r="AZ809" t="s">
        <v>74</v>
      </c>
      <c r="BA809" t="s">
        <v>74</v>
      </c>
      <c r="BB809">
        <v>148</v>
      </c>
      <c r="BC809">
        <v>155</v>
      </c>
      <c r="BD809" t="s">
        <v>74</v>
      </c>
      <c r="BE809" t="s">
        <v>15511</v>
      </c>
      <c r="BF809" t="str">
        <f>HYPERLINK("http://dx.doi.org/10.1016/j.coldregions.2018.03.017","http://dx.doi.org/10.1016/j.coldregions.2018.03.017")</f>
        <v>http://dx.doi.org/10.1016/j.coldregions.2018.03.017</v>
      </c>
      <c r="BG809" t="s">
        <v>74</v>
      </c>
      <c r="BH809" t="s">
        <v>74</v>
      </c>
      <c r="BI809">
        <v>8</v>
      </c>
      <c r="BJ809" t="s">
        <v>13283</v>
      </c>
      <c r="BK809" t="s">
        <v>101</v>
      </c>
      <c r="BL809" t="s">
        <v>11574</v>
      </c>
      <c r="BM809" t="s">
        <v>13284</v>
      </c>
      <c r="BN809" t="s">
        <v>74</v>
      </c>
      <c r="BO809" t="s">
        <v>211</v>
      </c>
      <c r="BP809" t="s">
        <v>74</v>
      </c>
      <c r="BQ809" t="s">
        <v>74</v>
      </c>
      <c r="BR809" t="s">
        <v>104</v>
      </c>
      <c r="BS809" t="s">
        <v>15512</v>
      </c>
      <c r="BT809" t="str">
        <f>HYPERLINK("https%3A%2F%2Fwww.webofscience.com%2Fwos%2Fwoscc%2Ffull-record%2FWOS:000432682200016","View Full Record in Web of Science")</f>
        <v>View Full Record in Web of Science</v>
      </c>
    </row>
    <row r="810" spans="1:72" x14ac:dyDescent="0.15">
      <c r="A810" t="s">
        <v>72</v>
      </c>
      <c r="B810" t="s">
        <v>9761</v>
      </c>
      <c r="C810" t="s">
        <v>74</v>
      </c>
      <c r="D810" t="s">
        <v>74</v>
      </c>
      <c r="E810" t="s">
        <v>74</v>
      </c>
      <c r="F810" t="s">
        <v>9762</v>
      </c>
      <c r="G810" t="s">
        <v>74</v>
      </c>
      <c r="H810" t="s">
        <v>74</v>
      </c>
      <c r="I810" t="s">
        <v>15513</v>
      </c>
      <c r="J810" t="s">
        <v>13265</v>
      </c>
      <c r="K810" t="s">
        <v>74</v>
      </c>
      <c r="L810" t="s">
        <v>74</v>
      </c>
      <c r="M810" t="s">
        <v>78</v>
      </c>
      <c r="N810" t="s">
        <v>79</v>
      </c>
      <c r="O810" t="s">
        <v>74</v>
      </c>
      <c r="P810" t="s">
        <v>74</v>
      </c>
      <c r="Q810" t="s">
        <v>74</v>
      </c>
      <c r="R810" t="s">
        <v>74</v>
      </c>
      <c r="S810" t="s">
        <v>74</v>
      </c>
      <c r="T810" t="s">
        <v>15514</v>
      </c>
      <c r="U810" t="s">
        <v>9764</v>
      </c>
      <c r="V810" t="s">
        <v>15515</v>
      </c>
      <c r="W810" t="s">
        <v>15516</v>
      </c>
      <c r="X810" t="s">
        <v>9767</v>
      </c>
      <c r="Y810" t="s">
        <v>15517</v>
      </c>
      <c r="Z810" t="s">
        <v>9769</v>
      </c>
      <c r="AA810" t="s">
        <v>15518</v>
      </c>
      <c r="AB810" t="s">
        <v>15519</v>
      </c>
      <c r="AC810" t="s">
        <v>15520</v>
      </c>
      <c r="AD810" t="s">
        <v>15521</v>
      </c>
      <c r="AE810" t="s">
        <v>15522</v>
      </c>
      <c r="AF810" t="s">
        <v>74</v>
      </c>
      <c r="AG810">
        <v>39</v>
      </c>
      <c r="AH810">
        <v>22</v>
      </c>
      <c r="AI810">
        <v>23</v>
      </c>
      <c r="AJ810">
        <v>3</v>
      </c>
      <c r="AK810">
        <v>18</v>
      </c>
      <c r="AL810" t="s">
        <v>430</v>
      </c>
      <c r="AM810" t="s">
        <v>286</v>
      </c>
      <c r="AN810" t="s">
        <v>431</v>
      </c>
      <c r="AO810" t="s">
        <v>13278</v>
      </c>
      <c r="AP810" t="s">
        <v>13279</v>
      </c>
      <c r="AQ810" t="s">
        <v>74</v>
      </c>
      <c r="AR810" t="s">
        <v>13280</v>
      </c>
      <c r="AS810" t="s">
        <v>13281</v>
      </c>
      <c r="AT810" t="s">
        <v>13121</v>
      </c>
      <c r="AU810">
        <v>2018</v>
      </c>
      <c r="AV810">
        <v>151</v>
      </c>
      <c r="AW810" t="s">
        <v>74</v>
      </c>
      <c r="AX810" t="s">
        <v>74</v>
      </c>
      <c r="AY810" t="s">
        <v>74</v>
      </c>
      <c r="AZ810" t="s">
        <v>74</v>
      </c>
      <c r="BA810" t="s">
        <v>74</v>
      </c>
      <c r="BB810">
        <v>237</v>
      </c>
      <c r="BC810">
        <v>248</v>
      </c>
      <c r="BD810" t="s">
        <v>74</v>
      </c>
      <c r="BE810" t="s">
        <v>15523</v>
      </c>
      <c r="BF810" t="str">
        <f>HYPERLINK("http://dx.doi.org/10.1016/j.coldregions.2018.03.016","http://dx.doi.org/10.1016/j.coldregions.2018.03.016")</f>
        <v>http://dx.doi.org/10.1016/j.coldregions.2018.03.016</v>
      </c>
      <c r="BG810" t="s">
        <v>74</v>
      </c>
      <c r="BH810" t="s">
        <v>74</v>
      </c>
      <c r="BI810">
        <v>12</v>
      </c>
      <c r="BJ810" t="s">
        <v>13283</v>
      </c>
      <c r="BK810" t="s">
        <v>101</v>
      </c>
      <c r="BL810" t="s">
        <v>11574</v>
      </c>
      <c r="BM810" t="s">
        <v>13284</v>
      </c>
      <c r="BN810" t="s">
        <v>74</v>
      </c>
      <c r="BO810" t="s">
        <v>1142</v>
      </c>
      <c r="BP810" t="s">
        <v>74</v>
      </c>
      <c r="BQ810" t="s">
        <v>74</v>
      </c>
      <c r="BR810" t="s">
        <v>104</v>
      </c>
      <c r="BS810" t="s">
        <v>15524</v>
      </c>
      <c r="BT810" t="str">
        <f>HYPERLINK("https%3A%2F%2Fwww.webofscience.com%2Fwos%2Fwoscc%2Ffull-record%2FWOS:000432682200024","View Full Record in Web of Science")</f>
        <v>View Full Record in Web of Science</v>
      </c>
    </row>
    <row r="811" spans="1:72" x14ac:dyDescent="0.15">
      <c r="A811" t="s">
        <v>72</v>
      </c>
      <c r="B811" t="s">
        <v>15525</v>
      </c>
      <c r="C811" t="s">
        <v>74</v>
      </c>
      <c r="D811" t="s">
        <v>74</v>
      </c>
      <c r="E811" t="s">
        <v>74</v>
      </c>
      <c r="F811" t="s">
        <v>15526</v>
      </c>
      <c r="G811" t="s">
        <v>74</v>
      </c>
      <c r="H811" t="s">
        <v>74</v>
      </c>
      <c r="I811" t="s">
        <v>15527</v>
      </c>
      <c r="J811" t="s">
        <v>15528</v>
      </c>
      <c r="K811" t="s">
        <v>74</v>
      </c>
      <c r="L811" t="s">
        <v>74</v>
      </c>
      <c r="M811" t="s">
        <v>78</v>
      </c>
      <c r="N811" t="s">
        <v>79</v>
      </c>
      <c r="O811" t="s">
        <v>74</v>
      </c>
      <c r="P811" t="s">
        <v>74</v>
      </c>
      <c r="Q811" t="s">
        <v>74</v>
      </c>
      <c r="R811" t="s">
        <v>74</v>
      </c>
      <c r="S811" t="s">
        <v>74</v>
      </c>
      <c r="T811" t="s">
        <v>15529</v>
      </c>
      <c r="U811" t="s">
        <v>15530</v>
      </c>
      <c r="V811" t="s">
        <v>15531</v>
      </c>
      <c r="W811" t="s">
        <v>15532</v>
      </c>
      <c r="X811" t="s">
        <v>15533</v>
      </c>
      <c r="Y811" t="s">
        <v>15534</v>
      </c>
      <c r="Z811" t="s">
        <v>15535</v>
      </c>
      <c r="AA811" t="s">
        <v>15536</v>
      </c>
      <c r="AB811" t="s">
        <v>15537</v>
      </c>
      <c r="AC811" t="s">
        <v>15538</v>
      </c>
      <c r="AD811" t="s">
        <v>15539</v>
      </c>
      <c r="AE811" t="s">
        <v>15540</v>
      </c>
      <c r="AF811" t="s">
        <v>74</v>
      </c>
      <c r="AG811">
        <v>52</v>
      </c>
      <c r="AH811">
        <v>21</v>
      </c>
      <c r="AI811">
        <v>23</v>
      </c>
      <c r="AJ811">
        <v>2</v>
      </c>
      <c r="AK811">
        <v>51</v>
      </c>
      <c r="AL811" t="s">
        <v>11424</v>
      </c>
      <c r="AM811" t="s">
        <v>704</v>
      </c>
      <c r="AN811" t="s">
        <v>11425</v>
      </c>
      <c r="AO811" t="s">
        <v>15541</v>
      </c>
      <c r="AP811" t="s">
        <v>15542</v>
      </c>
      <c r="AQ811" t="s">
        <v>74</v>
      </c>
      <c r="AR811" t="s">
        <v>15543</v>
      </c>
      <c r="AS811" t="s">
        <v>15544</v>
      </c>
      <c r="AT811" t="s">
        <v>13301</v>
      </c>
      <c r="AU811">
        <v>2018</v>
      </c>
      <c r="AV811">
        <v>217</v>
      </c>
      <c r="AW811" t="s">
        <v>74</v>
      </c>
      <c r="AX811" t="s">
        <v>74</v>
      </c>
      <c r="AY811" t="s">
        <v>74</v>
      </c>
      <c r="AZ811" t="s">
        <v>74</v>
      </c>
      <c r="BA811" t="s">
        <v>74</v>
      </c>
      <c r="BB811">
        <v>754</v>
      </c>
      <c r="BC811">
        <v>761</v>
      </c>
      <c r="BD811" t="s">
        <v>74</v>
      </c>
      <c r="BE811" t="s">
        <v>15545</v>
      </c>
      <c r="BF811" t="str">
        <f>HYPERLINK("http://dx.doi.org/10.1016/j.jenvman.2018.04.027","http://dx.doi.org/10.1016/j.jenvman.2018.04.027")</f>
        <v>http://dx.doi.org/10.1016/j.jenvman.2018.04.027</v>
      </c>
      <c r="BG811" t="s">
        <v>74</v>
      </c>
      <c r="BH811" t="s">
        <v>74</v>
      </c>
      <c r="BI811">
        <v>8</v>
      </c>
      <c r="BJ811" t="s">
        <v>558</v>
      </c>
      <c r="BK811" t="s">
        <v>101</v>
      </c>
      <c r="BL811" t="s">
        <v>559</v>
      </c>
      <c r="BM811" t="s">
        <v>15546</v>
      </c>
      <c r="BN811">
        <v>29656256</v>
      </c>
      <c r="BO811" t="s">
        <v>74</v>
      </c>
      <c r="BP811" t="s">
        <v>74</v>
      </c>
      <c r="BQ811" t="s">
        <v>74</v>
      </c>
      <c r="BR811" t="s">
        <v>104</v>
      </c>
      <c r="BS811" t="s">
        <v>15547</v>
      </c>
      <c r="BT811" t="str">
        <f>HYPERLINK("https%3A%2F%2Fwww.webofscience.com%2Fwos%2Fwoscc%2Ffull-record%2FWOS:000432508400074","View Full Record in Web of Science")</f>
        <v>View Full Record in Web of Science</v>
      </c>
    </row>
    <row r="812" spans="1:72" x14ac:dyDescent="0.15">
      <c r="A812" t="s">
        <v>72</v>
      </c>
      <c r="B812" t="s">
        <v>15548</v>
      </c>
      <c r="C812" t="s">
        <v>74</v>
      </c>
      <c r="D812" t="s">
        <v>74</v>
      </c>
      <c r="E812" t="s">
        <v>74</v>
      </c>
      <c r="F812" t="s">
        <v>15549</v>
      </c>
      <c r="G812" t="s">
        <v>74</v>
      </c>
      <c r="H812" t="s">
        <v>74</v>
      </c>
      <c r="I812" t="s">
        <v>15550</v>
      </c>
      <c r="J812" t="s">
        <v>15551</v>
      </c>
      <c r="K812" t="s">
        <v>74</v>
      </c>
      <c r="L812" t="s">
        <v>74</v>
      </c>
      <c r="M812" t="s">
        <v>78</v>
      </c>
      <c r="N812" t="s">
        <v>79</v>
      </c>
      <c r="O812" t="s">
        <v>74</v>
      </c>
      <c r="P812" t="s">
        <v>74</v>
      </c>
      <c r="Q812" t="s">
        <v>74</v>
      </c>
      <c r="R812" t="s">
        <v>74</v>
      </c>
      <c r="S812" t="s">
        <v>74</v>
      </c>
      <c r="T812" t="s">
        <v>15552</v>
      </c>
      <c r="U812" t="s">
        <v>15553</v>
      </c>
      <c r="V812" t="s">
        <v>15554</v>
      </c>
      <c r="W812" t="s">
        <v>15555</v>
      </c>
      <c r="X812" t="s">
        <v>15556</v>
      </c>
      <c r="Y812" t="s">
        <v>15557</v>
      </c>
      <c r="Z812" t="s">
        <v>15558</v>
      </c>
      <c r="AA812" t="s">
        <v>15559</v>
      </c>
      <c r="AB812" t="s">
        <v>15560</v>
      </c>
      <c r="AC812" t="s">
        <v>15561</v>
      </c>
      <c r="AD812" t="s">
        <v>15562</v>
      </c>
      <c r="AE812" t="s">
        <v>15563</v>
      </c>
      <c r="AF812" t="s">
        <v>74</v>
      </c>
      <c r="AG812">
        <v>106</v>
      </c>
      <c r="AH812">
        <v>9</v>
      </c>
      <c r="AI812">
        <v>10</v>
      </c>
      <c r="AJ812">
        <v>0</v>
      </c>
      <c r="AK812">
        <v>5</v>
      </c>
      <c r="AL812" t="s">
        <v>15564</v>
      </c>
      <c r="AM812" t="s">
        <v>15565</v>
      </c>
      <c r="AN812" t="s">
        <v>15566</v>
      </c>
      <c r="AO812" t="s">
        <v>15567</v>
      </c>
      <c r="AP812" t="s">
        <v>15568</v>
      </c>
      <c r="AQ812" t="s">
        <v>74</v>
      </c>
      <c r="AR812" t="s">
        <v>15569</v>
      </c>
      <c r="AS812" t="s">
        <v>15570</v>
      </c>
      <c r="AT812" t="s">
        <v>13121</v>
      </c>
      <c r="AU812">
        <v>2018</v>
      </c>
      <c r="AV812">
        <v>124</v>
      </c>
      <c r="AW812">
        <v>2</v>
      </c>
      <c r="AX812" t="s">
        <v>74</v>
      </c>
      <c r="AY812" t="s">
        <v>74</v>
      </c>
      <c r="AZ812" t="s">
        <v>74</v>
      </c>
      <c r="BA812" t="s">
        <v>74</v>
      </c>
      <c r="BB812">
        <v>283</v>
      </c>
      <c r="BC812">
        <v>297</v>
      </c>
      <c r="BD812" t="s">
        <v>74</v>
      </c>
      <c r="BE812" t="s">
        <v>15571</v>
      </c>
      <c r="BF812" t="str">
        <f>HYPERLINK("http://dx.doi.org/10.13130/2039-4942/9985","http://dx.doi.org/10.13130/2039-4942/9985")</f>
        <v>http://dx.doi.org/10.13130/2039-4942/9985</v>
      </c>
      <c r="BG812" t="s">
        <v>74</v>
      </c>
      <c r="BH812" t="s">
        <v>74</v>
      </c>
      <c r="BI812">
        <v>15</v>
      </c>
      <c r="BJ812" t="s">
        <v>6305</v>
      </c>
      <c r="BK812" t="s">
        <v>101</v>
      </c>
      <c r="BL812" t="s">
        <v>6305</v>
      </c>
      <c r="BM812" t="s">
        <v>15572</v>
      </c>
      <c r="BN812" t="s">
        <v>74</v>
      </c>
      <c r="BO812" t="s">
        <v>74</v>
      </c>
      <c r="BP812" t="s">
        <v>74</v>
      </c>
      <c r="BQ812" t="s">
        <v>74</v>
      </c>
      <c r="BR812" t="s">
        <v>104</v>
      </c>
      <c r="BS812" t="s">
        <v>15573</v>
      </c>
      <c r="BT812" t="str">
        <f>HYPERLINK("https%3A%2F%2Fwww.webofscience.com%2Fwos%2Fwoscc%2Ffull-record%2FWOS:000430513200003","View Full Record in Web of Science")</f>
        <v>View Full Record in Web of Science</v>
      </c>
    </row>
    <row r="813" spans="1:72" x14ac:dyDescent="0.15">
      <c r="A813" t="s">
        <v>72</v>
      </c>
      <c r="B813" t="s">
        <v>15574</v>
      </c>
      <c r="C813" t="s">
        <v>74</v>
      </c>
      <c r="D813" t="s">
        <v>74</v>
      </c>
      <c r="E813" t="s">
        <v>74</v>
      </c>
      <c r="F813" t="s">
        <v>15575</v>
      </c>
      <c r="G813" t="s">
        <v>74</v>
      </c>
      <c r="H813" t="s">
        <v>74</v>
      </c>
      <c r="I813" t="s">
        <v>15576</v>
      </c>
      <c r="J813" t="s">
        <v>15577</v>
      </c>
      <c r="K813" t="s">
        <v>74</v>
      </c>
      <c r="L813" t="s">
        <v>74</v>
      </c>
      <c r="M813" t="s">
        <v>78</v>
      </c>
      <c r="N813" t="s">
        <v>79</v>
      </c>
      <c r="O813" t="s">
        <v>74</v>
      </c>
      <c r="P813" t="s">
        <v>74</v>
      </c>
      <c r="Q813" t="s">
        <v>74</v>
      </c>
      <c r="R813" t="s">
        <v>74</v>
      </c>
      <c r="S813" t="s">
        <v>74</v>
      </c>
      <c r="T813" t="s">
        <v>15578</v>
      </c>
      <c r="U813" t="s">
        <v>15579</v>
      </c>
      <c r="V813" t="s">
        <v>15580</v>
      </c>
      <c r="W813" t="s">
        <v>15581</v>
      </c>
      <c r="X813" t="s">
        <v>15582</v>
      </c>
      <c r="Y813" t="s">
        <v>15583</v>
      </c>
      <c r="Z813" t="s">
        <v>15584</v>
      </c>
      <c r="AA813" t="s">
        <v>74</v>
      </c>
      <c r="AB813" t="s">
        <v>15585</v>
      </c>
      <c r="AC813" t="s">
        <v>15586</v>
      </c>
      <c r="AD813" t="s">
        <v>15587</v>
      </c>
      <c r="AE813" t="s">
        <v>15588</v>
      </c>
      <c r="AF813" t="s">
        <v>74</v>
      </c>
      <c r="AG813">
        <v>223</v>
      </c>
      <c r="AH813">
        <v>23</v>
      </c>
      <c r="AI813">
        <v>23</v>
      </c>
      <c r="AJ813">
        <v>2</v>
      </c>
      <c r="AK813">
        <v>10</v>
      </c>
      <c r="AL813" t="s">
        <v>149</v>
      </c>
      <c r="AM813" t="s">
        <v>93</v>
      </c>
      <c r="AN813" t="s">
        <v>150</v>
      </c>
      <c r="AO813" t="s">
        <v>15589</v>
      </c>
      <c r="AP813" t="s">
        <v>15590</v>
      </c>
      <c r="AQ813" t="s">
        <v>74</v>
      </c>
      <c r="AR813" t="s">
        <v>15591</v>
      </c>
      <c r="AS813" t="s">
        <v>15592</v>
      </c>
      <c r="AT813" t="s">
        <v>15593</v>
      </c>
      <c r="AU813">
        <v>2018</v>
      </c>
      <c r="AV813">
        <v>480</v>
      </c>
      <c r="AW813" t="s">
        <v>74</v>
      </c>
      <c r="AX813" t="s">
        <v>74</v>
      </c>
      <c r="AY813" t="s">
        <v>74</v>
      </c>
      <c r="AZ813" t="s">
        <v>74</v>
      </c>
      <c r="BA813" t="s">
        <v>74</v>
      </c>
      <c r="BB813">
        <v>78</v>
      </c>
      <c r="BC813">
        <v>94</v>
      </c>
      <c r="BD813" t="s">
        <v>74</v>
      </c>
      <c r="BE813" t="s">
        <v>15594</v>
      </c>
      <c r="BF813" t="str">
        <f>HYPERLINK("http://dx.doi.org/10.1016/j.quaint.2016.09.065","http://dx.doi.org/10.1016/j.quaint.2016.09.065")</f>
        <v>http://dx.doi.org/10.1016/j.quaint.2016.09.065</v>
      </c>
      <c r="BG813" t="s">
        <v>74</v>
      </c>
      <c r="BH813" t="s">
        <v>74</v>
      </c>
      <c r="BI813">
        <v>17</v>
      </c>
      <c r="BJ813" t="s">
        <v>208</v>
      </c>
      <c r="BK813" t="s">
        <v>1140</v>
      </c>
      <c r="BL813" t="s">
        <v>209</v>
      </c>
      <c r="BM813" t="s">
        <v>15595</v>
      </c>
      <c r="BN813" t="s">
        <v>74</v>
      </c>
      <c r="BO813" t="s">
        <v>486</v>
      </c>
      <c r="BP813" t="s">
        <v>74</v>
      </c>
      <c r="BQ813" t="s">
        <v>74</v>
      </c>
      <c r="BR813" t="s">
        <v>104</v>
      </c>
      <c r="BS813" t="s">
        <v>15596</v>
      </c>
      <c r="BT813" t="str">
        <f>HYPERLINK("https%3A%2F%2Fwww.webofscience.com%2Fwos%2Fwoscc%2Ffull-record%2FWOS:000433229100007","View Full Record in Web of Science")</f>
        <v>View Full Record in Web of Science</v>
      </c>
    </row>
    <row r="814" spans="1:72" x14ac:dyDescent="0.15">
      <c r="A814" t="s">
        <v>72</v>
      </c>
      <c r="B814" t="s">
        <v>15597</v>
      </c>
      <c r="C814" t="s">
        <v>74</v>
      </c>
      <c r="D814" t="s">
        <v>74</v>
      </c>
      <c r="E814" t="s">
        <v>74</v>
      </c>
      <c r="F814" t="s">
        <v>15598</v>
      </c>
      <c r="G814" t="s">
        <v>74</v>
      </c>
      <c r="H814" t="s">
        <v>74</v>
      </c>
      <c r="I814" t="s">
        <v>15599</v>
      </c>
      <c r="J814" t="s">
        <v>4340</v>
      </c>
      <c r="K814" t="s">
        <v>74</v>
      </c>
      <c r="L814" t="s">
        <v>74</v>
      </c>
      <c r="M814" t="s">
        <v>78</v>
      </c>
      <c r="N814" t="s">
        <v>79</v>
      </c>
      <c r="O814" t="s">
        <v>74</v>
      </c>
      <c r="P814" t="s">
        <v>74</v>
      </c>
      <c r="Q814" t="s">
        <v>74</v>
      </c>
      <c r="R814" t="s">
        <v>74</v>
      </c>
      <c r="S814" t="s">
        <v>74</v>
      </c>
      <c r="T814" t="s">
        <v>15600</v>
      </c>
      <c r="U814" t="s">
        <v>15601</v>
      </c>
      <c r="V814" t="s">
        <v>15602</v>
      </c>
      <c r="W814" t="s">
        <v>15603</v>
      </c>
      <c r="X814" t="s">
        <v>15604</v>
      </c>
      <c r="Y814" t="s">
        <v>15605</v>
      </c>
      <c r="Z814" t="s">
        <v>15606</v>
      </c>
      <c r="AA814" t="s">
        <v>15607</v>
      </c>
      <c r="AB814" t="s">
        <v>15608</v>
      </c>
      <c r="AC814" t="s">
        <v>15609</v>
      </c>
      <c r="AD814" t="s">
        <v>15610</v>
      </c>
      <c r="AE814" t="s">
        <v>15611</v>
      </c>
      <c r="AF814" t="s">
        <v>74</v>
      </c>
      <c r="AG814">
        <v>70</v>
      </c>
      <c r="AH814">
        <v>18</v>
      </c>
      <c r="AI814">
        <v>19</v>
      </c>
      <c r="AJ814">
        <v>0</v>
      </c>
      <c r="AK814">
        <v>30</v>
      </c>
      <c r="AL814" t="s">
        <v>3326</v>
      </c>
      <c r="AM814" t="s">
        <v>3327</v>
      </c>
      <c r="AN814" t="s">
        <v>3328</v>
      </c>
      <c r="AO814" t="s">
        <v>4344</v>
      </c>
      <c r="AP814" t="s">
        <v>4345</v>
      </c>
      <c r="AQ814" t="s">
        <v>74</v>
      </c>
      <c r="AR814" t="s">
        <v>4346</v>
      </c>
      <c r="AS814" t="s">
        <v>4347</v>
      </c>
      <c r="AT814" t="s">
        <v>15612</v>
      </c>
      <c r="AU814">
        <v>2018</v>
      </c>
      <c r="AV814">
        <v>50</v>
      </c>
      <c r="AW814">
        <v>1</v>
      </c>
      <c r="AX814" t="s">
        <v>74</v>
      </c>
      <c r="AY814" t="s">
        <v>74</v>
      </c>
      <c r="AZ814" t="s">
        <v>74</v>
      </c>
      <c r="BA814" t="s">
        <v>74</v>
      </c>
      <c r="BB814" t="s">
        <v>74</v>
      </c>
      <c r="BC814" t="s">
        <v>74</v>
      </c>
      <c r="BD814" t="s">
        <v>15613</v>
      </c>
      <c r="BE814" t="s">
        <v>15614</v>
      </c>
      <c r="BF814" t="str">
        <f>HYPERLINK("http://dx.doi.org/10.1080/15230430.2018.1475951","http://dx.doi.org/10.1080/15230430.2018.1475951")</f>
        <v>http://dx.doi.org/10.1080/15230430.2018.1475951</v>
      </c>
      <c r="BG814" t="s">
        <v>74</v>
      </c>
      <c r="BH814" t="s">
        <v>74</v>
      </c>
      <c r="BI814">
        <v>13</v>
      </c>
      <c r="BJ814" t="s">
        <v>4350</v>
      </c>
      <c r="BK814" t="s">
        <v>101</v>
      </c>
      <c r="BL814" t="s">
        <v>767</v>
      </c>
      <c r="BM814" t="s">
        <v>15615</v>
      </c>
      <c r="BN814" t="s">
        <v>74</v>
      </c>
      <c r="BO814" t="s">
        <v>1524</v>
      </c>
      <c r="BP814" t="s">
        <v>74</v>
      </c>
      <c r="BQ814" t="s">
        <v>74</v>
      </c>
      <c r="BR814" t="s">
        <v>104</v>
      </c>
      <c r="BS814" t="s">
        <v>15616</v>
      </c>
      <c r="BT814" t="str">
        <f>HYPERLINK("https%3A%2F%2Fwww.webofscience.com%2Fwos%2Fwoscc%2Ffull-record%2FWOS:000438724900001","View Full Record in Web of Science")</f>
        <v>View Full Record in Web of Science</v>
      </c>
    </row>
    <row r="815" spans="1:72" x14ac:dyDescent="0.15">
      <c r="A815" t="s">
        <v>72</v>
      </c>
      <c r="B815" t="s">
        <v>15617</v>
      </c>
      <c r="C815" t="s">
        <v>74</v>
      </c>
      <c r="D815" t="s">
        <v>74</v>
      </c>
      <c r="E815" t="s">
        <v>74</v>
      </c>
      <c r="F815" t="s">
        <v>15618</v>
      </c>
      <c r="G815" t="s">
        <v>74</v>
      </c>
      <c r="H815" t="s">
        <v>74</v>
      </c>
      <c r="I815" t="s">
        <v>15619</v>
      </c>
      <c r="J815" t="s">
        <v>3435</v>
      </c>
      <c r="K815" t="s">
        <v>74</v>
      </c>
      <c r="L815" t="s">
        <v>74</v>
      </c>
      <c r="M815" t="s">
        <v>78</v>
      </c>
      <c r="N815" t="s">
        <v>79</v>
      </c>
      <c r="O815" t="s">
        <v>74</v>
      </c>
      <c r="P815" t="s">
        <v>74</v>
      </c>
      <c r="Q815" t="s">
        <v>74</v>
      </c>
      <c r="R815" t="s">
        <v>74</v>
      </c>
      <c r="S815" t="s">
        <v>74</v>
      </c>
      <c r="T815" t="s">
        <v>15620</v>
      </c>
      <c r="U815" t="s">
        <v>15621</v>
      </c>
      <c r="V815" t="s">
        <v>15622</v>
      </c>
      <c r="W815" t="s">
        <v>15623</v>
      </c>
      <c r="X815" t="s">
        <v>15624</v>
      </c>
      <c r="Y815" t="s">
        <v>15625</v>
      </c>
      <c r="Z815" t="s">
        <v>15626</v>
      </c>
      <c r="AA815" t="s">
        <v>15627</v>
      </c>
      <c r="AB815" t="s">
        <v>15628</v>
      </c>
      <c r="AC815" t="s">
        <v>15629</v>
      </c>
      <c r="AD815" t="s">
        <v>15630</v>
      </c>
      <c r="AE815" t="s">
        <v>15631</v>
      </c>
      <c r="AF815" t="s">
        <v>74</v>
      </c>
      <c r="AG815">
        <v>42</v>
      </c>
      <c r="AH815">
        <v>59</v>
      </c>
      <c r="AI815">
        <v>59</v>
      </c>
      <c r="AJ815">
        <v>0</v>
      </c>
      <c r="AK815">
        <v>6</v>
      </c>
      <c r="AL815" t="s">
        <v>3174</v>
      </c>
      <c r="AM815" t="s">
        <v>3175</v>
      </c>
      <c r="AN815" t="s">
        <v>3176</v>
      </c>
      <c r="AO815" t="s">
        <v>74</v>
      </c>
      <c r="AP815" t="s">
        <v>3445</v>
      </c>
      <c r="AQ815" t="s">
        <v>74</v>
      </c>
      <c r="AR815" t="s">
        <v>3446</v>
      </c>
      <c r="AS815" t="s">
        <v>3447</v>
      </c>
      <c r="AT815" t="s">
        <v>15612</v>
      </c>
      <c r="AU815">
        <v>2018</v>
      </c>
      <c r="AV815">
        <v>5</v>
      </c>
      <c r="AW815" t="s">
        <v>74</v>
      </c>
      <c r="AX815" t="s">
        <v>74</v>
      </c>
      <c r="AY815" t="s">
        <v>74</v>
      </c>
      <c r="AZ815" t="s">
        <v>74</v>
      </c>
      <c r="BA815" t="s">
        <v>74</v>
      </c>
      <c r="BB815" t="s">
        <v>74</v>
      </c>
      <c r="BC815" t="s">
        <v>74</v>
      </c>
      <c r="BD815">
        <v>224</v>
      </c>
      <c r="BE815" t="s">
        <v>15632</v>
      </c>
      <c r="BF815" t="str">
        <f>HYPERLINK("http://dx.doi.org/10.3389/fmars.2018.00224","http://dx.doi.org/10.3389/fmars.2018.00224")</f>
        <v>http://dx.doi.org/10.3389/fmars.2018.00224</v>
      </c>
      <c r="BG815" t="s">
        <v>74</v>
      </c>
      <c r="BH815" t="s">
        <v>74</v>
      </c>
      <c r="BI815">
        <v>16</v>
      </c>
      <c r="BJ815" t="s">
        <v>3450</v>
      </c>
      <c r="BK815" t="s">
        <v>101</v>
      </c>
      <c r="BL815" t="s">
        <v>3451</v>
      </c>
      <c r="BM815" t="s">
        <v>15633</v>
      </c>
      <c r="BN815" t="s">
        <v>74</v>
      </c>
      <c r="BO815" t="s">
        <v>1566</v>
      </c>
      <c r="BP815" t="s">
        <v>74</v>
      </c>
      <c r="BQ815" t="s">
        <v>74</v>
      </c>
      <c r="BR815" t="s">
        <v>104</v>
      </c>
      <c r="BS815" t="s">
        <v>15634</v>
      </c>
      <c r="BT815" t="str">
        <f>HYPERLINK("https%3A%2F%2Fwww.webofscience.com%2Fwos%2Fwoscc%2Ffull-record%2FWOS:000457166800002","View Full Record in Web of Science")</f>
        <v>View Full Record in Web of Science</v>
      </c>
    </row>
    <row r="816" spans="1:72" x14ac:dyDescent="0.15">
      <c r="A816" t="s">
        <v>72</v>
      </c>
      <c r="B816" t="s">
        <v>15635</v>
      </c>
      <c r="C816" t="s">
        <v>74</v>
      </c>
      <c r="D816" t="s">
        <v>74</v>
      </c>
      <c r="E816" t="s">
        <v>74</v>
      </c>
      <c r="F816" t="s">
        <v>15636</v>
      </c>
      <c r="G816" t="s">
        <v>74</v>
      </c>
      <c r="H816" t="s">
        <v>74</v>
      </c>
      <c r="I816" t="s">
        <v>15637</v>
      </c>
      <c r="J816" t="s">
        <v>7645</v>
      </c>
      <c r="K816" t="s">
        <v>74</v>
      </c>
      <c r="L816" t="s">
        <v>74</v>
      </c>
      <c r="M816" t="s">
        <v>78</v>
      </c>
      <c r="N816" t="s">
        <v>79</v>
      </c>
      <c r="O816" t="s">
        <v>74</v>
      </c>
      <c r="P816" t="s">
        <v>74</v>
      </c>
      <c r="Q816" t="s">
        <v>74</v>
      </c>
      <c r="R816" t="s">
        <v>74</v>
      </c>
      <c r="S816" t="s">
        <v>74</v>
      </c>
      <c r="T816" t="s">
        <v>15638</v>
      </c>
      <c r="U816" t="s">
        <v>15639</v>
      </c>
      <c r="V816" t="s">
        <v>15640</v>
      </c>
      <c r="W816" t="s">
        <v>15641</v>
      </c>
      <c r="X816" t="s">
        <v>15642</v>
      </c>
      <c r="Y816" t="s">
        <v>15643</v>
      </c>
      <c r="Z816" t="s">
        <v>15644</v>
      </c>
      <c r="AA816" t="s">
        <v>15645</v>
      </c>
      <c r="AB816" t="s">
        <v>15646</v>
      </c>
      <c r="AC816" t="s">
        <v>15647</v>
      </c>
      <c r="AD816" t="s">
        <v>15648</v>
      </c>
      <c r="AE816" t="s">
        <v>15649</v>
      </c>
      <c r="AF816" t="s">
        <v>74</v>
      </c>
      <c r="AG816">
        <v>94</v>
      </c>
      <c r="AH816">
        <v>43</v>
      </c>
      <c r="AI816">
        <v>46</v>
      </c>
      <c r="AJ816">
        <v>0</v>
      </c>
      <c r="AK816">
        <v>18</v>
      </c>
      <c r="AL816" t="s">
        <v>3174</v>
      </c>
      <c r="AM816" t="s">
        <v>3175</v>
      </c>
      <c r="AN816" t="s">
        <v>3176</v>
      </c>
      <c r="AO816" t="s">
        <v>74</v>
      </c>
      <c r="AP816" t="s">
        <v>7658</v>
      </c>
      <c r="AQ816" t="s">
        <v>74</v>
      </c>
      <c r="AR816" t="s">
        <v>7659</v>
      </c>
      <c r="AS816" t="s">
        <v>7660</v>
      </c>
      <c r="AT816" t="s">
        <v>15612</v>
      </c>
      <c r="AU816">
        <v>2018</v>
      </c>
      <c r="AV816">
        <v>9</v>
      </c>
      <c r="AW816" t="s">
        <v>74</v>
      </c>
      <c r="AX816" t="s">
        <v>74</v>
      </c>
      <c r="AY816" t="s">
        <v>74</v>
      </c>
      <c r="AZ816" t="s">
        <v>74</v>
      </c>
      <c r="BA816" t="s">
        <v>74</v>
      </c>
      <c r="BB816" t="s">
        <v>74</v>
      </c>
      <c r="BC816" t="s">
        <v>74</v>
      </c>
      <c r="BD816">
        <v>1392</v>
      </c>
      <c r="BE816" t="s">
        <v>15650</v>
      </c>
      <c r="BF816" t="str">
        <f>HYPERLINK("http://dx.doi.org/10.3389/fmicb.2018.01392","http://dx.doi.org/10.3389/fmicb.2018.01392")</f>
        <v>http://dx.doi.org/10.3389/fmicb.2018.01392</v>
      </c>
      <c r="BG816" t="s">
        <v>74</v>
      </c>
      <c r="BH816" t="s">
        <v>74</v>
      </c>
      <c r="BI816">
        <v>14</v>
      </c>
      <c r="BJ816" t="s">
        <v>344</v>
      </c>
      <c r="BK816" t="s">
        <v>101</v>
      </c>
      <c r="BL816" t="s">
        <v>344</v>
      </c>
      <c r="BM816" t="s">
        <v>15651</v>
      </c>
      <c r="BN816">
        <v>30008702</v>
      </c>
      <c r="BO816" t="s">
        <v>4275</v>
      </c>
      <c r="BP816" t="s">
        <v>74</v>
      </c>
      <c r="BQ816" t="s">
        <v>74</v>
      </c>
      <c r="BR816" t="s">
        <v>104</v>
      </c>
      <c r="BS816" t="s">
        <v>15652</v>
      </c>
      <c r="BT816" t="str">
        <f>HYPERLINK("https%3A%2F%2Fwww.webofscience.com%2Fwos%2Fwoscc%2Ffull-record%2FWOS:000436845900001","View Full Record in Web of Science")</f>
        <v>View Full Record in Web of Science</v>
      </c>
    </row>
    <row r="817" spans="1:72" x14ac:dyDescent="0.15">
      <c r="A817" t="s">
        <v>72</v>
      </c>
      <c r="B817" t="s">
        <v>15653</v>
      </c>
      <c r="C817" t="s">
        <v>74</v>
      </c>
      <c r="D817" t="s">
        <v>74</v>
      </c>
      <c r="E817" t="s">
        <v>74</v>
      </c>
      <c r="F817" t="s">
        <v>15654</v>
      </c>
      <c r="G817" t="s">
        <v>74</v>
      </c>
      <c r="H817" t="s">
        <v>15655</v>
      </c>
      <c r="I817" t="s">
        <v>15656</v>
      </c>
      <c r="J817" t="s">
        <v>11795</v>
      </c>
      <c r="K817" t="s">
        <v>74</v>
      </c>
      <c r="L817" t="s">
        <v>74</v>
      </c>
      <c r="M817" t="s">
        <v>78</v>
      </c>
      <c r="N817" t="s">
        <v>2499</v>
      </c>
      <c r="O817" t="s">
        <v>74</v>
      </c>
      <c r="P817" t="s">
        <v>74</v>
      </c>
      <c r="Q817" t="s">
        <v>74</v>
      </c>
      <c r="R817" t="s">
        <v>74</v>
      </c>
      <c r="S817" t="s">
        <v>74</v>
      </c>
      <c r="T817" t="s">
        <v>74</v>
      </c>
      <c r="U817" t="s">
        <v>74</v>
      </c>
      <c r="V817" t="s">
        <v>74</v>
      </c>
      <c r="W817" t="s">
        <v>15657</v>
      </c>
      <c r="X817" t="s">
        <v>15658</v>
      </c>
      <c r="Y817" t="s">
        <v>15659</v>
      </c>
      <c r="Z817" t="s">
        <v>15660</v>
      </c>
      <c r="AA817" t="s">
        <v>15661</v>
      </c>
      <c r="AB817" t="s">
        <v>15662</v>
      </c>
      <c r="AC817" t="s">
        <v>74</v>
      </c>
      <c r="AD817" t="s">
        <v>74</v>
      </c>
      <c r="AE817" t="s">
        <v>74</v>
      </c>
      <c r="AF817" t="s">
        <v>74</v>
      </c>
      <c r="AG817">
        <v>10</v>
      </c>
      <c r="AH817">
        <v>95</v>
      </c>
      <c r="AI817">
        <v>101</v>
      </c>
      <c r="AJ817">
        <v>1</v>
      </c>
      <c r="AK817">
        <v>72</v>
      </c>
      <c r="AL817" t="s">
        <v>1270</v>
      </c>
      <c r="AM817" t="s">
        <v>504</v>
      </c>
      <c r="AN817" t="s">
        <v>1271</v>
      </c>
      <c r="AO817" t="s">
        <v>11797</v>
      </c>
      <c r="AP817" t="s">
        <v>11798</v>
      </c>
      <c r="AQ817" t="s">
        <v>74</v>
      </c>
      <c r="AR817" t="s">
        <v>11795</v>
      </c>
      <c r="AS817" t="s">
        <v>11799</v>
      </c>
      <c r="AT817" t="s">
        <v>15612</v>
      </c>
      <c r="AU817">
        <v>2018</v>
      </c>
      <c r="AV817">
        <v>360</v>
      </c>
      <c r="AW817">
        <v>6396</v>
      </c>
      <c r="AX817" t="s">
        <v>74</v>
      </c>
      <c r="AY817" t="s">
        <v>74</v>
      </c>
      <c r="AZ817" t="s">
        <v>74</v>
      </c>
      <c r="BA817" t="s">
        <v>74</v>
      </c>
      <c r="BB817">
        <v>1405</v>
      </c>
      <c r="BC817">
        <v>1406</v>
      </c>
      <c r="BD817" t="s">
        <v>74</v>
      </c>
      <c r="BE817" t="s">
        <v>15663</v>
      </c>
      <c r="BF817" t="str">
        <f>HYPERLINK("http://dx.doi.org/10.1126/science.aat9844","http://dx.doi.org/10.1126/science.aat9844")</f>
        <v>http://dx.doi.org/10.1126/science.aat9844</v>
      </c>
      <c r="BG817" t="s">
        <v>74</v>
      </c>
      <c r="BH817" t="s">
        <v>74</v>
      </c>
      <c r="BI817">
        <v>2</v>
      </c>
      <c r="BJ817" t="s">
        <v>436</v>
      </c>
      <c r="BK817" t="s">
        <v>1140</v>
      </c>
      <c r="BL817" t="s">
        <v>437</v>
      </c>
      <c r="BM817" t="s">
        <v>15664</v>
      </c>
      <c r="BN817">
        <v>29954970</v>
      </c>
      <c r="BO817" t="s">
        <v>1142</v>
      </c>
      <c r="BP817" t="s">
        <v>74</v>
      </c>
      <c r="BQ817" t="s">
        <v>74</v>
      </c>
      <c r="BR817" t="s">
        <v>104</v>
      </c>
      <c r="BS817" t="s">
        <v>15665</v>
      </c>
      <c r="BT817" t="str">
        <f>HYPERLINK("https%3A%2F%2Fwww.webofscience.com%2Fwos%2Fwoscc%2Ffull-record%2FWOS:000436598000028","View Full Record in Web of Science")</f>
        <v>View Full Record in Web of Science</v>
      </c>
    </row>
    <row r="818" spans="1:72" x14ac:dyDescent="0.15">
      <c r="A818" t="s">
        <v>72</v>
      </c>
      <c r="B818" t="s">
        <v>15666</v>
      </c>
      <c r="C818" t="s">
        <v>74</v>
      </c>
      <c r="D818" t="s">
        <v>74</v>
      </c>
      <c r="E818" t="s">
        <v>74</v>
      </c>
      <c r="F818" t="s">
        <v>15667</v>
      </c>
      <c r="G818" t="s">
        <v>74</v>
      </c>
      <c r="H818" t="s">
        <v>74</v>
      </c>
      <c r="I818" t="s">
        <v>15668</v>
      </c>
      <c r="J818" t="s">
        <v>3387</v>
      </c>
      <c r="K818" t="s">
        <v>74</v>
      </c>
      <c r="L818" t="s">
        <v>74</v>
      </c>
      <c r="M818" t="s">
        <v>78</v>
      </c>
      <c r="N818" t="s">
        <v>79</v>
      </c>
      <c r="O818" t="s">
        <v>74</v>
      </c>
      <c r="P818" t="s">
        <v>74</v>
      </c>
      <c r="Q818" t="s">
        <v>74</v>
      </c>
      <c r="R818" t="s">
        <v>74</v>
      </c>
      <c r="S818" t="s">
        <v>74</v>
      </c>
      <c r="T818" t="s">
        <v>74</v>
      </c>
      <c r="U818" t="s">
        <v>15669</v>
      </c>
      <c r="V818" t="s">
        <v>15670</v>
      </c>
      <c r="W818" t="s">
        <v>15671</v>
      </c>
      <c r="X818" t="s">
        <v>15672</v>
      </c>
      <c r="Y818" t="s">
        <v>15673</v>
      </c>
      <c r="Z818" t="s">
        <v>15674</v>
      </c>
      <c r="AA818" t="s">
        <v>15675</v>
      </c>
      <c r="AB818" t="s">
        <v>15676</v>
      </c>
      <c r="AC818" t="s">
        <v>15677</v>
      </c>
      <c r="AD818" t="s">
        <v>15678</v>
      </c>
      <c r="AE818" t="s">
        <v>15679</v>
      </c>
      <c r="AF818" t="s">
        <v>74</v>
      </c>
      <c r="AG818">
        <v>57</v>
      </c>
      <c r="AH818">
        <v>17</v>
      </c>
      <c r="AI818">
        <v>17</v>
      </c>
      <c r="AJ818">
        <v>1</v>
      </c>
      <c r="AK818">
        <v>9</v>
      </c>
      <c r="AL818" t="s">
        <v>3353</v>
      </c>
      <c r="AM818" t="s">
        <v>3354</v>
      </c>
      <c r="AN818" t="s">
        <v>3355</v>
      </c>
      <c r="AO818" t="s">
        <v>3399</v>
      </c>
      <c r="AP818" t="s">
        <v>3400</v>
      </c>
      <c r="AQ818" t="s">
        <v>74</v>
      </c>
      <c r="AR818" t="s">
        <v>3401</v>
      </c>
      <c r="AS818" t="s">
        <v>3402</v>
      </c>
      <c r="AT818" t="s">
        <v>15680</v>
      </c>
      <c r="AU818">
        <v>2018</v>
      </c>
      <c r="AV818">
        <v>18</v>
      </c>
      <c r="AW818">
        <v>12</v>
      </c>
      <c r="AX818" t="s">
        <v>74</v>
      </c>
      <c r="AY818" t="s">
        <v>74</v>
      </c>
      <c r="AZ818" t="s">
        <v>74</v>
      </c>
      <c r="BA818" t="s">
        <v>74</v>
      </c>
      <c r="BB818">
        <v>9075</v>
      </c>
      <c r="BC818">
        <v>9089</v>
      </c>
      <c r="BD818" t="s">
        <v>74</v>
      </c>
      <c r="BE818" t="s">
        <v>15681</v>
      </c>
      <c r="BF818" t="str">
        <f>HYPERLINK("http://dx.doi.org/10.5194/acp-18-9075-2018","http://dx.doi.org/10.5194/acp-18-9075-2018")</f>
        <v>http://dx.doi.org/10.5194/acp-18-9075-2018</v>
      </c>
      <c r="BG818" t="s">
        <v>74</v>
      </c>
      <c r="BH818" t="s">
        <v>74</v>
      </c>
      <c r="BI818">
        <v>15</v>
      </c>
      <c r="BJ818" t="s">
        <v>317</v>
      </c>
      <c r="BK818" t="s">
        <v>101</v>
      </c>
      <c r="BL818" t="s">
        <v>318</v>
      </c>
      <c r="BM818" t="s">
        <v>15682</v>
      </c>
      <c r="BN818" t="s">
        <v>74</v>
      </c>
      <c r="BO818" t="s">
        <v>1524</v>
      </c>
      <c r="BP818" t="s">
        <v>74</v>
      </c>
      <c r="BQ818" t="s">
        <v>74</v>
      </c>
      <c r="BR818" t="s">
        <v>104</v>
      </c>
      <c r="BS818" t="s">
        <v>15683</v>
      </c>
      <c r="BT818" t="str">
        <f>HYPERLINK("https%3A%2F%2Fwww.webofscience.com%2Fwos%2Fwoscc%2Ffull-record%2FWOS:000436579500009","View Full Record in Web of Science")</f>
        <v>View Full Record in Web of Science</v>
      </c>
    </row>
    <row r="819" spans="1:72" x14ac:dyDescent="0.15">
      <c r="A819" t="s">
        <v>72</v>
      </c>
      <c r="B819" t="s">
        <v>15684</v>
      </c>
      <c r="C819" t="s">
        <v>74</v>
      </c>
      <c r="D819" t="s">
        <v>74</v>
      </c>
      <c r="E819" t="s">
        <v>74</v>
      </c>
      <c r="F819" t="s">
        <v>15685</v>
      </c>
      <c r="G819" t="s">
        <v>74</v>
      </c>
      <c r="H819" t="s">
        <v>74</v>
      </c>
      <c r="I819" t="s">
        <v>15686</v>
      </c>
      <c r="J819" t="s">
        <v>3089</v>
      </c>
      <c r="K819" t="s">
        <v>74</v>
      </c>
      <c r="L819" t="s">
        <v>74</v>
      </c>
      <c r="M819" t="s">
        <v>78</v>
      </c>
      <c r="N819" t="s">
        <v>79</v>
      </c>
      <c r="O819" t="s">
        <v>74</v>
      </c>
      <c r="P819" t="s">
        <v>74</v>
      </c>
      <c r="Q819" t="s">
        <v>74</v>
      </c>
      <c r="R819" t="s">
        <v>74</v>
      </c>
      <c r="S819" t="s">
        <v>74</v>
      </c>
      <c r="T819" t="s">
        <v>15687</v>
      </c>
      <c r="U819" t="s">
        <v>15688</v>
      </c>
      <c r="V819" t="s">
        <v>15689</v>
      </c>
      <c r="W819" t="s">
        <v>15690</v>
      </c>
      <c r="X819" t="s">
        <v>15691</v>
      </c>
      <c r="Y819" t="s">
        <v>15692</v>
      </c>
      <c r="Z819" t="s">
        <v>15693</v>
      </c>
      <c r="AA819" t="s">
        <v>15694</v>
      </c>
      <c r="AB819" t="s">
        <v>15695</v>
      </c>
      <c r="AC819" t="s">
        <v>15696</v>
      </c>
      <c r="AD819" t="s">
        <v>15697</v>
      </c>
      <c r="AE819" t="s">
        <v>15698</v>
      </c>
      <c r="AF819" t="s">
        <v>74</v>
      </c>
      <c r="AG819">
        <v>62</v>
      </c>
      <c r="AH819">
        <v>61</v>
      </c>
      <c r="AI819">
        <v>64</v>
      </c>
      <c r="AJ819">
        <v>1</v>
      </c>
      <c r="AK819">
        <v>51</v>
      </c>
      <c r="AL819" t="s">
        <v>503</v>
      </c>
      <c r="AM819" t="s">
        <v>504</v>
      </c>
      <c r="AN819" t="s">
        <v>505</v>
      </c>
      <c r="AO819" t="s">
        <v>3100</v>
      </c>
      <c r="AP819" t="s">
        <v>3101</v>
      </c>
      <c r="AQ819" t="s">
        <v>74</v>
      </c>
      <c r="AR819" t="s">
        <v>3102</v>
      </c>
      <c r="AS819" t="s">
        <v>3103</v>
      </c>
      <c r="AT819" t="s">
        <v>15680</v>
      </c>
      <c r="AU819">
        <v>2018</v>
      </c>
      <c r="AV819">
        <v>45</v>
      </c>
      <c r="AW819">
        <v>12</v>
      </c>
      <c r="AX819" t="s">
        <v>74</v>
      </c>
      <c r="AY819" t="s">
        <v>74</v>
      </c>
      <c r="AZ819" t="s">
        <v>74</v>
      </c>
      <c r="BA819" t="s">
        <v>74</v>
      </c>
      <c r="BB819">
        <v>6167</v>
      </c>
      <c r="BC819">
        <v>6175</v>
      </c>
      <c r="BD819" t="s">
        <v>74</v>
      </c>
      <c r="BE819" t="s">
        <v>15699</v>
      </c>
      <c r="BF819" t="str">
        <f>HYPERLINK("http://dx.doi.org/10.1029/2018GL078265","http://dx.doi.org/10.1029/2018GL078265")</f>
        <v>http://dx.doi.org/10.1029/2018GL078265</v>
      </c>
      <c r="BG819" t="s">
        <v>74</v>
      </c>
      <c r="BH819" t="s">
        <v>74</v>
      </c>
      <c r="BI819">
        <v>9</v>
      </c>
      <c r="BJ819" t="s">
        <v>182</v>
      </c>
      <c r="BK819" t="s">
        <v>101</v>
      </c>
      <c r="BL819" t="s">
        <v>183</v>
      </c>
      <c r="BM819" t="s">
        <v>15700</v>
      </c>
      <c r="BN819" t="s">
        <v>74</v>
      </c>
      <c r="BO819" t="s">
        <v>13945</v>
      </c>
      <c r="BP819" t="s">
        <v>74</v>
      </c>
      <c r="BQ819" t="s">
        <v>74</v>
      </c>
      <c r="BR819" t="s">
        <v>104</v>
      </c>
      <c r="BS819" t="s">
        <v>15701</v>
      </c>
      <c r="BT819" t="str">
        <f>HYPERLINK("https%3A%2F%2Fwww.webofscience.com%2Fwos%2Fwoscc%2Ffull-record%2FWOS:000438499100039","View Full Record in Web of Science")</f>
        <v>View Full Record in Web of Science</v>
      </c>
    </row>
    <row r="820" spans="1:72" x14ac:dyDescent="0.15">
      <c r="A820" t="s">
        <v>72</v>
      </c>
      <c r="B820" t="s">
        <v>15702</v>
      </c>
      <c r="C820" t="s">
        <v>74</v>
      </c>
      <c r="D820" t="s">
        <v>74</v>
      </c>
      <c r="E820" t="s">
        <v>74</v>
      </c>
      <c r="F820" t="s">
        <v>15703</v>
      </c>
      <c r="G820" t="s">
        <v>74</v>
      </c>
      <c r="H820" t="s">
        <v>74</v>
      </c>
      <c r="I820" t="s">
        <v>15704</v>
      </c>
      <c r="J820" t="s">
        <v>3186</v>
      </c>
      <c r="K820" t="s">
        <v>74</v>
      </c>
      <c r="L820" t="s">
        <v>74</v>
      </c>
      <c r="M820" t="s">
        <v>78</v>
      </c>
      <c r="N820" t="s">
        <v>79</v>
      </c>
      <c r="O820" t="s">
        <v>74</v>
      </c>
      <c r="P820" t="s">
        <v>74</v>
      </c>
      <c r="Q820" t="s">
        <v>74</v>
      </c>
      <c r="R820" t="s">
        <v>74</v>
      </c>
      <c r="S820" t="s">
        <v>74</v>
      </c>
      <c r="T820" t="s">
        <v>15705</v>
      </c>
      <c r="U820" t="s">
        <v>15706</v>
      </c>
      <c r="V820" t="s">
        <v>15707</v>
      </c>
      <c r="W820" t="s">
        <v>15708</v>
      </c>
      <c r="X820" t="s">
        <v>15709</v>
      </c>
      <c r="Y820" t="s">
        <v>15710</v>
      </c>
      <c r="Z820" t="s">
        <v>15711</v>
      </c>
      <c r="AA820" t="s">
        <v>15712</v>
      </c>
      <c r="AB820" t="s">
        <v>15713</v>
      </c>
      <c r="AC820" t="s">
        <v>15714</v>
      </c>
      <c r="AD820" t="s">
        <v>15715</v>
      </c>
      <c r="AE820" t="s">
        <v>15716</v>
      </c>
      <c r="AF820" t="s">
        <v>74</v>
      </c>
      <c r="AG820">
        <v>52</v>
      </c>
      <c r="AH820">
        <v>17</v>
      </c>
      <c r="AI820">
        <v>17</v>
      </c>
      <c r="AJ820">
        <v>4</v>
      </c>
      <c r="AK820">
        <v>34</v>
      </c>
      <c r="AL820" t="s">
        <v>1319</v>
      </c>
      <c r="AM820" t="s">
        <v>704</v>
      </c>
      <c r="AN820" t="s">
        <v>1320</v>
      </c>
      <c r="AO820" t="s">
        <v>3198</v>
      </c>
      <c r="AP820" t="s">
        <v>3199</v>
      </c>
      <c r="AQ820" t="s">
        <v>74</v>
      </c>
      <c r="AR820" t="s">
        <v>3200</v>
      </c>
      <c r="AS820" t="s">
        <v>3201</v>
      </c>
      <c r="AT820" t="s">
        <v>15680</v>
      </c>
      <c r="AU820">
        <v>2018</v>
      </c>
      <c r="AV820">
        <v>376</v>
      </c>
      <c r="AW820">
        <v>2122</v>
      </c>
      <c r="AX820" t="s">
        <v>74</v>
      </c>
      <c r="AY820" t="s">
        <v>74</v>
      </c>
      <c r="AZ820" t="s">
        <v>74</v>
      </c>
      <c r="BA820" t="s">
        <v>74</v>
      </c>
      <c r="BB820" t="s">
        <v>74</v>
      </c>
      <c r="BC820" t="s">
        <v>74</v>
      </c>
      <c r="BD820">
        <v>20170177</v>
      </c>
      <c r="BE820" t="s">
        <v>15717</v>
      </c>
      <c r="BF820" t="str">
        <f>HYPERLINK("http://dx.doi.org/10.1098/rsta.2017.0177","http://dx.doi.org/10.1098/rsta.2017.0177")</f>
        <v>http://dx.doi.org/10.1098/rsta.2017.0177</v>
      </c>
      <c r="BG820" t="s">
        <v>74</v>
      </c>
      <c r="BH820" t="s">
        <v>74</v>
      </c>
      <c r="BI820">
        <v>15</v>
      </c>
      <c r="BJ820" t="s">
        <v>436</v>
      </c>
      <c r="BK820" t="s">
        <v>101</v>
      </c>
      <c r="BL820" t="s">
        <v>437</v>
      </c>
      <c r="BM820" t="s">
        <v>15718</v>
      </c>
      <c r="BN820">
        <v>29760119</v>
      </c>
      <c r="BO820" t="s">
        <v>15719</v>
      </c>
      <c r="BP820" t="s">
        <v>74</v>
      </c>
      <c r="BQ820" t="s">
        <v>74</v>
      </c>
      <c r="BR820" t="s">
        <v>104</v>
      </c>
      <c r="BS820" t="s">
        <v>15720</v>
      </c>
      <c r="BT820" t="str">
        <f>HYPERLINK("https%3A%2F%2Fwww.webofscience.com%2Fwos%2Fwoscc%2Ffull-record%2FWOS:000432326900012","View Full Record in Web of Science")</f>
        <v>View Full Record in Web of Science</v>
      </c>
    </row>
    <row r="821" spans="1:72" x14ac:dyDescent="0.15">
      <c r="A821" t="s">
        <v>72</v>
      </c>
      <c r="B821" t="s">
        <v>15721</v>
      </c>
      <c r="C821" t="s">
        <v>74</v>
      </c>
      <c r="D821" t="s">
        <v>74</v>
      </c>
      <c r="E821" t="s">
        <v>74</v>
      </c>
      <c r="F821" t="s">
        <v>15722</v>
      </c>
      <c r="G821" t="s">
        <v>74</v>
      </c>
      <c r="H821" t="s">
        <v>74</v>
      </c>
      <c r="I821" t="s">
        <v>15723</v>
      </c>
      <c r="J821" t="s">
        <v>3186</v>
      </c>
      <c r="K821" t="s">
        <v>74</v>
      </c>
      <c r="L821" t="s">
        <v>74</v>
      </c>
      <c r="M821" t="s">
        <v>78</v>
      </c>
      <c r="N821" t="s">
        <v>79</v>
      </c>
      <c r="O821" t="s">
        <v>74</v>
      </c>
      <c r="P821" t="s">
        <v>74</v>
      </c>
      <c r="Q821" t="s">
        <v>74</v>
      </c>
      <c r="R821" t="s">
        <v>74</v>
      </c>
      <c r="S821" t="s">
        <v>74</v>
      </c>
      <c r="T821" t="s">
        <v>15724</v>
      </c>
      <c r="U821" t="s">
        <v>15725</v>
      </c>
      <c r="V821" t="s">
        <v>15726</v>
      </c>
      <c r="W821" t="s">
        <v>15727</v>
      </c>
      <c r="X821" t="s">
        <v>15728</v>
      </c>
      <c r="Y821" t="s">
        <v>15729</v>
      </c>
      <c r="Z821" t="s">
        <v>15730</v>
      </c>
      <c r="AA821" t="s">
        <v>15731</v>
      </c>
      <c r="AB821" t="s">
        <v>15732</v>
      </c>
      <c r="AC821" t="s">
        <v>15733</v>
      </c>
      <c r="AD821" t="s">
        <v>15734</v>
      </c>
      <c r="AE821" t="s">
        <v>15735</v>
      </c>
      <c r="AF821" t="s">
        <v>74</v>
      </c>
      <c r="AG821">
        <v>44</v>
      </c>
      <c r="AH821">
        <v>51</v>
      </c>
      <c r="AI821">
        <v>54</v>
      </c>
      <c r="AJ821">
        <v>2</v>
      </c>
      <c r="AK821">
        <v>30</v>
      </c>
      <c r="AL821" t="s">
        <v>1319</v>
      </c>
      <c r="AM821" t="s">
        <v>704</v>
      </c>
      <c r="AN821" t="s">
        <v>1320</v>
      </c>
      <c r="AO821" t="s">
        <v>3198</v>
      </c>
      <c r="AP821" t="s">
        <v>3199</v>
      </c>
      <c r="AQ821" t="s">
        <v>74</v>
      </c>
      <c r="AR821" t="s">
        <v>3200</v>
      </c>
      <c r="AS821" t="s">
        <v>3201</v>
      </c>
      <c r="AT821" t="s">
        <v>15680</v>
      </c>
      <c r="AU821">
        <v>2018</v>
      </c>
      <c r="AV821">
        <v>376</v>
      </c>
      <c r="AW821">
        <v>2122</v>
      </c>
      <c r="AX821" t="s">
        <v>74</v>
      </c>
      <c r="AY821" t="s">
        <v>74</v>
      </c>
      <c r="AZ821" t="s">
        <v>74</v>
      </c>
      <c r="BA821" t="s">
        <v>74</v>
      </c>
      <c r="BB821" t="s">
        <v>74</v>
      </c>
      <c r="BC821" t="s">
        <v>74</v>
      </c>
      <c r="BD821">
        <v>20170171</v>
      </c>
      <c r="BE821" t="s">
        <v>15736</v>
      </c>
      <c r="BF821" t="str">
        <f>HYPERLINK("http://dx.doi.org/10.1098/rsta.2017.0171","http://dx.doi.org/10.1098/rsta.2017.0171")</f>
        <v>http://dx.doi.org/10.1098/rsta.2017.0171</v>
      </c>
      <c r="BG821" t="s">
        <v>74</v>
      </c>
      <c r="BH821" t="s">
        <v>74</v>
      </c>
      <c r="BI821">
        <v>18</v>
      </c>
      <c r="BJ821" t="s">
        <v>436</v>
      </c>
      <c r="BK821" t="s">
        <v>101</v>
      </c>
      <c r="BL821" t="s">
        <v>437</v>
      </c>
      <c r="BM821" t="s">
        <v>15718</v>
      </c>
      <c r="BN821">
        <v>29760114</v>
      </c>
      <c r="BO821" t="s">
        <v>7541</v>
      </c>
      <c r="BP821" t="s">
        <v>74</v>
      </c>
      <c r="BQ821" t="s">
        <v>74</v>
      </c>
      <c r="BR821" t="s">
        <v>104</v>
      </c>
      <c r="BS821" t="s">
        <v>15737</v>
      </c>
      <c r="BT821" t="str">
        <f>HYPERLINK("https%3A%2F%2Fwww.webofscience.com%2Fwos%2Fwoscc%2Ffull-record%2FWOS:000432326900007","View Full Record in Web of Science")</f>
        <v>View Full Record in Web of Science</v>
      </c>
    </row>
    <row r="822" spans="1:72" x14ac:dyDescent="0.15">
      <c r="A822" t="s">
        <v>72</v>
      </c>
      <c r="B822" t="s">
        <v>15738</v>
      </c>
      <c r="C822" t="s">
        <v>74</v>
      </c>
      <c r="D822" t="s">
        <v>74</v>
      </c>
      <c r="E822" t="s">
        <v>74</v>
      </c>
      <c r="F822" t="s">
        <v>15739</v>
      </c>
      <c r="G822" t="s">
        <v>74</v>
      </c>
      <c r="H822" t="s">
        <v>74</v>
      </c>
      <c r="I822" t="s">
        <v>15740</v>
      </c>
      <c r="J822" t="s">
        <v>3089</v>
      </c>
      <c r="K822" t="s">
        <v>74</v>
      </c>
      <c r="L822" t="s">
        <v>74</v>
      </c>
      <c r="M822" t="s">
        <v>78</v>
      </c>
      <c r="N822" t="s">
        <v>79</v>
      </c>
      <c r="O822" t="s">
        <v>74</v>
      </c>
      <c r="P822" t="s">
        <v>74</v>
      </c>
      <c r="Q822" t="s">
        <v>74</v>
      </c>
      <c r="R822" t="s">
        <v>74</v>
      </c>
      <c r="S822" t="s">
        <v>74</v>
      </c>
      <c r="T822" t="s">
        <v>15741</v>
      </c>
      <c r="U822" t="s">
        <v>15742</v>
      </c>
      <c r="V822" t="s">
        <v>15743</v>
      </c>
      <c r="W822" t="s">
        <v>15744</v>
      </c>
      <c r="X822" t="s">
        <v>15745</v>
      </c>
      <c r="Y822" t="s">
        <v>15746</v>
      </c>
      <c r="Z822" t="s">
        <v>15747</v>
      </c>
      <c r="AA822" t="s">
        <v>15748</v>
      </c>
      <c r="AB822" t="s">
        <v>15749</v>
      </c>
      <c r="AC822" t="s">
        <v>15750</v>
      </c>
      <c r="AD822" t="s">
        <v>15751</v>
      </c>
      <c r="AE822" t="s">
        <v>15752</v>
      </c>
      <c r="AF822" t="s">
        <v>74</v>
      </c>
      <c r="AG822">
        <v>33</v>
      </c>
      <c r="AH822">
        <v>17</v>
      </c>
      <c r="AI822">
        <v>17</v>
      </c>
      <c r="AJ822">
        <v>3</v>
      </c>
      <c r="AK822">
        <v>22</v>
      </c>
      <c r="AL822" t="s">
        <v>503</v>
      </c>
      <c r="AM822" t="s">
        <v>504</v>
      </c>
      <c r="AN822" t="s">
        <v>505</v>
      </c>
      <c r="AO822" t="s">
        <v>3100</v>
      </c>
      <c r="AP822" t="s">
        <v>3101</v>
      </c>
      <c r="AQ822" t="s">
        <v>74</v>
      </c>
      <c r="AR822" t="s">
        <v>3102</v>
      </c>
      <c r="AS822" t="s">
        <v>3103</v>
      </c>
      <c r="AT822" t="s">
        <v>15680</v>
      </c>
      <c r="AU822">
        <v>2018</v>
      </c>
      <c r="AV822">
        <v>45</v>
      </c>
      <c r="AW822">
        <v>12</v>
      </c>
      <c r="AX822" t="s">
        <v>74</v>
      </c>
      <c r="AY822" t="s">
        <v>74</v>
      </c>
      <c r="AZ822" t="s">
        <v>74</v>
      </c>
      <c r="BA822" t="s">
        <v>74</v>
      </c>
      <c r="BB822">
        <v>6117</v>
      </c>
      <c r="BC822">
        <v>6123</v>
      </c>
      <c r="BD822" t="s">
        <v>74</v>
      </c>
      <c r="BE822" t="s">
        <v>15753</v>
      </c>
      <c r="BF822" t="str">
        <f>HYPERLINK("http://dx.doi.org/10.1029/2018GL077429","http://dx.doi.org/10.1029/2018GL077429")</f>
        <v>http://dx.doi.org/10.1029/2018GL077429</v>
      </c>
      <c r="BG822" t="s">
        <v>74</v>
      </c>
      <c r="BH822" t="s">
        <v>74</v>
      </c>
      <c r="BI822">
        <v>7</v>
      </c>
      <c r="BJ822" t="s">
        <v>182</v>
      </c>
      <c r="BK822" t="s">
        <v>101</v>
      </c>
      <c r="BL822" t="s">
        <v>183</v>
      </c>
      <c r="BM822" t="s">
        <v>15700</v>
      </c>
      <c r="BN822" t="s">
        <v>74</v>
      </c>
      <c r="BO822" t="s">
        <v>6905</v>
      </c>
      <c r="BP822" t="s">
        <v>74</v>
      </c>
      <c r="BQ822" t="s">
        <v>74</v>
      </c>
      <c r="BR822" t="s">
        <v>104</v>
      </c>
      <c r="BS822" t="s">
        <v>15754</v>
      </c>
      <c r="BT822" t="str">
        <f>HYPERLINK("https%3A%2F%2Fwww.webofscience.com%2Fwos%2Fwoscc%2Ffull-record%2FWOS:000438499100033","View Full Record in Web of Science")</f>
        <v>View Full Record in Web of Science</v>
      </c>
    </row>
    <row r="823" spans="1:72" x14ac:dyDescent="0.15">
      <c r="A823" t="s">
        <v>72</v>
      </c>
      <c r="B823" t="s">
        <v>15755</v>
      </c>
      <c r="C823" t="s">
        <v>74</v>
      </c>
      <c r="D823" t="s">
        <v>74</v>
      </c>
      <c r="E823" t="s">
        <v>74</v>
      </c>
      <c r="F823" t="s">
        <v>15756</v>
      </c>
      <c r="G823" t="s">
        <v>74</v>
      </c>
      <c r="H823" t="s">
        <v>74</v>
      </c>
      <c r="I823" t="s">
        <v>15757</v>
      </c>
      <c r="J823" t="s">
        <v>3186</v>
      </c>
      <c r="K823" t="s">
        <v>74</v>
      </c>
      <c r="L823" t="s">
        <v>74</v>
      </c>
      <c r="M823" t="s">
        <v>78</v>
      </c>
      <c r="N823" t="s">
        <v>79</v>
      </c>
      <c r="O823" t="s">
        <v>74</v>
      </c>
      <c r="P823" t="s">
        <v>74</v>
      </c>
      <c r="Q823" t="s">
        <v>74</v>
      </c>
      <c r="R823" t="s">
        <v>74</v>
      </c>
      <c r="S823" t="s">
        <v>74</v>
      </c>
      <c r="T823" t="s">
        <v>15758</v>
      </c>
      <c r="U823" t="s">
        <v>15759</v>
      </c>
      <c r="V823" t="s">
        <v>15760</v>
      </c>
      <c r="W823" t="s">
        <v>15761</v>
      </c>
      <c r="X823" t="s">
        <v>15762</v>
      </c>
      <c r="Y823" t="s">
        <v>15763</v>
      </c>
      <c r="Z823" t="s">
        <v>15764</v>
      </c>
      <c r="AA823" t="s">
        <v>15765</v>
      </c>
      <c r="AB823" t="s">
        <v>15766</v>
      </c>
      <c r="AC823" t="s">
        <v>15767</v>
      </c>
      <c r="AD823" t="s">
        <v>15768</v>
      </c>
      <c r="AE823" t="s">
        <v>15769</v>
      </c>
      <c r="AF823" t="s">
        <v>74</v>
      </c>
      <c r="AG823">
        <v>62</v>
      </c>
      <c r="AH823">
        <v>21</v>
      </c>
      <c r="AI823">
        <v>21</v>
      </c>
      <c r="AJ823">
        <v>0</v>
      </c>
      <c r="AK823">
        <v>10</v>
      </c>
      <c r="AL823" t="s">
        <v>1319</v>
      </c>
      <c r="AM823" t="s">
        <v>704</v>
      </c>
      <c r="AN823" t="s">
        <v>1320</v>
      </c>
      <c r="AO823" t="s">
        <v>3198</v>
      </c>
      <c r="AP823" t="s">
        <v>3199</v>
      </c>
      <c r="AQ823" t="s">
        <v>74</v>
      </c>
      <c r="AR823" t="s">
        <v>3200</v>
      </c>
      <c r="AS823" t="s">
        <v>3201</v>
      </c>
      <c r="AT823" t="s">
        <v>15680</v>
      </c>
      <c r="AU823">
        <v>2018</v>
      </c>
      <c r="AV823">
        <v>376</v>
      </c>
      <c r="AW823">
        <v>2122</v>
      </c>
      <c r="AX823" t="s">
        <v>74</v>
      </c>
      <c r="AY823" t="s">
        <v>74</v>
      </c>
      <c r="AZ823" t="s">
        <v>74</v>
      </c>
      <c r="BA823" t="s">
        <v>74</v>
      </c>
      <c r="BB823" t="s">
        <v>74</v>
      </c>
      <c r="BC823" t="s">
        <v>74</v>
      </c>
      <c r="BD823">
        <v>20170178</v>
      </c>
      <c r="BE823" t="s">
        <v>15770</v>
      </c>
      <c r="BF823" t="str">
        <f>HYPERLINK("http://dx.doi.org/10.1098/rsta.2017.0178","http://dx.doi.org/10.1098/rsta.2017.0178")</f>
        <v>http://dx.doi.org/10.1098/rsta.2017.0178</v>
      </c>
      <c r="BG823" t="s">
        <v>74</v>
      </c>
      <c r="BH823" t="s">
        <v>74</v>
      </c>
      <c r="BI823">
        <v>19</v>
      </c>
      <c r="BJ823" t="s">
        <v>436</v>
      </c>
      <c r="BK823" t="s">
        <v>101</v>
      </c>
      <c r="BL823" t="s">
        <v>437</v>
      </c>
      <c r="BM823" t="s">
        <v>15718</v>
      </c>
      <c r="BN823">
        <v>29760120</v>
      </c>
      <c r="BO823" t="s">
        <v>835</v>
      </c>
      <c r="BP823" t="s">
        <v>74</v>
      </c>
      <c r="BQ823" t="s">
        <v>74</v>
      </c>
      <c r="BR823" t="s">
        <v>104</v>
      </c>
      <c r="BS823" t="s">
        <v>15771</v>
      </c>
      <c r="BT823" t="str">
        <f>HYPERLINK("https%3A%2F%2Fwww.webofscience.com%2Fwos%2Fwoscc%2Ffull-record%2FWOS:000432326900013","View Full Record in Web of Science")</f>
        <v>View Full Record in Web of Science</v>
      </c>
    </row>
    <row r="824" spans="1:72" x14ac:dyDescent="0.15">
      <c r="A824" t="s">
        <v>72</v>
      </c>
      <c r="B824" t="s">
        <v>15772</v>
      </c>
      <c r="C824" t="s">
        <v>74</v>
      </c>
      <c r="D824" t="s">
        <v>74</v>
      </c>
      <c r="E824" t="s">
        <v>74</v>
      </c>
      <c r="F824" t="s">
        <v>15773</v>
      </c>
      <c r="G824" t="s">
        <v>74</v>
      </c>
      <c r="H824" t="s">
        <v>74</v>
      </c>
      <c r="I824" t="s">
        <v>15774</v>
      </c>
      <c r="J824" t="s">
        <v>4453</v>
      </c>
      <c r="K824" t="s">
        <v>74</v>
      </c>
      <c r="L824" t="s">
        <v>74</v>
      </c>
      <c r="M824" t="s">
        <v>78</v>
      </c>
      <c r="N824" t="s">
        <v>79</v>
      </c>
      <c r="O824" t="s">
        <v>74</v>
      </c>
      <c r="P824" t="s">
        <v>74</v>
      </c>
      <c r="Q824" t="s">
        <v>74</v>
      </c>
      <c r="R824" t="s">
        <v>74</v>
      </c>
      <c r="S824" t="s">
        <v>74</v>
      </c>
      <c r="T824" t="s">
        <v>74</v>
      </c>
      <c r="U824" t="s">
        <v>15775</v>
      </c>
      <c r="V824" t="s">
        <v>15776</v>
      </c>
      <c r="W824" t="s">
        <v>15777</v>
      </c>
      <c r="X824" t="s">
        <v>15778</v>
      </c>
      <c r="Y824" t="s">
        <v>15779</v>
      </c>
      <c r="Z824" t="s">
        <v>15780</v>
      </c>
      <c r="AA824" t="s">
        <v>15781</v>
      </c>
      <c r="AB824" t="s">
        <v>15782</v>
      </c>
      <c r="AC824" t="s">
        <v>15783</v>
      </c>
      <c r="AD824" t="s">
        <v>15784</v>
      </c>
      <c r="AE824" t="s">
        <v>15785</v>
      </c>
      <c r="AF824" t="s">
        <v>74</v>
      </c>
      <c r="AG824">
        <v>81</v>
      </c>
      <c r="AH824">
        <v>23</v>
      </c>
      <c r="AI824">
        <v>25</v>
      </c>
      <c r="AJ824">
        <v>1</v>
      </c>
      <c r="AK824">
        <v>19</v>
      </c>
      <c r="AL824" t="s">
        <v>3353</v>
      </c>
      <c r="AM824" t="s">
        <v>3354</v>
      </c>
      <c r="AN824" t="s">
        <v>3355</v>
      </c>
      <c r="AO824" t="s">
        <v>4465</v>
      </c>
      <c r="AP824" t="s">
        <v>4466</v>
      </c>
      <c r="AQ824" t="s">
        <v>74</v>
      </c>
      <c r="AR824" t="s">
        <v>4467</v>
      </c>
      <c r="AS824" t="s">
        <v>4468</v>
      </c>
      <c r="AT824" t="s">
        <v>15680</v>
      </c>
      <c r="AU824">
        <v>2018</v>
      </c>
      <c r="AV824">
        <v>14</v>
      </c>
      <c r="AW824">
        <v>6</v>
      </c>
      <c r="AX824" t="s">
        <v>74</v>
      </c>
      <c r="AY824" t="s">
        <v>74</v>
      </c>
      <c r="AZ824" t="s">
        <v>74</v>
      </c>
      <c r="BA824" t="s">
        <v>74</v>
      </c>
      <c r="BB824">
        <v>923</v>
      </c>
      <c r="BC824">
        <v>946</v>
      </c>
      <c r="BD824" t="s">
        <v>74</v>
      </c>
      <c r="BE824" t="s">
        <v>15786</v>
      </c>
      <c r="BF824" t="str">
        <f>HYPERLINK("http://dx.doi.org/10.5194/cp-14-923-2018","http://dx.doi.org/10.5194/cp-14-923-2018")</f>
        <v>http://dx.doi.org/10.5194/cp-14-923-2018</v>
      </c>
      <c r="BG824" t="s">
        <v>74</v>
      </c>
      <c r="BH824" t="s">
        <v>74</v>
      </c>
      <c r="BI824">
        <v>24</v>
      </c>
      <c r="BJ824" t="s">
        <v>4148</v>
      </c>
      <c r="BK824" t="s">
        <v>101</v>
      </c>
      <c r="BL824" t="s">
        <v>4149</v>
      </c>
      <c r="BM824" t="s">
        <v>15787</v>
      </c>
      <c r="BN824" t="s">
        <v>74</v>
      </c>
      <c r="BO824" t="s">
        <v>1524</v>
      </c>
      <c r="BP824" t="s">
        <v>74</v>
      </c>
      <c r="BQ824" t="s">
        <v>74</v>
      </c>
      <c r="BR824" t="s">
        <v>104</v>
      </c>
      <c r="BS824" t="s">
        <v>15788</v>
      </c>
      <c r="BT824" t="str">
        <f>HYPERLINK("https%3A%2F%2Fwww.webofscience.com%2Fwos%2Fwoscc%2Ffull-record%2FWOS:000436613300001","View Full Record in Web of Science")</f>
        <v>View Full Record in Web of Science</v>
      </c>
    </row>
    <row r="825" spans="1:72" x14ac:dyDescent="0.15">
      <c r="A825" t="s">
        <v>72</v>
      </c>
      <c r="B825" t="s">
        <v>15789</v>
      </c>
      <c r="C825" t="s">
        <v>74</v>
      </c>
      <c r="D825" t="s">
        <v>74</v>
      </c>
      <c r="E825" t="s">
        <v>74</v>
      </c>
      <c r="F825" t="s">
        <v>15790</v>
      </c>
      <c r="G825" t="s">
        <v>74</v>
      </c>
      <c r="H825" t="s">
        <v>74</v>
      </c>
      <c r="I825" t="s">
        <v>15791</v>
      </c>
      <c r="J825" t="s">
        <v>15792</v>
      </c>
      <c r="K825" t="s">
        <v>74</v>
      </c>
      <c r="L825" t="s">
        <v>74</v>
      </c>
      <c r="M825" t="s">
        <v>78</v>
      </c>
      <c r="N825" t="s">
        <v>79</v>
      </c>
      <c r="O825" t="s">
        <v>74</v>
      </c>
      <c r="P825" t="s">
        <v>74</v>
      </c>
      <c r="Q825" t="s">
        <v>74</v>
      </c>
      <c r="R825" t="s">
        <v>74</v>
      </c>
      <c r="S825" t="s">
        <v>74</v>
      </c>
      <c r="T825" t="s">
        <v>74</v>
      </c>
      <c r="U825" t="s">
        <v>15793</v>
      </c>
      <c r="V825" t="s">
        <v>15794</v>
      </c>
      <c r="W825" t="s">
        <v>15795</v>
      </c>
      <c r="X825" t="s">
        <v>15796</v>
      </c>
      <c r="Y825" t="s">
        <v>15797</v>
      </c>
      <c r="Z825" t="s">
        <v>15798</v>
      </c>
      <c r="AA825" t="s">
        <v>15799</v>
      </c>
      <c r="AB825" t="s">
        <v>15800</v>
      </c>
      <c r="AC825" t="s">
        <v>15801</v>
      </c>
      <c r="AD825" t="s">
        <v>15802</v>
      </c>
      <c r="AE825" t="s">
        <v>15803</v>
      </c>
      <c r="AF825" t="s">
        <v>74</v>
      </c>
      <c r="AG825">
        <v>115</v>
      </c>
      <c r="AH825">
        <v>65</v>
      </c>
      <c r="AI825">
        <v>76</v>
      </c>
      <c r="AJ825">
        <v>2</v>
      </c>
      <c r="AK825">
        <v>20</v>
      </c>
      <c r="AL825" t="s">
        <v>3514</v>
      </c>
      <c r="AM825" t="s">
        <v>704</v>
      </c>
      <c r="AN825" t="s">
        <v>3515</v>
      </c>
      <c r="AO825" t="s">
        <v>15804</v>
      </c>
      <c r="AP825" t="s">
        <v>74</v>
      </c>
      <c r="AQ825" t="s">
        <v>74</v>
      </c>
      <c r="AR825" t="s">
        <v>15792</v>
      </c>
      <c r="AS825" t="s">
        <v>15805</v>
      </c>
      <c r="AT825" t="s">
        <v>15680</v>
      </c>
      <c r="AU825">
        <v>2018</v>
      </c>
      <c r="AV825">
        <v>6</v>
      </c>
      <c r="AW825" t="s">
        <v>74</v>
      </c>
      <c r="AX825" t="s">
        <v>74</v>
      </c>
      <c r="AY825" t="s">
        <v>74</v>
      </c>
      <c r="AZ825" t="s">
        <v>74</v>
      </c>
      <c r="BA825" t="s">
        <v>74</v>
      </c>
      <c r="BB825" t="s">
        <v>74</v>
      </c>
      <c r="BC825" t="s">
        <v>74</v>
      </c>
      <c r="BD825">
        <v>119</v>
      </c>
      <c r="BE825" t="s">
        <v>15806</v>
      </c>
      <c r="BF825" t="str">
        <f>HYPERLINK("http://dx.doi.org/10.1186/s40168-018-0507-3","http://dx.doi.org/10.1186/s40168-018-0507-3")</f>
        <v>http://dx.doi.org/10.1186/s40168-018-0507-3</v>
      </c>
      <c r="BG825" t="s">
        <v>74</v>
      </c>
      <c r="BH825" t="s">
        <v>74</v>
      </c>
      <c r="BI825">
        <v>18</v>
      </c>
      <c r="BJ825" t="s">
        <v>344</v>
      </c>
      <c r="BK825" t="s">
        <v>101</v>
      </c>
      <c r="BL825" t="s">
        <v>344</v>
      </c>
      <c r="BM825" t="s">
        <v>15807</v>
      </c>
      <c r="BN825">
        <v>29954453</v>
      </c>
      <c r="BO825" t="s">
        <v>439</v>
      </c>
      <c r="BP825" t="s">
        <v>74</v>
      </c>
      <c r="BQ825" t="s">
        <v>74</v>
      </c>
      <c r="BR825" t="s">
        <v>104</v>
      </c>
      <c r="BS825" t="s">
        <v>15808</v>
      </c>
      <c r="BT825" t="str">
        <f>HYPERLINK("https%3A%2F%2Fwww.webofscience.com%2Fwos%2Fwoscc%2Ffull-record%2FWOS:000436797800003","View Full Record in Web of Science")</f>
        <v>View Full Record in Web of Science</v>
      </c>
    </row>
    <row r="826" spans="1:72" x14ac:dyDescent="0.15">
      <c r="A826" t="s">
        <v>72</v>
      </c>
      <c r="B826" t="s">
        <v>15809</v>
      </c>
      <c r="C826" t="s">
        <v>74</v>
      </c>
      <c r="D826" t="s">
        <v>74</v>
      </c>
      <c r="E826" t="s">
        <v>74</v>
      </c>
      <c r="F826" t="s">
        <v>15810</v>
      </c>
      <c r="G826" t="s">
        <v>74</v>
      </c>
      <c r="H826" t="s">
        <v>74</v>
      </c>
      <c r="I826" t="s">
        <v>15811</v>
      </c>
      <c r="J826" t="s">
        <v>3366</v>
      </c>
      <c r="K826" t="s">
        <v>74</v>
      </c>
      <c r="L826" t="s">
        <v>74</v>
      </c>
      <c r="M826" t="s">
        <v>78</v>
      </c>
      <c r="N826" t="s">
        <v>79</v>
      </c>
      <c r="O826" t="s">
        <v>74</v>
      </c>
      <c r="P826" t="s">
        <v>74</v>
      </c>
      <c r="Q826" t="s">
        <v>74</v>
      </c>
      <c r="R826" t="s">
        <v>74</v>
      </c>
      <c r="S826" t="s">
        <v>74</v>
      </c>
      <c r="T826" t="s">
        <v>74</v>
      </c>
      <c r="U826" t="s">
        <v>15812</v>
      </c>
      <c r="V826" t="s">
        <v>15813</v>
      </c>
      <c r="W826" t="s">
        <v>15814</v>
      </c>
      <c r="X826" t="s">
        <v>15815</v>
      </c>
      <c r="Y826" t="s">
        <v>15816</v>
      </c>
      <c r="Z826" t="s">
        <v>15817</v>
      </c>
      <c r="AA826" t="s">
        <v>15818</v>
      </c>
      <c r="AB826" t="s">
        <v>15819</v>
      </c>
      <c r="AC826" t="s">
        <v>15820</v>
      </c>
      <c r="AD826" t="s">
        <v>15821</v>
      </c>
      <c r="AE826" t="s">
        <v>15822</v>
      </c>
      <c r="AF826" t="s">
        <v>74</v>
      </c>
      <c r="AG826">
        <v>25</v>
      </c>
      <c r="AH826">
        <v>15</v>
      </c>
      <c r="AI826">
        <v>15</v>
      </c>
      <c r="AJ826">
        <v>0</v>
      </c>
      <c r="AK826">
        <v>6</v>
      </c>
      <c r="AL826" t="s">
        <v>3353</v>
      </c>
      <c r="AM826" t="s">
        <v>3354</v>
      </c>
      <c r="AN826" t="s">
        <v>3355</v>
      </c>
      <c r="AO826" t="s">
        <v>3377</v>
      </c>
      <c r="AP826" t="s">
        <v>3378</v>
      </c>
      <c r="AQ826" t="s">
        <v>74</v>
      </c>
      <c r="AR826" t="s">
        <v>3366</v>
      </c>
      <c r="AS826" t="s">
        <v>3379</v>
      </c>
      <c r="AT826" t="s">
        <v>15680</v>
      </c>
      <c r="AU826">
        <v>2018</v>
      </c>
      <c r="AV826">
        <v>12</v>
      </c>
      <c r="AW826">
        <v>6</v>
      </c>
      <c r="AX826" t="s">
        <v>74</v>
      </c>
      <c r="AY826" t="s">
        <v>74</v>
      </c>
      <c r="AZ826" t="s">
        <v>74</v>
      </c>
      <c r="BA826" t="s">
        <v>74</v>
      </c>
      <c r="BB826">
        <v>2167</v>
      </c>
      <c r="BC826">
        <v>2174</v>
      </c>
      <c r="BD826" t="s">
        <v>74</v>
      </c>
      <c r="BE826" t="s">
        <v>15823</v>
      </c>
      <c r="BF826" t="str">
        <f>HYPERLINK("http://dx.doi.org/10.5194/tc-12-2167-2018","http://dx.doi.org/10.5194/tc-12-2167-2018")</f>
        <v>http://dx.doi.org/10.5194/tc-12-2167-2018</v>
      </c>
      <c r="BG826" t="s">
        <v>74</v>
      </c>
      <c r="BH826" t="s">
        <v>74</v>
      </c>
      <c r="BI826">
        <v>8</v>
      </c>
      <c r="BJ826" t="s">
        <v>208</v>
      </c>
      <c r="BK826" t="s">
        <v>101</v>
      </c>
      <c r="BL826" t="s">
        <v>209</v>
      </c>
      <c r="BM826" t="s">
        <v>15824</v>
      </c>
      <c r="BN826" t="s">
        <v>74</v>
      </c>
      <c r="BO826" t="s">
        <v>1524</v>
      </c>
      <c r="BP826" t="s">
        <v>74</v>
      </c>
      <c r="BQ826" t="s">
        <v>74</v>
      </c>
      <c r="BR826" t="s">
        <v>104</v>
      </c>
      <c r="BS826" t="s">
        <v>15825</v>
      </c>
      <c r="BT826" t="str">
        <f>HYPERLINK("https%3A%2F%2Fwww.webofscience.com%2Fwos%2Fwoscc%2Ffull-record%2FWOS:000436614200001","View Full Record in Web of Science")</f>
        <v>View Full Record in Web of Science</v>
      </c>
    </row>
    <row r="827" spans="1:72" x14ac:dyDescent="0.15">
      <c r="A827" t="s">
        <v>72</v>
      </c>
      <c r="B827" t="s">
        <v>15826</v>
      </c>
      <c r="C827" t="s">
        <v>74</v>
      </c>
      <c r="D827" t="s">
        <v>74</v>
      </c>
      <c r="E827" t="s">
        <v>74</v>
      </c>
      <c r="F827" t="s">
        <v>15827</v>
      </c>
      <c r="G827" t="s">
        <v>74</v>
      </c>
      <c r="H827" t="s">
        <v>74</v>
      </c>
      <c r="I827" t="s">
        <v>15828</v>
      </c>
      <c r="J827" t="s">
        <v>3089</v>
      </c>
      <c r="K827" t="s">
        <v>74</v>
      </c>
      <c r="L827" t="s">
        <v>74</v>
      </c>
      <c r="M827" t="s">
        <v>78</v>
      </c>
      <c r="N827" t="s">
        <v>79</v>
      </c>
      <c r="O827" t="s">
        <v>74</v>
      </c>
      <c r="P827" t="s">
        <v>74</v>
      </c>
      <c r="Q827" t="s">
        <v>74</v>
      </c>
      <c r="R827" t="s">
        <v>74</v>
      </c>
      <c r="S827" t="s">
        <v>74</v>
      </c>
      <c r="T827" t="s">
        <v>15829</v>
      </c>
      <c r="U827" t="s">
        <v>15830</v>
      </c>
      <c r="V827" t="s">
        <v>15831</v>
      </c>
      <c r="W827" t="s">
        <v>15832</v>
      </c>
      <c r="X827" t="s">
        <v>15833</v>
      </c>
      <c r="Y827" t="s">
        <v>15834</v>
      </c>
      <c r="Z827" t="s">
        <v>15835</v>
      </c>
      <c r="AA827" t="s">
        <v>15836</v>
      </c>
      <c r="AB827" t="s">
        <v>15837</v>
      </c>
      <c r="AC827" t="s">
        <v>15838</v>
      </c>
      <c r="AD827" t="s">
        <v>15839</v>
      </c>
      <c r="AE827" t="s">
        <v>15840</v>
      </c>
      <c r="AF827" t="s">
        <v>74</v>
      </c>
      <c r="AG827">
        <v>35</v>
      </c>
      <c r="AH827">
        <v>32</v>
      </c>
      <c r="AI827">
        <v>33</v>
      </c>
      <c r="AJ827">
        <v>4</v>
      </c>
      <c r="AK827">
        <v>26</v>
      </c>
      <c r="AL827" t="s">
        <v>503</v>
      </c>
      <c r="AM827" t="s">
        <v>504</v>
      </c>
      <c r="AN827" t="s">
        <v>505</v>
      </c>
      <c r="AO827" t="s">
        <v>3100</v>
      </c>
      <c r="AP827" t="s">
        <v>3101</v>
      </c>
      <c r="AQ827" t="s">
        <v>74</v>
      </c>
      <c r="AR827" t="s">
        <v>3102</v>
      </c>
      <c r="AS827" t="s">
        <v>3103</v>
      </c>
      <c r="AT827" t="s">
        <v>15680</v>
      </c>
      <c r="AU827">
        <v>2018</v>
      </c>
      <c r="AV827">
        <v>45</v>
      </c>
      <c r="AW827">
        <v>12</v>
      </c>
      <c r="AX827" t="s">
        <v>74</v>
      </c>
      <c r="AY827" t="s">
        <v>74</v>
      </c>
      <c r="AZ827" t="s">
        <v>74</v>
      </c>
      <c r="BA827" t="s">
        <v>74</v>
      </c>
      <c r="BB827">
        <v>6124</v>
      </c>
      <c r="BC827">
        <v>6133</v>
      </c>
      <c r="BD827" t="s">
        <v>74</v>
      </c>
      <c r="BE827" t="s">
        <v>15841</v>
      </c>
      <c r="BF827" t="str">
        <f>HYPERLINK("http://dx.doi.org/10.1029/2018GL078133","http://dx.doi.org/10.1029/2018GL078133")</f>
        <v>http://dx.doi.org/10.1029/2018GL078133</v>
      </c>
      <c r="BG827" t="s">
        <v>74</v>
      </c>
      <c r="BH827" t="s">
        <v>74</v>
      </c>
      <c r="BI827">
        <v>10</v>
      </c>
      <c r="BJ827" t="s">
        <v>182</v>
      </c>
      <c r="BK827" t="s">
        <v>101</v>
      </c>
      <c r="BL827" t="s">
        <v>183</v>
      </c>
      <c r="BM827" t="s">
        <v>15700</v>
      </c>
      <c r="BN827" t="s">
        <v>74</v>
      </c>
      <c r="BO827" t="s">
        <v>661</v>
      </c>
      <c r="BP827" t="s">
        <v>74</v>
      </c>
      <c r="BQ827" t="s">
        <v>74</v>
      </c>
      <c r="BR827" t="s">
        <v>104</v>
      </c>
      <c r="BS827" t="s">
        <v>15842</v>
      </c>
      <c r="BT827" t="str">
        <f>HYPERLINK("https%3A%2F%2Fwww.webofscience.com%2Fwos%2Fwoscc%2Ffull-record%2FWOS:000438499100034","View Full Record in Web of Science")</f>
        <v>View Full Record in Web of Science</v>
      </c>
    </row>
    <row r="828" spans="1:72" x14ac:dyDescent="0.15">
      <c r="A828" t="s">
        <v>72</v>
      </c>
      <c r="B828" t="s">
        <v>15843</v>
      </c>
      <c r="C828" t="s">
        <v>74</v>
      </c>
      <c r="D828" t="s">
        <v>74</v>
      </c>
      <c r="E828" t="s">
        <v>74</v>
      </c>
      <c r="F828" t="s">
        <v>15844</v>
      </c>
      <c r="G828" t="s">
        <v>74</v>
      </c>
      <c r="H828" t="s">
        <v>74</v>
      </c>
      <c r="I828" t="s">
        <v>15845</v>
      </c>
      <c r="J828" t="s">
        <v>3089</v>
      </c>
      <c r="K828" t="s">
        <v>74</v>
      </c>
      <c r="L828" t="s">
        <v>74</v>
      </c>
      <c r="M828" t="s">
        <v>78</v>
      </c>
      <c r="N828" t="s">
        <v>79</v>
      </c>
      <c r="O828" t="s">
        <v>74</v>
      </c>
      <c r="P828" t="s">
        <v>74</v>
      </c>
      <c r="Q828" t="s">
        <v>74</v>
      </c>
      <c r="R828" t="s">
        <v>74</v>
      </c>
      <c r="S828" t="s">
        <v>74</v>
      </c>
      <c r="T828" t="s">
        <v>74</v>
      </c>
      <c r="U828" t="s">
        <v>15846</v>
      </c>
      <c r="V828" t="s">
        <v>15847</v>
      </c>
      <c r="W828" t="s">
        <v>15848</v>
      </c>
      <c r="X828" t="s">
        <v>15849</v>
      </c>
      <c r="Y828" t="s">
        <v>15850</v>
      </c>
      <c r="Z828" t="s">
        <v>15851</v>
      </c>
      <c r="AA828" t="s">
        <v>15852</v>
      </c>
      <c r="AB828" t="s">
        <v>15853</v>
      </c>
      <c r="AC828" t="s">
        <v>15854</v>
      </c>
      <c r="AD828" t="s">
        <v>15855</v>
      </c>
      <c r="AE828" t="s">
        <v>15856</v>
      </c>
      <c r="AF828" t="s">
        <v>74</v>
      </c>
      <c r="AG828">
        <v>63</v>
      </c>
      <c r="AH828">
        <v>54</v>
      </c>
      <c r="AI828">
        <v>60</v>
      </c>
      <c r="AJ828">
        <v>2</v>
      </c>
      <c r="AK828">
        <v>17</v>
      </c>
      <c r="AL828" t="s">
        <v>503</v>
      </c>
      <c r="AM828" t="s">
        <v>504</v>
      </c>
      <c r="AN828" t="s">
        <v>505</v>
      </c>
      <c r="AO828" t="s">
        <v>3100</v>
      </c>
      <c r="AP828" t="s">
        <v>3101</v>
      </c>
      <c r="AQ828" t="s">
        <v>74</v>
      </c>
      <c r="AR828" t="s">
        <v>3102</v>
      </c>
      <c r="AS828" t="s">
        <v>3103</v>
      </c>
      <c r="AT828" t="s">
        <v>15680</v>
      </c>
      <c r="AU828">
        <v>2018</v>
      </c>
      <c r="AV828">
        <v>45</v>
      </c>
      <c r="AW828">
        <v>12</v>
      </c>
      <c r="AX828" t="s">
        <v>74</v>
      </c>
      <c r="AY828" t="s">
        <v>74</v>
      </c>
      <c r="AZ828" t="s">
        <v>74</v>
      </c>
      <c r="BA828" t="s">
        <v>74</v>
      </c>
      <c r="BB828">
        <v>6195</v>
      </c>
      <c r="BC828">
        <v>6204</v>
      </c>
      <c r="BD828" t="s">
        <v>74</v>
      </c>
      <c r="BE828" t="s">
        <v>15857</v>
      </c>
      <c r="BF828" t="str">
        <f>HYPERLINK("http://dx.doi.org/10.1029/2018GL078607","http://dx.doi.org/10.1029/2018GL078607")</f>
        <v>http://dx.doi.org/10.1029/2018GL078607</v>
      </c>
      <c r="BG828" t="s">
        <v>74</v>
      </c>
      <c r="BH828" t="s">
        <v>74</v>
      </c>
      <c r="BI828">
        <v>10</v>
      </c>
      <c r="BJ828" t="s">
        <v>182</v>
      </c>
      <c r="BK828" t="s">
        <v>101</v>
      </c>
      <c r="BL828" t="s">
        <v>183</v>
      </c>
      <c r="BM828" t="s">
        <v>15700</v>
      </c>
      <c r="BN828" t="s">
        <v>74</v>
      </c>
      <c r="BO828" t="s">
        <v>2989</v>
      </c>
      <c r="BP828" t="s">
        <v>74</v>
      </c>
      <c r="BQ828" t="s">
        <v>74</v>
      </c>
      <c r="BR828" t="s">
        <v>104</v>
      </c>
      <c r="BS828" t="s">
        <v>15858</v>
      </c>
      <c r="BT828" t="str">
        <f>HYPERLINK("https%3A%2F%2Fwww.webofscience.com%2Fwos%2Fwoscc%2Ffull-record%2FWOS:000438499100042","View Full Record in Web of Science")</f>
        <v>View Full Record in Web of Science</v>
      </c>
    </row>
    <row r="829" spans="1:72" x14ac:dyDescent="0.15">
      <c r="A829" t="s">
        <v>72</v>
      </c>
      <c r="B829" t="s">
        <v>15859</v>
      </c>
      <c r="C829" t="s">
        <v>74</v>
      </c>
      <c r="D829" t="s">
        <v>74</v>
      </c>
      <c r="E829" t="s">
        <v>74</v>
      </c>
      <c r="F829" t="s">
        <v>15860</v>
      </c>
      <c r="G829" t="s">
        <v>74</v>
      </c>
      <c r="H829" t="s">
        <v>74</v>
      </c>
      <c r="I829" t="s">
        <v>15861</v>
      </c>
      <c r="J829" t="s">
        <v>3628</v>
      </c>
      <c r="K829" t="s">
        <v>74</v>
      </c>
      <c r="L829" t="s">
        <v>74</v>
      </c>
      <c r="M829" t="s">
        <v>78</v>
      </c>
      <c r="N829" t="s">
        <v>79</v>
      </c>
      <c r="O829" t="s">
        <v>74</v>
      </c>
      <c r="P829" t="s">
        <v>74</v>
      </c>
      <c r="Q829" t="s">
        <v>74</v>
      </c>
      <c r="R829" t="s">
        <v>74</v>
      </c>
      <c r="S829" t="s">
        <v>74</v>
      </c>
      <c r="T829" t="s">
        <v>15862</v>
      </c>
      <c r="U829" t="s">
        <v>15863</v>
      </c>
      <c r="V829" t="s">
        <v>15864</v>
      </c>
      <c r="W829" t="s">
        <v>15865</v>
      </c>
      <c r="X829" t="s">
        <v>15866</v>
      </c>
      <c r="Y829" t="s">
        <v>15867</v>
      </c>
      <c r="Z829" t="s">
        <v>15868</v>
      </c>
      <c r="AA829" t="s">
        <v>15869</v>
      </c>
      <c r="AB829" t="s">
        <v>15870</v>
      </c>
      <c r="AC829" t="s">
        <v>15871</v>
      </c>
      <c r="AD829" t="s">
        <v>15871</v>
      </c>
      <c r="AE829" t="s">
        <v>15872</v>
      </c>
      <c r="AF829" t="s">
        <v>74</v>
      </c>
      <c r="AG829">
        <v>79</v>
      </c>
      <c r="AH829">
        <v>27</v>
      </c>
      <c r="AI829">
        <v>30</v>
      </c>
      <c r="AJ829">
        <v>0</v>
      </c>
      <c r="AK829">
        <v>40</v>
      </c>
      <c r="AL829" t="s">
        <v>3641</v>
      </c>
      <c r="AM829" t="s">
        <v>3642</v>
      </c>
      <c r="AN829" t="s">
        <v>3643</v>
      </c>
      <c r="AO829" t="s">
        <v>3644</v>
      </c>
      <c r="AP829" t="s">
        <v>3645</v>
      </c>
      <c r="AQ829" t="s">
        <v>74</v>
      </c>
      <c r="AR829" t="s">
        <v>3646</v>
      </c>
      <c r="AS829" t="s">
        <v>3647</v>
      </c>
      <c r="AT829" t="s">
        <v>15680</v>
      </c>
      <c r="AU829">
        <v>2018</v>
      </c>
      <c r="AV829">
        <v>598</v>
      </c>
      <c r="AW829" t="s">
        <v>74</v>
      </c>
      <c r="AX829" t="s">
        <v>74</v>
      </c>
      <c r="AY829" t="s">
        <v>74</v>
      </c>
      <c r="AZ829" t="s">
        <v>74</v>
      </c>
      <c r="BA829" t="s">
        <v>74</v>
      </c>
      <c r="BB829">
        <v>35</v>
      </c>
      <c r="BC829">
        <v>48</v>
      </c>
      <c r="BD829" t="s">
        <v>74</v>
      </c>
      <c r="BE829" t="s">
        <v>15873</v>
      </c>
      <c r="BF829" t="str">
        <f>HYPERLINK("http://dx.doi.org/10.3354/meps12612","http://dx.doi.org/10.3354/meps12612")</f>
        <v>http://dx.doi.org/10.3354/meps12612</v>
      </c>
      <c r="BG829" t="s">
        <v>74</v>
      </c>
      <c r="BH829" t="s">
        <v>74</v>
      </c>
      <c r="BI829">
        <v>14</v>
      </c>
      <c r="BJ829" t="s">
        <v>3650</v>
      </c>
      <c r="BK829" t="s">
        <v>101</v>
      </c>
      <c r="BL829" t="s">
        <v>3651</v>
      </c>
      <c r="BM829" t="s">
        <v>15874</v>
      </c>
      <c r="BN829" t="s">
        <v>74</v>
      </c>
      <c r="BO829" t="s">
        <v>74</v>
      </c>
      <c r="BP829" t="s">
        <v>74</v>
      </c>
      <c r="BQ829" t="s">
        <v>74</v>
      </c>
      <c r="BR829" t="s">
        <v>104</v>
      </c>
      <c r="BS829" t="s">
        <v>15875</v>
      </c>
      <c r="BT829" t="str">
        <f>HYPERLINK("https%3A%2F%2Fwww.webofscience.com%2Fwos%2Fwoscc%2Ffull-record%2FWOS:000438415600003","View Full Record in Web of Science")</f>
        <v>View Full Record in Web of Science</v>
      </c>
    </row>
    <row r="830" spans="1:72" x14ac:dyDescent="0.15">
      <c r="A830" t="s">
        <v>72</v>
      </c>
      <c r="B830" t="s">
        <v>15876</v>
      </c>
      <c r="C830" t="s">
        <v>74</v>
      </c>
      <c r="D830" t="s">
        <v>74</v>
      </c>
      <c r="E830" t="s">
        <v>74</v>
      </c>
      <c r="F830" t="s">
        <v>15877</v>
      </c>
      <c r="G830" t="s">
        <v>74</v>
      </c>
      <c r="H830" t="s">
        <v>74</v>
      </c>
      <c r="I830" t="s">
        <v>15878</v>
      </c>
      <c r="J830" t="s">
        <v>3628</v>
      </c>
      <c r="K830" t="s">
        <v>74</v>
      </c>
      <c r="L830" t="s">
        <v>74</v>
      </c>
      <c r="M830" t="s">
        <v>78</v>
      </c>
      <c r="N830" t="s">
        <v>79</v>
      </c>
      <c r="O830" t="s">
        <v>74</v>
      </c>
      <c r="P830" t="s">
        <v>74</v>
      </c>
      <c r="Q830" t="s">
        <v>74</v>
      </c>
      <c r="R830" t="s">
        <v>74</v>
      </c>
      <c r="S830" t="s">
        <v>74</v>
      </c>
      <c r="T830" t="s">
        <v>15879</v>
      </c>
      <c r="U830" t="s">
        <v>15880</v>
      </c>
      <c r="V830" t="s">
        <v>15881</v>
      </c>
      <c r="W830" t="s">
        <v>15882</v>
      </c>
      <c r="X830" t="s">
        <v>15883</v>
      </c>
      <c r="Y830" t="s">
        <v>15884</v>
      </c>
      <c r="Z830" t="s">
        <v>15885</v>
      </c>
      <c r="AA830" t="s">
        <v>15886</v>
      </c>
      <c r="AB830" t="s">
        <v>15887</v>
      </c>
      <c r="AC830" t="s">
        <v>13571</v>
      </c>
      <c r="AD830" t="s">
        <v>2502</v>
      </c>
      <c r="AE830" t="s">
        <v>74</v>
      </c>
      <c r="AF830" t="s">
        <v>74</v>
      </c>
      <c r="AG830">
        <v>27</v>
      </c>
      <c r="AH830">
        <v>4</v>
      </c>
      <c r="AI830">
        <v>4</v>
      </c>
      <c r="AJ830">
        <v>1</v>
      </c>
      <c r="AK830">
        <v>13</v>
      </c>
      <c r="AL830" t="s">
        <v>3641</v>
      </c>
      <c r="AM830" t="s">
        <v>3642</v>
      </c>
      <c r="AN830" t="s">
        <v>3643</v>
      </c>
      <c r="AO830" t="s">
        <v>3644</v>
      </c>
      <c r="AP830" t="s">
        <v>3645</v>
      </c>
      <c r="AQ830" t="s">
        <v>74</v>
      </c>
      <c r="AR830" t="s">
        <v>3646</v>
      </c>
      <c r="AS830" t="s">
        <v>3647</v>
      </c>
      <c r="AT830" t="s">
        <v>15680</v>
      </c>
      <c r="AU830">
        <v>2018</v>
      </c>
      <c r="AV830">
        <v>598</v>
      </c>
      <c r="AW830" t="s">
        <v>74</v>
      </c>
      <c r="AX830" t="s">
        <v>74</v>
      </c>
      <c r="AY830" t="s">
        <v>74</v>
      </c>
      <c r="AZ830" t="s">
        <v>74</v>
      </c>
      <c r="BA830" t="s">
        <v>74</v>
      </c>
      <c r="BB830">
        <v>155</v>
      </c>
      <c r="BC830">
        <v>158</v>
      </c>
      <c r="BD830" t="s">
        <v>74</v>
      </c>
      <c r="BE830" t="s">
        <v>15888</v>
      </c>
      <c r="BF830" t="str">
        <f>HYPERLINK("http://dx.doi.org/10.3354/meps12664","http://dx.doi.org/10.3354/meps12664")</f>
        <v>http://dx.doi.org/10.3354/meps12664</v>
      </c>
      <c r="BG830" t="s">
        <v>74</v>
      </c>
      <c r="BH830" t="s">
        <v>74</v>
      </c>
      <c r="BI830">
        <v>4</v>
      </c>
      <c r="BJ830" t="s">
        <v>3650</v>
      </c>
      <c r="BK830" t="s">
        <v>101</v>
      </c>
      <c r="BL830" t="s">
        <v>3651</v>
      </c>
      <c r="BM830" t="s">
        <v>15874</v>
      </c>
      <c r="BN830" t="s">
        <v>74</v>
      </c>
      <c r="BO830" t="s">
        <v>211</v>
      </c>
      <c r="BP830" t="s">
        <v>74</v>
      </c>
      <c r="BQ830" t="s">
        <v>74</v>
      </c>
      <c r="BR830" t="s">
        <v>104</v>
      </c>
      <c r="BS830" t="s">
        <v>15889</v>
      </c>
      <c r="BT830" t="str">
        <f>HYPERLINK("https%3A%2F%2Fwww.webofscience.com%2Fwos%2Fwoscc%2Ffull-record%2FWOS:000438415600012","View Full Record in Web of Science")</f>
        <v>View Full Record in Web of Science</v>
      </c>
    </row>
    <row r="831" spans="1:72" x14ac:dyDescent="0.15">
      <c r="A831" t="s">
        <v>72</v>
      </c>
      <c r="B831" t="s">
        <v>15890</v>
      </c>
      <c r="C831" t="s">
        <v>74</v>
      </c>
      <c r="D831" t="s">
        <v>74</v>
      </c>
      <c r="E831" t="s">
        <v>74</v>
      </c>
      <c r="F831" t="s">
        <v>15891</v>
      </c>
      <c r="G831" t="s">
        <v>74</v>
      </c>
      <c r="H831" t="s">
        <v>74</v>
      </c>
      <c r="I831" t="s">
        <v>15892</v>
      </c>
      <c r="J831" t="s">
        <v>3186</v>
      </c>
      <c r="K831" t="s">
        <v>74</v>
      </c>
      <c r="L831" t="s">
        <v>74</v>
      </c>
      <c r="M831" t="s">
        <v>78</v>
      </c>
      <c r="N831" t="s">
        <v>79</v>
      </c>
      <c r="O831" t="s">
        <v>74</v>
      </c>
      <c r="P831" t="s">
        <v>74</v>
      </c>
      <c r="Q831" t="s">
        <v>74</v>
      </c>
      <c r="R831" t="s">
        <v>74</v>
      </c>
      <c r="S831" t="s">
        <v>74</v>
      </c>
      <c r="T831" t="s">
        <v>15893</v>
      </c>
      <c r="U831" t="s">
        <v>15894</v>
      </c>
      <c r="V831" t="s">
        <v>15895</v>
      </c>
      <c r="W831" t="s">
        <v>15896</v>
      </c>
      <c r="X831" t="s">
        <v>15897</v>
      </c>
      <c r="Y831" t="s">
        <v>15898</v>
      </c>
      <c r="Z831" t="s">
        <v>15899</v>
      </c>
      <c r="AA831" t="s">
        <v>15900</v>
      </c>
      <c r="AB831" t="s">
        <v>15901</v>
      </c>
      <c r="AC831" t="s">
        <v>15902</v>
      </c>
      <c r="AD831" t="s">
        <v>15903</v>
      </c>
      <c r="AE831" t="s">
        <v>15904</v>
      </c>
      <c r="AF831" t="s">
        <v>74</v>
      </c>
      <c r="AG831">
        <v>50</v>
      </c>
      <c r="AH831">
        <v>12</v>
      </c>
      <c r="AI831">
        <v>14</v>
      </c>
      <c r="AJ831">
        <v>0</v>
      </c>
      <c r="AK831">
        <v>9</v>
      </c>
      <c r="AL831" t="s">
        <v>1319</v>
      </c>
      <c r="AM831" t="s">
        <v>704</v>
      </c>
      <c r="AN831" t="s">
        <v>1320</v>
      </c>
      <c r="AO831" t="s">
        <v>3198</v>
      </c>
      <c r="AP831" t="s">
        <v>3199</v>
      </c>
      <c r="AQ831" t="s">
        <v>74</v>
      </c>
      <c r="AR831" t="s">
        <v>3200</v>
      </c>
      <c r="AS831" t="s">
        <v>3201</v>
      </c>
      <c r="AT831" t="s">
        <v>15680</v>
      </c>
      <c r="AU831">
        <v>2018</v>
      </c>
      <c r="AV831">
        <v>376</v>
      </c>
      <c r="AW831">
        <v>2122</v>
      </c>
      <c r="AX831" t="s">
        <v>74</v>
      </c>
      <c r="AY831" t="s">
        <v>74</v>
      </c>
      <c r="AZ831" t="s">
        <v>74</v>
      </c>
      <c r="BA831" t="s">
        <v>74</v>
      </c>
      <c r="BB831" t="s">
        <v>74</v>
      </c>
      <c r="BC831" t="s">
        <v>74</v>
      </c>
      <c r="BD831">
        <v>20170172</v>
      </c>
      <c r="BE831" t="s">
        <v>15905</v>
      </c>
      <c r="BF831" t="str">
        <f>HYPERLINK("http://dx.doi.org/10.1098/rsta.2017.0172","http://dx.doi.org/10.1098/rsta.2017.0172")</f>
        <v>http://dx.doi.org/10.1098/rsta.2017.0172</v>
      </c>
      <c r="BG831" t="s">
        <v>74</v>
      </c>
      <c r="BH831" t="s">
        <v>74</v>
      </c>
      <c r="BI831">
        <v>18</v>
      </c>
      <c r="BJ831" t="s">
        <v>436</v>
      </c>
      <c r="BK831" t="s">
        <v>101</v>
      </c>
      <c r="BL831" t="s">
        <v>437</v>
      </c>
      <c r="BM831" t="s">
        <v>15718</v>
      </c>
      <c r="BN831">
        <v>29760115</v>
      </c>
      <c r="BO831" t="s">
        <v>835</v>
      </c>
      <c r="BP831" t="s">
        <v>74</v>
      </c>
      <c r="BQ831" t="s">
        <v>74</v>
      </c>
      <c r="BR831" t="s">
        <v>104</v>
      </c>
      <c r="BS831" t="s">
        <v>15906</v>
      </c>
      <c r="BT831" t="str">
        <f>HYPERLINK("https%3A%2F%2Fwww.webofscience.com%2Fwos%2Fwoscc%2Ffull-record%2FWOS:000432326900008","View Full Record in Web of Science")</f>
        <v>View Full Record in Web of Science</v>
      </c>
    </row>
    <row r="832" spans="1:72" x14ac:dyDescent="0.15">
      <c r="A832" t="s">
        <v>72</v>
      </c>
      <c r="B832" t="s">
        <v>15907</v>
      </c>
      <c r="C832" t="s">
        <v>74</v>
      </c>
      <c r="D832" t="s">
        <v>74</v>
      </c>
      <c r="E832" t="s">
        <v>74</v>
      </c>
      <c r="F832" t="s">
        <v>15908</v>
      </c>
      <c r="G832" t="s">
        <v>74</v>
      </c>
      <c r="H832" t="s">
        <v>74</v>
      </c>
      <c r="I832" t="s">
        <v>15909</v>
      </c>
      <c r="J832" t="s">
        <v>3186</v>
      </c>
      <c r="K832" t="s">
        <v>74</v>
      </c>
      <c r="L832" t="s">
        <v>74</v>
      </c>
      <c r="M832" t="s">
        <v>78</v>
      </c>
      <c r="N832" t="s">
        <v>2499</v>
      </c>
      <c r="O832" t="s">
        <v>74</v>
      </c>
      <c r="P832" t="s">
        <v>74</v>
      </c>
      <c r="Q832" t="s">
        <v>74</v>
      </c>
      <c r="R832" t="s">
        <v>74</v>
      </c>
      <c r="S832" t="s">
        <v>74</v>
      </c>
      <c r="T832" t="s">
        <v>15910</v>
      </c>
      <c r="U832" t="s">
        <v>74</v>
      </c>
      <c r="V832" t="s">
        <v>74</v>
      </c>
      <c r="W832" t="s">
        <v>15911</v>
      </c>
      <c r="X832" t="s">
        <v>15912</v>
      </c>
      <c r="Y832" t="s">
        <v>7893</v>
      </c>
      <c r="Z832" t="s">
        <v>7894</v>
      </c>
      <c r="AA832" t="s">
        <v>15913</v>
      </c>
      <c r="AB832" t="s">
        <v>15914</v>
      </c>
      <c r="AC832" t="s">
        <v>15915</v>
      </c>
      <c r="AD832" t="s">
        <v>15916</v>
      </c>
      <c r="AE832" t="s">
        <v>15917</v>
      </c>
      <c r="AF832" t="s">
        <v>74</v>
      </c>
      <c r="AG832">
        <v>21</v>
      </c>
      <c r="AH832">
        <v>12</v>
      </c>
      <c r="AI832">
        <v>12</v>
      </c>
      <c r="AJ832">
        <v>0</v>
      </c>
      <c r="AK832">
        <v>14</v>
      </c>
      <c r="AL832" t="s">
        <v>1319</v>
      </c>
      <c r="AM832" t="s">
        <v>704</v>
      </c>
      <c r="AN832" t="s">
        <v>1320</v>
      </c>
      <c r="AO832" t="s">
        <v>3198</v>
      </c>
      <c r="AP832" t="s">
        <v>3199</v>
      </c>
      <c r="AQ832" t="s">
        <v>74</v>
      </c>
      <c r="AR832" t="s">
        <v>3200</v>
      </c>
      <c r="AS832" t="s">
        <v>3201</v>
      </c>
      <c r="AT832" t="s">
        <v>15680</v>
      </c>
      <c r="AU832">
        <v>2018</v>
      </c>
      <c r="AV832">
        <v>376</v>
      </c>
      <c r="AW832">
        <v>2122</v>
      </c>
      <c r="AX832" t="s">
        <v>74</v>
      </c>
      <c r="AY832" t="s">
        <v>74</v>
      </c>
      <c r="AZ832" t="s">
        <v>74</v>
      </c>
      <c r="BA832" t="s">
        <v>74</v>
      </c>
      <c r="BB832" t="s">
        <v>74</v>
      </c>
      <c r="BC832" t="s">
        <v>74</v>
      </c>
      <c r="BD832">
        <v>20170179</v>
      </c>
      <c r="BE832" t="s">
        <v>15918</v>
      </c>
      <c r="BF832" t="str">
        <f>HYPERLINK("http://dx.doi.org/10.1098/rsta.2017.0179","http://dx.doi.org/10.1098/rsta.2017.0179")</f>
        <v>http://dx.doi.org/10.1098/rsta.2017.0179</v>
      </c>
      <c r="BG832" t="s">
        <v>74</v>
      </c>
      <c r="BH832" t="s">
        <v>74</v>
      </c>
      <c r="BI832">
        <v>6</v>
      </c>
      <c r="BJ832" t="s">
        <v>436</v>
      </c>
      <c r="BK832" t="s">
        <v>101</v>
      </c>
      <c r="BL832" t="s">
        <v>437</v>
      </c>
      <c r="BM832" t="s">
        <v>15718</v>
      </c>
      <c r="BN832">
        <v>29760121</v>
      </c>
      <c r="BO832" t="s">
        <v>15919</v>
      </c>
      <c r="BP832" t="s">
        <v>74</v>
      </c>
      <c r="BQ832" t="s">
        <v>74</v>
      </c>
      <c r="BR832" t="s">
        <v>104</v>
      </c>
      <c r="BS832" t="s">
        <v>15920</v>
      </c>
      <c r="BT832" t="str">
        <f>HYPERLINK("https%3A%2F%2Fwww.webofscience.com%2Fwos%2Fwoscc%2Ffull-record%2FWOS:000432326900014","View Full Record in Web of Science")</f>
        <v>View Full Record in Web of Science</v>
      </c>
    </row>
    <row r="833" spans="1:72" x14ac:dyDescent="0.15">
      <c r="A833" t="s">
        <v>72</v>
      </c>
      <c r="B833" t="s">
        <v>15921</v>
      </c>
      <c r="C833" t="s">
        <v>74</v>
      </c>
      <c r="D833" t="s">
        <v>74</v>
      </c>
      <c r="E833" t="s">
        <v>74</v>
      </c>
      <c r="F833" t="s">
        <v>15922</v>
      </c>
      <c r="G833" t="s">
        <v>74</v>
      </c>
      <c r="H833" t="s">
        <v>74</v>
      </c>
      <c r="I833" t="s">
        <v>15923</v>
      </c>
      <c r="J833" t="s">
        <v>3186</v>
      </c>
      <c r="K833" t="s">
        <v>74</v>
      </c>
      <c r="L833" t="s">
        <v>74</v>
      </c>
      <c r="M833" t="s">
        <v>78</v>
      </c>
      <c r="N833" t="s">
        <v>79</v>
      </c>
      <c r="O833" t="s">
        <v>74</v>
      </c>
      <c r="P833" t="s">
        <v>74</v>
      </c>
      <c r="Q833" t="s">
        <v>74</v>
      </c>
      <c r="R833" t="s">
        <v>74</v>
      </c>
      <c r="S833" t="s">
        <v>74</v>
      </c>
      <c r="T833" t="s">
        <v>15924</v>
      </c>
      <c r="U833" t="s">
        <v>15925</v>
      </c>
      <c r="V833" t="s">
        <v>15926</v>
      </c>
      <c r="W833" t="s">
        <v>15927</v>
      </c>
      <c r="X833" t="s">
        <v>15928</v>
      </c>
      <c r="Y833" t="s">
        <v>15929</v>
      </c>
      <c r="Z833" t="s">
        <v>15930</v>
      </c>
      <c r="AA833" t="s">
        <v>74</v>
      </c>
      <c r="AB833" t="s">
        <v>15931</v>
      </c>
      <c r="AC833" t="s">
        <v>15932</v>
      </c>
      <c r="AD833" t="s">
        <v>15933</v>
      </c>
      <c r="AE833" t="s">
        <v>15934</v>
      </c>
      <c r="AF833" t="s">
        <v>74</v>
      </c>
      <c r="AG833">
        <v>39</v>
      </c>
      <c r="AH833">
        <v>58</v>
      </c>
      <c r="AI833">
        <v>60</v>
      </c>
      <c r="AJ833">
        <v>0</v>
      </c>
      <c r="AK833">
        <v>75</v>
      </c>
      <c r="AL833" t="s">
        <v>1319</v>
      </c>
      <c r="AM833" t="s">
        <v>704</v>
      </c>
      <c r="AN833" t="s">
        <v>1320</v>
      </c>
      <c r="AO833" t="s">
        <v>3198</v>
      </c>
      <c r="AP833" t="s">
        <v>3199</v>
      </c>
      <c r="AQ833" t="s">
        <v>74</v>
      </c>
      <c r="AR833" t="s">
        <v>3200</v>
      </c>
      <c r="AS833" t="s">
        <v>3201</v>
      </c>
      <c r="AT833" t="s">
        <v>15680</v>
      </c>
      <c r="AU833">
        <v>2018</v>
      </c>
      <c r="AV833">
        <v>376</v>
      </c>
      <c r="AW833">
        <v>2122</v>
      </c>
      <c r="AX833" t="s">
        <v>74</v>
      </c>
      <c r="AY833" t="s">
        <v>74</v>
      </c>
      <c r="AZ833" t="s">
        <v>74</v>
      </c>
      <c r="BA833" t="s">
        <v>74</v>
      </c>
      <c r="BB833" t="s">
        <v>74</v>
      </c>
      <c r="BC833" t="s">
        <v>74</v>
      </c>
      <c r="BD833">
        <v>20170176</v>
      </c>
      <c r="BE833" t="s">
        <v>15935</v>
      </c>
      <c r="BF833" t="str">
        <f>HYPERLINK("http://dx.doi.org/10.1098/rsta.2017.0176","http://dx.doi.org/10.1098/rsta.2017.0176")</f>
        <v>http://dx.doi.org/10.1098/rsta.2017.0176</v>
      </c>
      <c r="BG833" t="s">
        <v>74</v>
      </c>
      <c r="BH833" t="s">
        <v>74</v>
      </c>
      <c r="BI833">
        <v>15</v>
      </c>
      <c r="BJ833" t="s">
        <v>436</v>
      </c>
      <c r="BK833" t="s">
        <v>101</v>
      </c>
      <c r="BL833" t="s">
        <v>437</v>
      </c>
      <c r="BM833" t="s">
        <v>15718</v>
      </c>
      <c r="BN833">
        <v>29760118</v>
      </c>
      <c r="BO833" t="s">
        <v>3263</v>
      </c>
      <c r="BP833" t="s">
        <v>74</v>
      </c>
      <c r="BQ833" t="s">
        <v>74</v>
      </c>
      <c r="BR833" t="s">
        <v>104</v>
      </c>
      <c r="BS833" t="s">
        <v>15936</v>
      </c>
      <c r="BT833" t="str">
        <f>HYPERLINK("https%3A%2F%2Fwww.webofscience.com%2Fwos%2Fwoscc%2Ffull-record%2FWOS:000432326900011","View Full Record in Web of Science")</f>
        <v>View Full Record in Web of Science</v>
      </c>
    </row>
    <row r="834" spans="1:72" x14ac:dyDescent="0.15">
      <c r="A834" t="s">
        <v>72</v>
      </c>
      <c r="B834" t="s">
        <v>15937</v>
      </c>
      <c r="C834" t="s">
        <v>74</v>
      </c>
      <c r="D834" t="s">
        <v>74</v>
      </c>
      <c r="E834" t="s">
        <v>74</v>
      </c>
      <c r="F834" t="s">
        <v>15938</v>
      </c>
      <c r="G834" t="s">
        <v>74</v>
      </c>
      <c r="H834" t="s">
        <v>74</v>
      </c>
      <c r="I834" t="s">
        <v>15939</v>
      </c>
      <c r="J834" t="s">
        <v>3186</v>
      </c>
      <c r="K834" t="s">
        <v>74</v>
      </c>
      <c r="L834" t="s">
        <v>74</v>
      </c>
      <c r="M834" t="s">
        <v>78</v>
      </c>
      <c r="N834" t="s">
        <v>79</v>
      </c>
      <c r="O834" t="s">
        <v>74</v>
      </c>
      <c r="P834" t="s">
        <v>74</v>
      </c>
      <c r="Q834" t="s">
        <v>74</v>
      </c>
      <c r="R834" t="s">
        <v>74</v>
      </c>
      <c r="S834" t="s">
        <v>74</v>
      </c>
      <c r="T834" t="s">
        <v>15940</v>
      </c>
      <c r="U834" t="s">
        <v>15941</v>
      </c>
      <c r="V834" t="s">
        <v>15942</v>
      </c>
      <c r="W834" t="s">
        <v>15943</v>
      </c>
      <c r="X834" t="s">
        <v>15944</v>
      </c>
      <c r="Y834" t="s">
        <v>15945</v>
      </c>
      <c r="Z834" t="s">
        <v>15946</v>
      </c>
      <c r="AA834" t="s">
        <v>74</v>
      </c>
      <c r="AB834" t="s">
        <v>15947</v>
      </c>
      <c r="AC834" t="s">
        <v>15948</v>
      </c>
      <c r="AD834" t="s">
        <v>15949</v>
      </c>
      <c r="AE834" t="s">
        <v>15950</v>
      </c>
      <c r="AF834" t="s">
        <v>74</v>
      </c>
      <c r="AG834">
        <v>51</v>
      </c>
      <c r="AH834">
        <v>11</v>
      </c>
      <c r="AI834">
        <v>11</v>
      </c>
      <c r="AJ834">
        <v>0</v>
      </c>
      <c r="AK834">
        <v>16</v>
      </c>
      <c r="AL834" t="s">
        <v>1319</v>
      </c>
      <c r="AM834" t="s">
        <v>704</v>
      </c>
      <c r="AN834" t="s">
        <v>1320</v>
      </c>
      <c r="AO834" t="s">
        <v>3198</v>
      </c>
      <c r="AP834" t="s">
        <v>3199</v>
      </c>
      <c r="AQ834" t="s">
        <v>74</v>
      </c>
      <c r="AR834" t="s">
        <v>3200</v>
      </c>
      <c r="AS834" t="s">
        <v>3201</v>
      </c>
      <c r="AT834" t="s">
        <v>15680</v>
      </c>
      <c r="AU834">
        <v>2018</v>
      </c>
      <c r="AV834">
        <v>376</v>
      </c>
      <c r="AW834">
        <v>2122</v>
      </c>
      <c r="AX834" t="s">
        <v>74</v>
      </c>
      <c r="AY834" t="s">
        <v>74</v>
      </c>
      <c r="AZ834" t="s">
        <v>74</v>
      </c>
      <c r="BA834" t="s">
        <v>74</v>
      </c>
      <c r="BB834" t="s">
        <v>74</v>
      </c>
      <c r="BC834" t="s">
        <v>74</v>
      </c>
      <c r="BD834">
        <v>20170166</v>
      </c>
      <c r="BE834" t="s">
        <v>15951</v>
      </c>
      <c r="BF834" t="str">
        <f>HYPERLINK("http://dx.doi.org/10.1098/rsta.2017.0166","http://dx.doi.org/10.1098/rsta.2017.0166")</f>
        <v>http://dx.doi.org/10.1098/rsta.2017.0166</v>
      </c>
      <c r="BG834" t="s">
        <v>74</v>
      </c>
      <c r="BH834" t="s">
        <v>74</v>
      </c>
      <c r="BI834">
        <v>18</v>
      </c>
      <c r="BJ834" t="s">
        <v>436</v>
      </c>
      <c r="BK834" t="s">
        <v>101</v>
      </c>
      <c r="BL834" t="s">
        <v>437</v>
      </c>
      <c r="BM834" t="s">
        <v>15718</v>
      </c>
      <c r="BN834">
        <v>29760111</v>
      </c>
      <c r="BO834" t="s">
        <v>3156</v>
      </c>
      <c r="BP834" t="s">
        <v>74</v>
      </c>
      <c r="BQ834" t="s">
        <v>74</v>
      </c>
      <c r="BR834" t="s">
        <v>104</v>
      </c>
      <c r="BS834" t="s">
        <v>15952</v>
      </c>
      <c r="BT834" t="str">
        <f>HYPERLINK("https%3A%2F%2Fwww.webofscience.com%2Fwos%2Fwoscc%2Ffull-record%2FWOS:000432326900004","View Full Record in Web of Science")</f>
        <v>View Full Record in Web of Science</v>
      </c>
    </row>
    <row r="835" spans="1:72" x14ac:dyDescent="0.15">
      <c r="A835" t="s">
        <v>72</v>
      </c>
      <c r="B835" t="s">
        <v>15953</v>
      </c>
      <c r="C835" t="s">
        <v>74</v>
      </c>
      <c r="D835" t="s">
        <v>74</v>
      </c>
      <c r="E835" t="s">
        <v>74</v>
      </c>
      <c r="F835" t="s">
        <v>15954</v>
      </c>
      <c r="G835" t="s">
        <v>74</v>
      </c>
      <c r="H835" t="s">
        <v>74</v>
      </c>
      <c r="I835" t="s">
        <v>15955</v>
      </c>
      <c r="J835" t="s">
        <v>3186</v>
      </c>
      <c r="K835" t="s">
        <v>74</v>
      </c>
      <c r="L835" t="s">
        <v>74</v>
      </c>
      <c r="M835" t="s">
        <v>78</v>
      </c>
      <c r="N835" t="s">
        <v>79</v>
      </c>
      <c r="O835" t="s">
        <v>74</v>
      </c>
      <c r="P835" t="s">
        <v>74</v>
      </c>
      <c r="Q835" t="s">
        <v>74</v>
      </c>
      <c r="R835" t="s">
        <v>74</v>
      </c>
      <c r="S835" t="s">
        <v>74</v>
      </c>
      <c r="T835" t="s">
        <v>15956</v>
      </c>
      <c r="U835" t="s">
        <v>15957</v>
      </c>
      <c r="V835" t="s">
        <v>15958</v>
      </c>
      <c r="W835" t="s">
        <v>15959</v>
      </c>
      <c r="X835" t="s">
        <v>15960</v>
      </c>
      <c r="Y835" t="s">
        <v>15961</v>
      </c>
      <c r="Z835" t="s">
        <v>15962</v>
      </c>
      <c r="AA835" t="s">
        <v>15963</v>
      </c>
      <c r="AB835" t="s">
        <v>15964</v>
      </c>
      <c r="AC835" t="s">
        <v>15965</v>
      </c>
      <c r="AD835" t="s">
        <v>15966</v>
      </c>
      <c r="AE835" t="s">
        <v>15967</v>
      </c>
      <c r="AF835" t="s">
        <v>74</v>
      </c>
      <c r="AG835">
        <v>105</v>
      </c>
      <c r="AH835">
        <v>20</v>
      </c>
      <c r="AI835">
        <v>22</v>
      </c>
      <c r="AJ835">
        <v>0</v>
      </c>
      <c r="AK835">
        <v>22</v>
      </c>
      <c r="AL835" t="s">
        <v>1319</v>
      </c>
      <c r="AM835" t="s">
        <v>704</v>
      </c>
      <c r="AN835" t="s">
        <v>1320</v>
      </c>
      <c r="AO835" t="s">
        <v>3198</v>
      </c>
      <c r="AP835" t="s">
        <v>3199</v>
      </c>
      <c r="AQ835" t="s">
        <v>74</v>
      </c>
      <c r="AR835" t="s">
        <v>3200</v>
      </c>
      <c r="AS835" t="s">
        <v>3201</v>
      </c>
      <c r="AT835" t="s">
        <v>15680</v>
      </c>
      <c r="AU835">
        <v>2018</v>
      </c>
      <c r="AV835">
        <v>376</v>
      </c>
      <c r="AW835">
        <v>2122</v>
      </c>
      <c r="AX835" t="s">
        <v>74</v>
      </c>
      <c r="AY835" t="s">
        <v>74</v>
      </c>
      <c r="AZ835" t="s">
        <v>74</v>
      </c>
      <c r="BA835" t="s">
        <v>74</v>
      </c>
      <c r="BB835" t="s">
        <v>74</v>
      </c>
      <c r="BC835" t="s">
        <v>74</v>
      </c>
      <c r="BD835">
        <v>20170168</v>
      </c>
      <c r="BE835" t="s">
        <v>15968</v>
      </c>
      <c r="BF835" t="str">
        <f>HYPERLINK("http://dx.doi.org/10.1098/rsta.2017.0168","http://dx.doi.org/10.1098/rsta.2017.0168")</f>
        <v>http://dx.doi.org/10.1098/rsta.2017.0168</v>
      </c>
      <c r="BG835" t="s">
        <v>74</v>
      </c>
      <c r="BH835" t="s">
        <v>74</v>
      </c>
      <c r="BI835">
        <v>28</v>
      </c>
      <c r="BJ835" t="s">
        <v>436</v>
      </c>
      <c r="BK835" t="s">
        <v>101</v>
      </c>
      <c r="BL835" t="s">
        <v>437</v>
      </c>
      <c r="BM835" t="s">
        <v>15718</v>
      </c>
      <c r="BN835">
        <v>29760112</v>
      </c>
      <c r="BO835" t="s">
        <v>2417</v>
      </c>
      <c r="BP835" t="s">
        <v>74</v>
      </c>
      <c r="BQ835" t="s">
        <v>74</v>
      </c>
      <c r="BR835" t="s">
        <v>104</v>
      </c>
      <c r="BS835" t="s">
        <v>15969</v>
      </c>
      <c r="BT835" t="str">
        <f>HYPERLINK("https%3A%2F%2Fwww.webofscience.com%2Fwos%2Fwoscc%2Ffull-record%2FWOS:000432326900005","View Full Record in Web of Science")</f>
        <v>View Full Record in Web of Science</v>
      </c>
    </row>
    <row r="836" spans="1:72" x14ac:dyDescent="0.15">
      <c r="A836" t="s">
        <v>72</v>
      </c>
      <c r="B836" t="s">
        <v>15970</v>
      </c>
      <c r="C836" t="s">
        <v>74</v>
      </c>
      <c r="D836" t="s">
        <v>74</v>
      </c>
      <c r="E836" t="s">
        <v>74</v>
      </c>
      <c r="F836" t="s">
        <v>15971</v>
      </c>
      <c r="G836" t="s">
        <v>74</v>
      </c>
      <c r="H836" t="s">
        <v>74</v>
      </c>
      <c r="I836" t="s">
        <v>15972</v>
      </c>
      <c r="J836" t="s">
        <v>3186</v>
      </c>
      <c r="K836" t="s">
        <v>74</v>
      </c>
      <c r="L836" t="s">
        <v>74</v>
      </c>
      <c r="M836" t="s">
        <v>78</v>
      </c>
      <c r="N836" t="s">
        <v>79</v>
      </c>
      <c r="O836" t="s">
        <v>74</v>
      </c>
      <c r="P836" t="s">
        <v>74</v>
      </c>
      <c r="Q836" t="s">
        <v>74</v>
      </c>
      <c r="R836" t="s">
        <v>74</v>
      </c>
      <c r="S836" t="s">
        <v>74</v>
      </c>
      <c r="T836" t="s">
        <v>15973</v>
      </c>
      <c r="U836" t="s">
        <v>15974</v>
      </c>
      <c r="V836" t="s">
        <v>15975</v>
      </c>
      <c r="W836" t="s">
        <v>15976</v>
      </c>
      <c r="X836" t="s">
        <v>15977</v>
      </c>
      <c r="Y836" t="s">
        <v>15978</v>
      </c>
      <c r="Z836" t="s">
        <v>15979</v>
      </c>
      <c r="AA836" t="s">
        <v>15980</v>
      </c>
      <c r="AB836" t="s">
        <v>15981</v>
      </c>
      <c r="AC836" t="s">
        <v>15982</v>
      </c>
      <c r="AD836" t="s">
        <v>15983</v>
      </c>
      <c r="AE836" t="s">
        <v>15984</v>
      </c>
      <c r="AF836" t="s">
        <v>74</v>
      </c>
      <c r="AG836">
        <v>54</v>
      </c>
      <c r="AH836">
        <v>44</v>
      </c>
      <c r="AI836">
        <v>48</v>
      </c>
      <c r="AJ836">
        <v>2</v>
      </c>
      <c r="AK836">
        <v>28</v>
      </c>
      <c r="AL836" t="s">
        <v>1319</v>
      </c>
      <c r="AM836" t="s">
        <v>704</v>
      </c>
      <c r="AN836" t="s">
        <v>1320</v>
      </c>
      <c r="AO836" t="s">
        <v>3198</v>
      </c>
      <c r="AP836" t="s">
        <v>3199</v>
      </c>
      <c r="AQ836" t="s">
        <v>74</v>
      </c>
      <c r="AR836" t="s">
        <v>3200</v>
      </c>
      <c r="AS836" t="s">
        <v>3201</v>
      </c>
      <c r="AT836" t="s">
        <v>15680</v>
      </c>
      <c r="AU836">
        <v>2018</v>
      </c>
      <c r="AV836">
        <v>376</v>
      </c>
      <c r="AW836">
        <v>2122</v>
      </c>
      <c r="AX836" t="s">
        <v>74</v>
      </c>
      <c r="AY836" t="s">
        <v>74</v>
      </c>
      <c r="AZ836" t="s">
        <v>74</v>
      </c>
      <c r="BA836" t="s">
        <v>74</v>
      </c>
      <c r="BB836" t="s">
        <v>74</v>
      </c>
      <c r="BC836" t="s">
        <v>74</v>
      </c>
      <c r="BD836">
        <v>20170174</v>
      </c>
      <c r="BE836" t="s">
        <v>15985</v>
      </c>
      <c r="BF836" t="str">
        <f>HYPERLINK("http://dx.doi.org/10.1098/rsta.2017.0174","http://dx.doi.org/10.1098/rsta.2017.0174")</f>
        <v>http://dx.doi.org/10.1098/rsta.2017.0174</v>
      </c>
      <c r="BG836" t="s">
        <v>74</v>
      </c>
      <c r="BH836" t="s">
        <v>74</v>
      </c>
      <c r="BI836">
        <v>21</v>
      </c>
      <c r="BJ836" t="s">
        <v>436</v>
      </c>
      <c r="BK836" t="s">
        <v>101</v>
      </c>
      <c r="BL836" t="s">
        <v>437</v>
      </c>
      <c r="BM836" t="s">
        <v>15718</v>
      </c>
      <c r="BN836">
        <v>29760117</v>
      </c>
      <c r="BO836" t="s">
        <v>835</v>
      </c>
      <c r="BP836" t="s">
        <v>74</v>
      </c>
      <c r="BQ836" t="s">
        <v>74</v>
      </c>
      <c r="BR836" t="s">
        <v>104</v>
      </c>
      <c r="BS836" t="s">
        <v>15986</v>
      </c>
      <c r="BT836" t="str">
        <f>HYPERLINK("https%3A%2F%2Fwww.webofscience.com%2Fwos%2Fwoscc%2Ffull-record%2FWOS:000432326900010","View Full Record in Web of Science")</f>
        <v>View Full Record in Web of Science</v>
      </c>
    </row>
    <row r="837" spans="1:72" x14ac:dyDescent="0.15">
      <c r="A837" t="s">
        <v>72</v>
      </c>
      <c r="B837" t="s">
        <v>15987</v>
      </c>
      <c r="C837" t="s">
        <v>74</v>
      </c>
      <c r="D837" t="s">
        <v>74</v>
      </c>
      <c r="E837" t="s">
        <v>74</v>
      </c>
      <c r="F837" t="s">
        <v>15988</v>
      </c>
      <c r="G837" t="s">
        <v>74</v>
      </c>
      <c r="H837" t="s">
        <v>74</v>
      </c>
      <c r="I837" t="s">
        <v>15989</v>
      </c>
      <c r="J837" t="s">
        <v>3186</v>
      </c>
      <c r="K837" t="s">
        <v>74</v>
      </c>
      <c r="L837" t="s">
        <v>74</v>
      </c>
      <c r="M837" t="s">
        <v>78</v>
      </c>
      <c r="N837" t="s">
        <v>79</v>
      </c>
      <c r="O837" t="s">
        <v>74</v>
      </c>
      <c r="P837" t="s">
        <v>74</v>
      </c>
      <c r="Q837" t="s">
        <v>74</v>
      </c>
      <c r="R837" t="s">
        <v>74</v>
      </c>
      <c r="S837" t="s">
        <v>74</v>
      </c>
      <c r="T837" t="s">
        <v>15990</v>
      </c>
      <c r="U837" t="s">
        <v>15991</v>
      </c>
      <c r="V837" t="s">
        <v>15992</v>
      </c>
      <c r="W837" t="s">
        <v>15993</v>
      </c>
      <c r="X837" t="s">
        <v>15994</v>
      </c>
      <c r="Y837" t="s">
        <v>15995</v>
      </c>
      <c r="Z837" t="s">
        <v>15996</v>
      </c>
      <c r="AA837" t="s">
        <v>15997</v>
      </c>
      <c r="AB837" t="s">
        <v>15998</v>
      </c>
      <c r="AC837" t="s">
        <v>15999</v>
      </c>
      <c r="AD837" t="s">
        <v>10493</v>
      </c>
      <c r="AE837" t="s">
        <v>16000</v>
      </c>
      <c r="AF837" t="s">
        <v>74</v>
      </c>
      <c r="AG837">
        <v>39</v>
      </c>
      <c r="AH837">
        <v>20</v>
      </c>
      <c r="AI837">
        <v>24</v>
      </c>
      <c r="AJ837">
        <v>0</v>
      </c>
      <c r="AK837">
        <v>19</v>
      </c>
      <c r="AL837" t="s">
        <v>1319</v>
      </c>
      <c r="AM837" t="s">
        <v>704</v>
      </c>
      <c r="AN837" t="s">
        <v>1320</v>
      </c>
      <c r="AO837" t="s">
        <v>3198</v>
      </c>
      <c r="AP837" t="s">
        <v>3199</v>
      </c>
      <c r="AQ837" t="s">
        <v>74</v>
      </c>
      <c r="AR837" t="s">
        <v>3200</v>
      </c>
      <c r="AS837" t="s">
        <v>3201</v>
      </c>
      <c r="AT837" t="s">
        <v>15680</v>
      </c>
      <c r="AU837">
        <v>2018</v>
      </c>
      <c r="AV837">
        <v>376</v>
      </c>
      <c r="AW837">
        <v>2122</v>
      </c>
      <c r="AX837" t="s">
        <v>74</v>
      </c>
      <c r="AY837" t="s">
        <v>74</v>
      </c>
      <c r="AZ837" t="s">
        <v>74</v>
      </c>
      <c r="BA837" t="s">
        <v>74</v>
      </c>
      <c r="BB837" t="s">
        <v>74</v>
      </c>
      <c r="BC837" t="s">
        <v>74</v>
      </c>
      <c r="BD837">
        <v>20170165</v>
      </c>
      <c r="BE837" t="s">
        <v>16001</v>
      </c>
      <c r="BF837" t="str">
        <f>HYPERLINK("http://dx.doi.org/10.1098/rsta.2017.0165","http://dx.doi.org/10.1098/rsta.2017.0165")</f>
        <v>http://dx.doi.org/10.1098/rsta.2017.0165</v>
      </c>
      <c r="BG837" t="s">
        <v>74</v>
      </c>
      <c r="BH837" t="s">
        <v>74</v>
      </c>
      <c r="BI837">
        <v>13</v>
      </c>
      <c r="BJ837" t="s">
        <v>436</v>
      </c>
      <c r="BK837" t="s">
        <v>101</v>
      </c>
      <c r="BL837" t="s">
        <v>437</v>
      </c>
      <c r="BM837" t="s">
        <v>15718</v>
      </c>
      <c r="BN837">
        <v>29760110</v>
      </c>
      <c r="BO837" t="s">
        <v>661</v>
      </c>
      <c r="BP837" t="s">
        <v>74</v>
      </c>
      <c r="BQ837" t="s">
        <v>74</v>
      </c>
      <c r="BR837" t="s">
        <v>104</v>
      </c>
      <c r="BS837" t="s">
        <v>16002</v>
      </c>
      <c r="BT837" t="str">
        <f>HYPERLINK("https%3A%2F%2Fwww.webofscience.com%2Fwos%2Fwoscc%2Ffull-record%2FWOS:000432326900003","View Full Record in Web of Science")</f>
        <v>View Full Record in Web of Science</v>
      </c>
    </row>
    <row r="838" spans="1:72" x14ac:dyDescent="0.15">
      <c r="A838" t="s">
        <v>72</v>
      </c>
      <c r="B838" t="s">
        <v>16003</v>
      </c>
      <c r="C838" t="s">
        <v>74</v>
      </c>
      <c r="D838" t="s">
        <v>74</v>
      </c>
      <c r="E838" t="s">
        <v>74</v>
      </c>
      <c r="F838" t="s">
        <v>16004</v>
      </c>
      <c r="G838" t="s">
        <v>74</v>
      </c>
      <c r="H838" t="s">
        <v>74</v>
      </c>
      <c r="I838" t="s">
        <v>16005</v>
      </c>
      <c r="J838" t="s">
        <v>3186</v>
      </c>
      <c r="K838" t="s">
        <v>74</v>
      </c>
      <c r="L838" t="s">
        <v>74</v>
      </c>
      <c r="M838" t="s">
        <v>78</v>
      </c>
      <c r="N838" t="s">
        <v>79</v>
      </c>
      <c r="O838" t="s">
        <v>74</v>
      </c>
      <c r="P838" t="s">
        <v>74</v>
      </c>
      <c r="Q838" t="s">
        <v>74</v>
      </c>
      <c r="R838" t="s">
        <v>74</v>
      </c>
      <c r="S838" t="s">
        <v>74</v>
      </c>
      <c r="T838" t="s">
        <v>16006</v>
      </c>
      <c r="U838" t="s">
        <v>16007</v>
      </c>
      <c r="V838" t="s">
        <v>16008</v>
      </c>
      <c r="W838" t="s">
        <v>16009</v>
      </c>
      <c r="X838" t="s">
        <v>16010</v>
      </c>
      <c r="Y838" t="s">
        <v>16011</v>
      </c>
      <c r="Z838" t="s">
        <v>16012</v>
      </c>
      <c r="AA838" t="s">
        <v>16013</v>
      </c>
      <c r="AB838" t="s">
        <v>16014</v>
      </c>
      <c r="AC838" t="s">
        <v>16015</v>
      </c>
      <c r="AD838" t="s">
        <v>16016</v>
      </c>
      <c r="AE838" t="s">
        <v>16017</v>
      </c>
      <c r="AF838" t="s">
        <v>74</v>
      </c>
      <c r="AG838">
        <v>41</v>
      </c>
      <c r="AH838">
        <v>44</v>
      </c>
      <c r="AI838">
        <v>45</v>
      </c>
      <c r="AJ838">
        <v>0</v>
      </c>
      <c r="AK838">
        <v>12</v>
      </c>
      <c r="AL838" t="s">
        <v>1319</v>
      </c>
      <c r="AM838" t="s">
        <v>704</v>
      </c>
      <c r="AN838" t="s">
        <v>1320</v>
      </c>
      <c r="AO838" t="s">
        <v>3198</v>
      </c>
      <c r="AP838" t="s">
        <v>3199</v>
      </c>
      <c r="AQ838" t="s">
        <v>74</v>
      </c>
      <c r="AR838" t="s">
        <v>3200</v>
      </c>
      <c r="AS838" t="s">
        <v>3201</v>
      </c>
      <c r="AT838" t="s">
        <v>15680</v>
      </c>
      <c r="AU838">
        <v>2018</v>
      </c>
      <c r="AV838">
        <v>376</v>
      </c>
      <c r="AW838">
        <v>2122</v>
      </c>
      <c r="AX838" t="s">
        <v>74</v>
      </c>
      <c r="AY838" t="s">
        <v>74</v>
      </c>
      <c r="AZ838" t="s">
        <v>74</v>
      </c>
      <c r="BA838" t="s">
        <v>74</v>
      </c>
      <c r="BB838" t="s">
        <v>74</v>
      </c>
      <c r="BC838" t="s">
        <v>74</v>
      </c>
      <c r="BD838">
        <v>20170163</v>
      </c>
      <c r="BE838" t="s">
        <v>16018</v>
      </c>
      <c r="BF838" t="str">
        <f>HYPERLINK("http://dx.doi.org/10.1098/rsta.2017.0163","http://dx.doi.org/10.1098/rsta.2017.0163")</f>
        <v>http://dx.doi.org/10.1098/rsta.2017.0163</v>
      </c>
      <c r="BG838" t="s">
        <v>74</v>
      </c>
      <c r="BH838" t="s">
        <v>74</v>
      </c>
      <c r="BI838">
        <v>17</v>
      </c>
      <c r="BJ838" t="s">
        <v>436</v>
      </c>
      <c r="BK838" t="s">
        <v>101</v>
      </c>
      <c r="BL838" t="s">
        <v>437</v>
      </c>
      <c r="BM838" t="s">
        <v>15718</v>
      </c>
      <c r="BN838">
        <v>29760108</v>
      </c>
      <c r="BO838" t="s">
        <v>16019</v>
      </c>
      <c r="BP838" t="s">
        <v>74</v>
      </c>
      <c r="BQ838" t="s">
        <v>74</v>
      </c>
      <c r="BR838" t="s">
        <v>104</v>
      </c>
      <c r="BS838" t="s">
        <v>16020</v>
      </c>
      <c r="BT838" t="str">
        <f>HYPERLINK("https%3A%2F%2Fwww.webofscience.com%2Fwos%2Fwoscc%2Ffull-record%2FWOS:000432326900001","View Full Record in Web of Science")</f>
        <v>View Full Record in Web of Science</v>
      </c>
    </row>
    <row r="839" spans="1:72" x14ac:dyDescent="0.15">
      <c r="A839" t="s">
        <v>72</v>
      </c>
      <c r="B839" t="s">
        <v>16021</v>
      </c>
      <c r="C839" t="s">
        <v>74</v>
      </c>
      <c r="D839" t="s">
        <v>74</v>
      </c>
      <c r="E839" t="s">
        <v>74</v>
      </c>
      <c r="F839" t="s">
        <v>16022</v>
      </c>
      <c r="G839" t="s">
        <v>74</v>
      </c>
      <c r="H839" t="s">
        <v>74</v>
      </c>
      <c r="I839" t="s">
        <v>16023</v>
      </c>
      <c r="J839" t="s">
        <v>3186</v>
      </c>
      <c r="K839" t="s">
        <v>74</v>
      </c>
      <c r="L839" t="s">
        <v>74</v>
      </c>
      <c r="M839" t="s">
        <v>78</v>
      </c>
      <c r="N839" t="s">
        <v>273</v>
      </c>
      <c r="O839" t="s">
        <v>74</v>
      </c>
      <c r="P839" t="s">
        <v>74</v>
      </c>
      <c r="Q839" t="s">
        <v>74</v>
      </c>
      <c r="R839" t="s">
        <v>74</v>
      </c>
      <c r="S839" t="s">
        <v>74</v>
      </c>
      <c r="T839" t="s">
        <v>16024</v>
      </c>
      <c r="U839" t="s">
        <v>16025</v>
      </c>
      <c r="V839" t="s">
        <v>16026</v>
      </c>
      <c r="W839" t="s">
        <v>16027</v>
      </c>
      <c r="X839" t="s">
        <v>954</v>
      </c>
      <c r="Y839" t="s">
        <v>16028</v>
      </c>
      <c r="Z839" t="s">
        <v>16029</v>
      </c>
      <c r="AA839" t="s">
        <v>16030</v>
      </c>
      <c r="AB839" t="s">
        <v>16031</v>
      </c>
      <c r="AC839" t="s">
        <v>16032</v>
      </c>
      <c r="AD839" t="s">
        <v>16033</v>
      </c>
      <c r="AE839" t="s">
        <v>16034</v>
      </c>
      <c r="AF839" t="s">
        <v>74</v>
      </c>
      <c r="AG839">
        <v>87</v>
      </c>
      <c r="AH839">
        <v>90</v>
      </c>
      <c r="AI839">
        <v>105</v>
      </c>
      <c r="AJ839">
        <v>3</v>
      </c>
      <c r="AK839">
        <v>30</v>
      </c>
      <c r="AL839" t="s">
        <v>1319</v>
      </c>
      <c r="AM839" t="s">
        <v>704</v>
      </c>
      <c r="AN839" t="s">
        <v>1320</v>
      </c>
      <c r="AO839" t="s">
        <v>3198</v>
      </c>
      <c r="AP839" t="s">
        <v>3199</v>
      </c>
      <c r="AQ839" t="s">
        <v>74</v>
      </c>
      <c r="AR839" t="s">
        <v>3200</v>
      </c>
      <c r="AS839" t="s">
        <v>3201</v>
      </c>
      <c r="AT839" t="s">
        <v>15680</v>
      </c>
      <c r="AU839">
        <v>2018</v>
      </c>
      <c r="AV839">
        <v>376</v>
      </c>
      <c r="AW839">
        <v>2122</v>
      </c>
      <c r="AX839" t="s">
        <v>74</v>
      </c>
      <c r="AY839" t="s">
        <v>74</v>
      </c>
      <c r="AZ839" t="s">
        <v>74</v>
      </c>
      <c r="BA839" t="s">
        <v>74</v>
      </c>
      <c r="BB839" t="s">
        <v>74</v>
      </c>
      <c r="BC839" t="s">
        <v>74</v>
      </c>
      <c r="BD839">
        <v>20170164</v>
      </c>
      <c r="BE839" t="s">
        <v>16035</v>
      </c>
      <c r="BF839" t="str">
        <f>HYPERLINK("http://dx.doi.org/10.1098/rsta.2017.0164","http://dx.doi.org/10.1098/rsta.2017.0164")</f>
        <v>http://dx.doi.org/10.1098/rsta.2017.0164</v>
      </c>
      <c r="BG839" t="s">
        <v>74</v>
      </c>
      <c r="BH839" t="s">
        <v>74</v>
      </c>
      <c r="BI839">
        <v>17</v>
      </c>
      <c r="BJ839" t="s">
        <v>436</v>
      </c>
      <c r="BK839" t="s">
        <v>101</v>
      </c>
      <c r="BL839" t="s">
        <v>437</v>
      </c>
      <c r="BM839" t="s">
        <v>15718</v>
      </c>
      <c r="BN839">
        <v>29760109</v>
      </c>
      <c r="BO839" t="s">
        <v>661</v>
      </c>
      <c r="BP839" t="s">
        <v>74</v>
      </c>
      <c r="BQ839" t="s">
        <v>74</v>
      </c>
      <c r="BR839" t="s">
        <v>104</v>
      </c>
      <c r="BS839" t="s">
        <v>16036</v>
      </c>
      <c r="BT839" t="str">
        <f>HYPERLINK("https%3A%2F%2Fwww.webofscience.com%2Fwos%2Fwoscc%2Ffull-record%2FWOS:000432326900002","View Full Record in Web of Science")</f>
        <v>View Full Record in Web of Science</v>
      </c>
    </row>
    <row r="840" spans="1:72" x14ac:dyDescent="0.15">
      <c r="A840" t="s">
        <v>72</v>
      </c>
      <c r="B840" t="s">
        <v>16037</v>
      </c>
      <c r="C840" t="s">
        <v>74</v>
      </c>
      <c r="D840" t="s">
        <v>74</v>
      </c>
      <c r="E840" t="s">
        <v>74</v>
      </c>
      <c r="F840" t="s">
        <v>16038</v>
      </c>
      <c r="G840" t="s">
        <v>74</v>
      </c>
      <c r="H840" t="s">
        <v>74</v>
      </c>
      <c r="I840" t="s">
        <v>16039</v>
      </c>
      <c r="J840" t="s">
        <v>3186</v>
      </c>
      <c r="K840" t="s">
        <v>74</v>
      </c>
      <c r="L840" t="s">
        <v>74</v>
      </c>
      <c r="M840" t="s">
        <v>78</v>
      </c>
      <c r="N840" t="s">
        <v>79</v>
      </c>
      <c r="O840" t="s">
        <v>74</v>
      </c>
      <c r="P840" t="s">
        <v>74</v>
      </c>
      <c r="Q840" t="s">
        <v>74</v>
      </c>
      <c r="R840" t="s">
        <v>74</v>
      </c>
      <c r="S840" t="s">
        <v>74</v>
      </c>
      <c r="T840" t="s">
        <v>16040</v>
      </c>
      <c r="U840" t="s">
        <v>16041</v>
      </c>
      <c r="V840" t="s">
        <v>16042</v>
      </c>
      <c r="W840" t="s">
        <v>16043</v>
      </c>
      <c r="X840" t="s">
        <v>16044</v>
      </c>
      <c r="Y840" t="s">
        <v>16045</v>
      </c>
      <c r="Z840" t="s">
        <v>16046</v>
      </c>
      <c r="AA840" t="s">
        <v>16047</v>
      </c>
      <c r="AB840" t="s">
        <v>16048</v>
      </c>
      <c r="AC840" t="s">
        <v>16049</v>
      </c>
      <c r="AD840" t="s">
        <v>16050</v>
      </c>
      <c r="AE840" t="s">
        <v>16051</v>
      </c>
      <c r="AF840" t="s">
        <v>74</v>
      </c>
      <c r="AG840">
        <v>40</v>
      </c>
      <c r="AH840">
        <v>54</v>
      </c>
      <c r="AI840">
        <v>69</v>
      </c>
      <c r="AJ840">
        <v>2</v>
      </c>
      <c r="AK840">
        <v>16</v>
      </c>
      <c r="AL840" t="s">
        <v>1319</v>
      </c>
      <c r="AM840" t="s">
        <v>704</v>
      </c>
      <c r="AN840" t="s">
        <v>1320</v>
      </c>
      <c r="AO840" t="s">
        <v>3198</v>
      </c>
      <c r="AP840" t="s">
        <v>3199</v>
      </c>
      <c r="AQ840" t="s">
        <v>74</v>
      </c>
      <c r="AR840" t="s">
        <v>3200</v>
      </c>
      <c r="AS840" t="s">
        <v>3201</v>
      </c>
      <c r="AT840" t="s">
        <v>15680</v>
      </c>
      <c r="AU840">
        <v>2018</v>
      </c>
      <c r="AV840">
        <v>376</v>
      </c>
      <c r="AW840">
        <v>2122</v>
      </c>
      <c r="AX840" t="s">
        <v>74</v>
      </c>
      <c r="AY840" t="s">
        <v>74</v>
      </c>
      <c r="AZ840" t="s">
        <v>74</v>
      </c>
      <c r="BA840" t="s">
        <v>74</v>
      </c>
      <c r="BB840" t="s">
        <v>74</v>
      </c>
      <c r="BC840" t="s">
        <v>74</v>
      </c>
      <c r="BD840">
        <v>20170173</v>
      </c>
      <c r="BE840" t="s">
        <v>16052</v>
      </c>
      <c r="BF840" t="str">
        <f>HYPERLINK("http://dx.doi.org/10.1098/rsta.2017.0173","http://dx.doi.org/10.1098/rsta.2017.0173")</f>
        <v>http://dx.doi.org/10.1098/rsta.2017.0173</v>
      </c>
      <c r="BG840" t="s">
        <v>74</v>
      </c>
      <c r="BH840" t="s">
        <v>74</v>
      </c>
      <c r="BI840">
        <v>12</v>
      </c>
      <c r="BJ840" t="s">
        <v>436</v>
      </c>
      <c r="BK840" t="s">
        <v>101</v>
      </c>
      <c r="BL840" t="s">
        <v>437</v>
      </c>
      <c r="BM840" t="s">
        <v>15718</v>
      </c>
      <c r="BN840">
        <v>29760116</v>
      </c>
      <c r="BO840" t="s">
        <v>661</v>
      </c>
      <c r="BP840" t="s">
        <v>74</v>
      </c>
      <c r="BQ840" t="s">
        <v>74</v>
      </c>
      <c r="BR840" t="s">
        <v>104</v>
      </c>
      <c r="BS840" t="s">
        <v>16053</v>
      </c>
      <c r="BT840" t="str">
        <f>HYPERLINK("https%3A%2F%2Fwww.webofscience.com%2Fwos%2Fwoscc%2Ffull-record%2FWOS:000432326900009","View Full Record in Web of Science")</f>
        <v>View Full Record in Web of Science</v>
      </c>
    </row>
    <row r="841" spans="1:72" x14ac:dyDescent="0.15">
      <c r="A841" t="s">
        <v>72</v>
      </c>
      <c r="B841" t="s">
        <v>16054</v>
      </c>
      <c r="C841" t="s">
        <v>74</v>
      </c>
      <c r="D841" t="s">
        <v>74</v>
      </c>
      <c r="E841" t="s">
        <v>74</v>
      </c>
      <c r="F841" t="s">
        <v>16055</v>
      </c>
      <c r="G841" t="s">
        <v>74</v>
      </c>
      <c r="H841" t="s">
        <v>74</v>
      </c>
      <c r="I841" t="s">
        <v>16056</v>
      </c>
      <c r="J841" t="s">
        <v>3186</v>
      </c>
      <c r="K841" t="s">
        <v>74</v>
      </c>
      <c r="L841" t="s">
        <v>74</v>
      </c>
      <c r="M841" t="s">
        <v>78</v>
      </c>
      <c r="N841" t="s">
        <v>79</v>
      </c>
      <c r="O841" t="s">
        <v>74</v>
      </c>
      <c r="P841" t="s">
        <v>74</v>
      </c>
      <c r="Q841" t="s">
        <v>74</v>
      </c>
      <c r="R841" t="s">
        <v>74</v>
      </c>
      <c r="S841" t="s">
        <v>74</v>
      </c>
      <c r="T841" t="s">
        <v>16057</v>
      </c>
      <c r="U841" t="s">
        <v>16058</v>
      </c>
      <c r="V841" t="s">
        <v>16059</v>
      </c>
      <c r="W841" t="s">
        <v>16060</v>
      </c>
      <c r="X841" t="s">
        <v>16061</v>
      </c>
      <c r="Y841" t="s">
        <v>16062</v>
      </c>
      <c r="Z841" t="s">
        <v>16063</v>
      </c>
      <c r="AA841" t="s">
        <v>74</v>
      </c>
      <c r="AB841" t="s">
        <v>16064</v>
      </c>
      <c r="AC841" t="s">
        <v>16065</v>
      </c>
      <c r="AD841" t="s">
        <v>16066</v>
      </c>
      <c r="AE841" t="s">
        <v>16067</v>
      </c>
      <c r="AF841" t="s">
        <v>74</v>
      </c>
      <c r="AG841">
        <v>52</v>
      </c>
      <c r="AH841">
        <v>23</v>
      </c>
      <c r="AI841">
        <v>23</v>
      </c>
      <c r="AJ841">
        <v>2</v>
      </c>
      <c r="AK841">
        <v>28</v>
      </c>
      <c r="AL841" t="s">
        <v>1319</v>
      </c>
      <c r="AM841" t="s">
        <v>704</v>
      </c>
      <c r="AN841" t="s">
        <v>1320</v>
      </c>
      <c r="AO841" t="s">
        <v>3198</v>
      </c>
      <c r="AP841" t="s">
        <v>3199</v>
      </c>
      <c r="AQ841" t="s">
        <v>74</v>
      </c>
      <c r="AR841" t="s">
        <v>3200</v>
      </c>
      <c r="AS841" t="s">
        <v>3201</v>
      </c>
      <c r="AT841" t="s">
        <v>15680</v>
      </c>
      <c r="AU841">
        <v>2018</v>
      </c>
      <c r="AV841">
        <v>376</v>
      </c>
      <c r="AW841">
        <v>2122</v>
      </c>
      <c r="AX841" t="s">
        <v>74</v>
      </c>
      <c r="AY841" t="s">
        <v>74</v>
      </c>
      <c r="AZ841" t="s">
        <v>74</v>
      </c>
      <c r="BA841" t="s">
        <v>74</v>
      </c>
      <c r="BB841" t="s">
        <v>74</v>
      </c>
      <c r="BC841" t="s">
        <v>74</v>
      </c>
      <c r="BD841">
        <v>20170169</v>
      </c>
      <c r="BE841" t="s">
        <v>16068</v>
      </c>
      <c r="BF841" t="str">
        <f>HYPERLINK("http://dx.doi.org/10.1098/rsta.2017.0169","http://dx.doi.org/10.1098/rsta.2017.0169")</f>
        <v>http://dx.doi.org/10.1098/rsta.2017.0169</v>
      </c>
      <c r="BG841" t="s">
        <v>74</v>
      </c>
      <c r="BH841" t="s">
        <v>74</v>
      </c>
      <c r="BI841">
        <v>18</v>
      </c>
      <c r="BJ841" t="s">
        <v>436</v>
      </c>
      <c r="BK841" t="s">
        <v>101</v>
      </c>
      <c r="BL841" t="s">
        <v>437</v>
      </c>
      <c r="BM841" t="s">
        <v>15718</v>
      </c>
      <c r="BN841">
        <v>29760113</v>
      </c>
      <c r="BO841" t="s">
        <v>12738</v>
      </c>
      <c r="BP841" t="s">
        <v>74</v>
      </c>
      <c r="BQ841" t="s">
        <v>74</v>
      </c>
      <c r="BR841" t="s">
        <v>104</v>
      </c>
      <c r="BS841" t="s">
        <v>16069</v>
      </c>
      <c r="BT841" t="str">
        <f>HYPERLINK("https%3A%2F%2Fwww.webofscience.com%2Fwos%2Fwoscc%2Ffull-record%2FWOS:000432326900006","View Full Record in Web of Science")</f>
        <v>View Full Record in Web of Science</v>
      </c>
    </row>
    <row r="842" spans="1:72" x14ac:dyDescent="0.15">
      <c r="A842" t="s">
        <v>72</v>
      </c>
      <c r="B842" t="s">
        <v>16070</v>
      </c>
      <c r="C842" t="s">
        <v>74</v>
      </c>
      <c r="D842" t="s">
        <v>74</v>
      </c>
      <c r="E842" t="s">
        <v>74</v>
      </c>
      <c r="F842" t="s">
        <v>16071</v>
      </c>
      <c r="G842" t="s">
        <v>74</v>
      </c>
      <c r="H842" t="s">
        <v>74</v>
      </c>
      <c r="I842" t="s">
        <v>16072</v>
      </c>
      <c r="J842" t="s">
        <v>3435</v>
      </c>
      <c r="K842" t="s">
        <v>74</v>
      </c>
      <c r="L842" t="s">
        <v>74</v>
      </c>
      <c r="M842" t="s">
        <v>78</v>
      </c>
      <c r="N842" t="s">
        <v>273</v>
      </c>
      <c r="O842" t="s">
        <v>74</v>
      </c>
      <c r="P842" t="s">
        <v>74</v>
      </c>
      <c r="Q842" t="s">
        <v>74</v>
      </c>
      <c r="R842" t="s">
        <v>74</v>
      </c>
      <c r="S842" t="s">
        <v>74</v>
      </c>
      <c r="T842" t="s">
        <v>16073</v>
      </c>
      <c r="U842" t="s">
        <v>16074</v>
      </c>
      <c r="V842" t="s">
        <v>16075</v>
      </c>
      <c r="W842" t="s">
        <v>16076</v>
      </c>
      <c r="X842" t="s">
        <v>16077</v>
      </c>
      <c r="Y842" t="s">
        <v>16078</v>
      </c>
      <c r="Z842" t="s">
        <v>16079</v>
      </c>
      <c r="AA842" t="s">
        <v>16080</v>
      </c>
      <c r="AB842" t="s">
        <v>16081</v>
      </c>
      <c r="AC842" t="s">
        <v>16082</v>
      </c>
      <c r="AD842" t="s">
        <v>16083</v>
      </c>
      <c r="AE842" t="s">
        <v>16084</v>
      </c>
      <c r="AF842" t="s">
        <v>74</v>
      </c>
      <c r="AG842">
        <v>108</v>
      </c>
      <c r="AH842">
        <v>123</v>
      </c>
      <c r="AI842">
        <v>126</v>
      </c>
      <c r="AJ842">
        <v>14</v>
      </c>
      <c r="AK842">
        <v>100</v>
      </c>
      <c r="AL842" t="s">
        <v>3174</v>
      </c>
      <c r="AM842" t="s">
        <v>3175</v>
      </c>
      <c r="AN842" t="s">
        <v>3176</v>
      </c>
      <c r="AO842" t="s">
        <v>74</v>
      </c>
      <c r="AP842" t="s">
        <v>3445</v>
      </c>
      <c r="AQ842" t="s">
        <v>74</v>
      </c>
      <c r="AR842" t="s">
        <v>3446</v>
      </c>
      <c r="AS842" t="s">
        <v>3447</v>
      </c>
      <c r="AT842" t="s">
        <v>16085</v>
      </c>
      <c r="AU842">
        <v>2018</v>
      </c>
      <c r="AV842">
        <v>5</v>
      </c>
      <c r="AW842" t="s">
        <v>74</v>
      </c>
      <c r="AX842" t="s">
        <v>74</v>
      </c>
      <c r="AY842" t="s">
        <v>74</v>
      </c>
      <c r="AZ842" t="s">
        <v>74</v>
      </c>
      <c r="BA842" t="s">
        <v>74</v>
      </c>
      <c r="BB842" t="s">
        <v>74</v>
      </c>
      <c r="BC842" t="s">
        <v>74</v>
      </c>
      <c r="BD842">
        <v>211</v>
      </c>
      <c r="BE842" t="s">
        <v>16086</v>
      </c>
      <c r="BF842" t="str">
        <f>HYPERLINK("http://dx.doi.org/10.3389/fmars.2018.00211","http://dx.doi.org/10.3389/fmars.2018.00211")</f>
        <v>http://dx.doi.org/10.3389/fmars.2018.00211</v>
      </c>
      <c r="BG842" t="s">
        <v>74</v>
      </c>
      <c r="BH842" t="s">
        <v>74</v>
      </c>
      <c r="BI842">
        <v>15</v>
      </c>
      <c r="BJ842" t="s">
        <v>3450</v>
      </c>
      <c r="BK842" t="s">
        <v>101</v>
      </c>
      <c r="BL842" t="s">
        <v>3451</v>
      </c>
      <c r="BM842" t="s">
        <v>16087</v>
      </c>
      <c r="BN842" t="s">
        <v>74</v>
      </c>
      <c r="BO842" t="s">
        <v>16088</v>
      </c>
      <c r="BP842" t="s">
        <v>1167</v>
      </c>
      <c r="BQ842" t="s">
        <v>1168</v>
      </c>
      <c r="BR842" t="s">
        <v>104</v>
      </c>
      <c r="BS842" t="s">
        <v>16089</v>
      </c>
      <c r="BT842" t="str">
        <f>HYPERLINK("https%3A%2F%2Fwww.webofscience.com%2Fwos%2Fwoscc%2Ffull-record%2FWOS:000457164900001","View Full Record in Web of Science")</f>
        <v>View Full Record in Web of Science</v>
      </c>
    </row>
    <row r="843" spans="1:72" x14ac:dyDescent="0.15">
      <c r="A843" t="s">
        <v>72</v>
      </c>
      <c r="B843" t="s">
        <v>16090</v>
      </c>
      <c r="C843" t="s">
        <v>74</v>
      </c>
      <c r="D843" t="s">
        <v>74</v>
      </c>
      <c r="E843" t="s">
        <v>74</v>
      </c>
      <c r="F843" t="s">
        <v>16091</v>
      </c>
      <c r="G843" t="s">
        <v>74</v>
      </c>
      <c r="H843" t="s">
        <v>74</v>
      </c>
      <c r="I843" t="s">
        <v>16092</v>
      </c>
      <c r="J843" t="s">
        <v>4315</v>
      </c>
      <c r="K843" t="s">
        <v>74</v>
      </c>
      <c r="L843" t="s">
        <v>74</v>
      </c>
      <c r="M843" t="s">
        <v>78</v>
      </c>
      <c r="N843" t="s">
        <v>79</v>
      </c>
      <c r="O843" t="s">
        <v>74</v>
      </c>
      <c r="P843" t="s">
        <v>74</v>
      </c>
      <c r="Q843" t="s">
        <v>74</v>
      </c>
      <c r="R843" t="s">
        <v>74</v>
      </c>
      <c r="S843" t="s">
        <v>74</v>
      </c>
      <c r="T843" t="s">
        <v>16093</v>
      </c>
      <c r="U843" t="s">
        <v>16094</v>
      </c>
      <c r="V843" t="s">
        <v>16095</v>
      </c>
      <c r="W843" t="s">
        <v>16096</v>
      </c>
      <c r="X843" t="s">
        <v>16097</v>
      </c>
      <c r="Y843" t="s">
        <v>16098</v>
      </c>
      <c r="Z843" t="s">
        <v>16099</v>
      </c>
      <c r="AA843" t="s">
        <v>16100</v>
      </c>
      <c r="AB843" t="s">
        <v>16101</v>
      </c>
      <c r="AC843" t="s">
        <v>16102</v>
      </c>
      <c r="AD843" t="s">
        <v>16103</v>
      </c>
      <c r="AE843" t="s">
        <v>16104</v>
      </c>
      <c r="AF843" t="s">
        <v>74</v>
      </c>
      <c r="AG843">
        <v>33</v>
      </c>
      <c r="AH843">
        <v>1</v>
      </c>
      <c r="AI843">
        <v>1</v>
      </c>
      <c r="AJ843">
        <v>0</v>
      </c>
      <c r="AK843">
        <v>2</v>
      </c>
      <c r="AL843" t="s">
        <v>4328</v>
      </c>
      <c r="AM843" t="s">
        <v>4329</v>
      </c>
      <c r="AN843" t="s">
        <v>4330</v>
      </c>
      <c r="AO843" t="s">
        <v>4331</v>
      </c>
      <c r="AP843" t="s">
        <v>4332</v>
      </c>
      <c r="AQ843" t="s">
        <v>74</v>
      </c>
      <c r="AR843" t="s">
        <v>4315</v>
      </c>
      <c r="AS843" t="s">
        <v>4333</v>
      </c>
      <c r="AT843" t="s">
        <v>16085</v>
      </c>
      <c r="AU843">
        <v>2018</v>
      </c>
      <c r="AV843">
        <v>4441</v>
      </c>
      <c r="AW843">
        <v>2</v>
      </c>
      <c r="AX843" t="s">
        <v>74</v>
      </c>
      <c r="AY843" t="s">
        <v>74</v>
      </c>
      <c r="AZ843" t="s">
        <v>74</v>
      </c>
      <c r="BA843" t="s">
        <v>74</v>
      </c>
      <c r="BB843">
        <v>347</v>
      </c>
      <c r="BC843">
        <v>365</v>
      </c>
      <c r="BD843" t="s">
        <v>74</v>
      </c>
      <c r="BE843" t="s">
        <v>16105</v>
      </c>
      <c r="BF843" t="str">
        <f>HYPERLINK("http://dx.doi.org/10.11646/zootaxa.4441.2.9","http://dx.doi.org/10.11646/zootaxa.4441.2.9")</f>
        <v>http://dx.doi.org/10.11646/zootaxa.4441.2.9</v>
      </c>
      <c r="BG843" t="s">
        <v>74</v>
      </c>
      <c r="BH843" t="s">
        <v>74</v>
      </c>
      <c r="BI843">
        <v>19</v>
      </c>
      <c r="BJ843" t="s">
        <v>2343</v>
      </c>
      <c r="BK843" t="s">
        <v>101</v>
      </c>
      <c r="BL843" t="s">
        <v>2343</v>
      </c>
      <c r="BM843" t="s">
        <v>16106</v>
      </c>
      <c r="BN843">
        <v>30314014</v>
      </c>
      <c r="BO843" t="s">
        <v>74</v>
      </c>
      <c r="BP843" t="s">
        <v>74</v>
      </c>
      <c r="BQ843" t="s">
        <v>74</v>
      </c>
      <c r="BR843" t="s">
        <v>104</v>
      </c>
      <c r="BS843" t="s">
        <v>16107</v>
      </c>
      <c r="BT843" t="str">
        <f>HYPERLINK("https%3A%2F%2Fwww.webofscience.com%2Fwos%2Fwoscc%2Ffull-record%2FWOS:000436255700009","View Full Record in Web of Science")</f>
        <v>View Full Record in Web of Science</v>
      </c>
    </row>
    <row r="844" spans="1:72" x14ac:dyDescent="0.15">
      <c r="A844" t="s">
        <v>72</v>
      </c>
      <c r="B844" t="s">
        <v>16108</v>
      </c>
      <c r="C844" t="s">
        <v>74</v>
      </c>
      <c r="D844" t="s">
        <v>74</v>
      </c>
      <c r="E844" t="s">
        <v>74</v>
      </c>
      <c r="F844" t="s">
        <v>16109</v>
      </c>
      <c r="G844" t="s">
        <v>74</v>
      </c>
      <c r="H844" t="s">
        <v>74</v>
      </c>
      <c r="I844" t="s">
        <v>16110</v>
      </c>
      <c r="J844" t="s">
        <v>3268</v>
      </c>
      <c r="K844" t="s">
        <v>74</v>
      </c>
      <c r="L844" t="s">
        <v>74</v>
      </c>
      <c r="M844" t="s">
        <v>78</v>
      </c>
      <c r="N844" t="s">
        <v>79</v>
      </c>
      <c r="O844" t="s">
        <v>74</v>
      </c>
      <c r="P844" t="s">
        <v>74</v>
      </c>
      <c r="Q844" t="s">
        <v>74</v>
      </c>
      <c r="R844" t="s">
        <v>74</v>
      </c>
      <c r="S844" t="s">
        <v>74</v>
      </c>
      <c r="T844" t="s">
        <v>74</v>
      </c>
      <c r="U844" t="s">
        <v>16111</v>
      </c>
      <c r="V844" t="s">
        <v>16112</v>
      </c>
      <c r="W844" t="s">
        <v>16113</v>
      </c>
      <c r="X844" t="s">
        <v>16114</v>
      </c>
      <c r="Y844" t="s">
        <v>16115</v>
      </c>
      <c r="Z844" t="s">
        <v>16116</v>
      </c>
      <c r="AA844" t="s">
        <v>16117</v>
      </c>
      <c r="AB844" t="s">
        <v>16118</v>
      </c>
      <c r="AC844" t="s">
        <v>16119</v>
      </c>
      <c r="AD844" t="s">
        <v>16120</v>
      </c>
      <c r="AE844" t="s">
        <v>16121</v>
      </c>
      <c r="AF844" t="s">
        <v>74</v>
      </c>
      <c r="AG844">
        <v>82</v>
      </c>
      <c r="AH844">
        <v>108</v>
      </c>
      <c r="AI844">
        <v>116</v>
      </c>
      <c r="AJ844">
        <v>3</v>
      </c>
      <c r="AK844">
        <v>43</v>
      </c>
      <c r="AL844" t="s">
        <v>1159</v>
      </c>
      <c r="AM844" t="s">
        <v>704</v>
      </c>
      <c r="AN844" t="s">
        <v>2728</v>
      </c>
      <c r="AO844" t="s">
        <v>3280</v>
      </c>
      <c r="AP844" t="s">
        <v>74</v>
      </c>
      <c r="AQ844" t="s">
        <v>74</v>
      </c>
      <c r="AR844" t="s">
        <v>3281</v>
      </c>
      <c r="AS844" t="s">
        <v>3282</v>
      </c>
      <c r="AT844" t="s">
        <v>16085</v>
      </c>
      <c r="AU844">
        <v>2018</v>
      </c>
      <c r="AV844">
        <v>9</v>
      </c>
      <c r="AW844" t="s">
        <v>74</v>
      </c>
      <c r="AX844" t="s">
        <v>74</v>
      </c>
      <c r="AY844" t="s">
        <v>74</v>
      </c>
      <c r="AZ844" t="s">
        <v>74</v>
      </c>
      <c r="BA844" t="s">
        <v>74</v>
      </c>
      <c r="BB844" t="s">
        <v>74</v>
      </c>
      <c r="BC844" t="s">
        <v>74</v>
      </c>
      <c r="BD844">
        <v>2503</v>
      </c>
      <c r="BE844" t="s">
        <v>16122</v>
      </c>
      <c r="BF844" t="str">
        <f>HYPERLINK("http://dx.doi.org/10.1038/s41467-018-04876-4","http://dx.doi.org/10.1038/s41467-018-04876-4")</f>
        <v>http://dx.doi.org/10.1038/s41467-018-04876-4</v>
      </c>
      <c r="BG844" t="s">
        <v>74</v>
      </c>
      <c r="BH844" t="s">
        <v>74</v>
      </c>
      <c r="BI844">
        <v>12</v>
      </c>
      <c r="BJ844" t="s">
        <v>436</v>
      </c>
      <c r="BK844" t="s">
        <v>101</v>
      </c>
      <c r="BL844" t="s">
        <v>437</v>
      </c>
      <c r="BM844" t="s">
        <v>16123</v>
      </c>
      <c r="BN844">
        <v>29950652</v>
      </c>
      <c r="BO844" t="s">
        <v>439</v>
      </c>
      <c r="BP844" t="s">
        <v>74</v>
      </c>
      <c r="BQ844" t="s">
        <v>74</v>
      </c>
      <c r="BR844" t="s">
        <v>104</v>
      </c>
      <c r="BS844" t="s">
        <v>16124</v>
      </c>
      <c r="BT844" t="str">
        <f>HYPERLINK("https%3A%2F%2Fwww.webofscience.com%2Fwos%2Fwoscc%2Ffull-record%2FWOS:000436540700021","View Full Record in Web of Science")</f>
        <v>View Full Record in Web of Science</v>
      </c>
    </row>
    <row r="845" spans="1:72" x14ac:dyDescent="0.15">
      <c r="A845" t="s">
        <v>72</v>
      </c>
      <c r="B845" t="s">
        <v>16125</v>
      </c>
      <c r="C845" t="s">
        <v>74</v>
      </c>
      <c r="D845" t="s">
        <v>74</v>
      </c>
      <c r="E845" t="s">
        <v>74</v>
      </c>
      <c r="F845" t="s">
        <v>16126</v>
      </c>
      <c r="G845" t="s">
        <v>74</v>
      </c>
      <c r="H845" t="s">
        <v>74</v>
      </c>
      <c r="I845" t="s">
        <v>16127</v>
      </c>
      <c r="J845" t="s">
        <v>4315</v>
      </c>
      <c r="K845" t="s">
        <v>74</v>
      </c>
      <c r="L845" t="s">
        <v>74</v>
      </c>
      <c r="M845" t="s">
        <v>78</v>
      </c>
      <c r="N845" t="s">
        <v>79</v>
      </c>
      <c r="O845" t="s">
        <v>74</v>
      </c>
      <c r="P845" t="s">
        <v>74</v>
      </c>
      <c r="Q845" t="s">
        <v>74</v>
      </c>
      <c r="R845" t="s">
        <v>74</v>
      </c>
      <c r="S845" t="s">
        <v>74</v>
      </c>
      <c r="T845" t="s">
        <v>16128</v>
      </c>
      <c r="U845" t="s">
        <v>16129</v>
      </c>
      <c r="V845" t="s">
        <v>16130</v>
      </c>
      <c r="W845" t="s">
        <v>16131</v>
      </c>
      <c r="X845" t="s">
        <v>8676</v>
      </c>
      <c r="Y845" t="s">
        <v>8677</v>
      </c>
      <c r="Z845" t="s">
        <v>16132</v>
      </c>
      <c r="AA845" t="s">
        <v>74</v>
      </c>
      <c r="AB845" t="s">
        <v>8680</v>
      </c>
      <c r="AC845" t="s">
        <v>16133</v>
      </c>
      <c r="AD845" t="s">
        <v>16133</v>
      </c>
      <c r="AE845" t="s">
        <v>16134</v>
      </c>
      <c r="AF845" t="s">
        <v>74</v>
      </c>
      <c r="AG845">
        <v>46</v>
      </c>
      <c r="AH845">
        <v>2</v>
      </c>
      <c r="AI845">
        <v>2</v>
      </c>
      <c r="AJ845">
        <v>0</v>
      </c>
      <c r="AK845">
        <v>3</v>
      </c>
      <c r="AL845" t="s">
        <v>4328</v>
      </c>
      <c r="AM845" t="s">
        <v>4329</v>
      </c>
      <c r="AN845" t="s">
        <v>4330</v>
      </c>
      <c r="AO845" t="s">
        <v>4331</v>
      </c>
      <c r="AP845" t="s">
        <v>4332</v>
      </c>
      <c r="AQ845" t="s">
        <v>74</v>
      </c>
      <c r="AR845" t="s">
        <v>4315</v>
      </c>
      <c r="AS845" t="s">
        <v>4333</v>
      </c>
      <c r="AT845" t="s">
        <v>16135</v>
      </c>
      <c r="AU845">
        <v>2018</v>
      </c>
      <c r="AV845">
        <v>4441</v>
      </c>
      <c r="AW845">
        <v>1</v>
      </c>
      <c r="AX845" t="s">
        <v>74</v>
      </c>
      <c r="AY845" t="s">
        <v>74</v>
      </c>
      <c r="AZ845" t="s">
        <v>74</v>
      </c>
      <c r="BA845" t="s">
        <v>74</v>
      </c>
      <c r="BB845">
        <v>121</v>
      </c>
      <c r="BC845">
        <v>136</v>
      </c>
      <c r="BD845" t="s">
        <v>74</v>
      </c>
      <c r="BE845" t="s">
        <v>16136</v>
      </c>
      <c r="BF845" t="str">
        <f>HYPERLINK("http://dx.doi.org/10.11646/zootaxa.4441.1.7","http://dx.doi.org/10.11646/zootaxa.4441.1.7")</f>
        <v>http://dx.doi.org/10.11646/zootaxa.4441.1.7</v>
      </c>
      <c r="BG845" t="s">
        <v>74</v>
      </c>
      <c r="BH845" t="s">
        <v>74</v>
      </c>
      <c r="BI845">
        <v>16</v>
      </c>
      <c r="BJ845" t="s">
        <v>2343</v>
      </c>
      <c r="BK845" t="s">
        <v>101</v>
      </c>
      <c r="BL845" t="s">
        <v>2343</v>
      </c>
      <c r="BM845" t="s">
        <v>16137</v>
      </c>
      <c r="BN845">
        <v>30314024</v>
      </c>
      <c r="BO845" t="s">
        <v>74</v>
      </c>
      <c r="BP845" t="s">
        <v>74</v>
      </c>
      <c r="BQ845" t="s">
        <v>74</v>
      </c>
      <c r="BR845" t="s">
        <v>104</v>
      </c>
      <c r="BS845" t="s">
        <v>16138</v>
      </c>
      <c r="BT845" t="str">
        <f>HYPERLINK("https%3A%2F%2Fwww.webofscience.com%2Fwos%2Fwoscc%2Ffull-record%2FWOS:000436073900007","View Full Record in Web of Science")</f>
        <v>View Full Record in Web of Science</v>
      </c>
    </row>
    <row r="846" spans="1:72" x14ac:dyDescent="0.15">
      <c r="A846" t="s">
        <v>72</v>
      </c>
      <c r="B846" t="s">
        <v>16139</v>
      </c>
      <c r="C846" t="s">
        <v>74</v>
      </c>
      <c r="D846" t="s">
        <v>74</v>
      </c>
      <c r="E846" t="s">
        <v>74</v>
      </c>
      <c r="F846" t="s">
        <v>16140</v>
      </c>
      <c r="G846" t="s">
        <v>74</v>
      </c>
      <c r="H846" t="s">
        <v>74</v>
      </c>
      <c r="I846" t="s">
        <v>16141</v>
      </c>
      <c r="J846" t="s">
        <v>8366</v>
      </c>
      <c r="K846" t="s">
        <v>74</v>
      </c>
      <c r="L846" t="s">
        <v>74</v>
      </c>
      <c r="M846" t="s">
        <v>78</v>
      </c>
      <c r="N846" t="s">
        <v>79</v>
      </c>
      <c r="O846" t="s">
        <v>74</v>
      </c>
      <c r="P846" t="s">
        <v>74</v>
      </c>
      <c r="Q846" t="s">
        <v>74</v>
      </c>
      <c r="R846" t="s">
        <v>74</v>
      </c>
      <c r="S846" t="s">
        <v>74</v>
      </c>
      <c r="T846" t="s">
        <v>16142</v>
      </c>
      <c r="U846" t="s">
        <v>16143</v>
      </c>
      <c r="V846" t="s">
        <v>16144</v>
      </c>
      <c r="W846" t="s">
        <v>16145</v>
      </c>
      <c r="X846" t="s">
        <v>16146</v>
      </c>
      <c r="Y846" t="s">
        <v>16147</v>
      </c>
      <c r="Z846" t="s">
        <v>16148</v>
      </c>
      <c r="AA846" t="s">
        <v>16149</v>
      </c>
      <c r="AB846" t="s">
        <v>16150</v>
      </c>
      <c r="AC846" t="s">
        <v>16151</v>
      </c>
      <c r="AD846" t="s">
        <v>16152</v>
      </c>
      <c r="AE846" t="s">
        <v>16153</v>
      </c>
      <c r="AF846" t="s">
        <v>74</v>
      </c>
      <c r="AG846">
        <v>37</v>
      </c>
      <c r="AH846">
        <v>1</v>
      </c>
      <c r="AI846">
        <v>1</v>
      </c>
      <c r="AJ846">
        <v>3</v>
      </c>
      <c r="AK846">
        <v>8</v>
      </c>
      <c r="AL846" t="s">
        <v>4328</v>
      </c>
      <c r="AM846" t="s">
        <v>4329</v>
      </c>
      <c r="AN846" t="s">
        <v>4330</v>
      </c>
      <c r="AO846" t="s">
        <v>8376</v>
      </c>
      <c r="AP846" t="s">
        <v>8377</v>
      </c>
      <c r="AQ846" t="s">
        <v>74</v>
      </c>
      <c r="AR846" t="s">
        <v>8366</v>
      </c>
      <c r="AS846" t="s">
        <v>8378</v>
      </c>
      <c r="AT846" t="s">
        <v>16135</v>
      </c>
      <c r="AU846">
        <v>2018</v>
      </c>
      <c r="AV846">
        <v>357</v>
      </c>
      <c r="AW846">
        <v>3</v>
      </c>
      <c r="AX846" t="s">
        <v>74</v>
      </c>
      <c r="AY846" t="s">
        <v>74</v>
      </c>
      <c r="AZ846" t="s">
        <v>74</v>
      </c>
      <c r="BA846" t="s">
        <v>74</v>
      </c>
      <c r="BB846">
        <v>179</v>
      </c>
      <c r="BC846">
        <v>188</v>
      </c>
      <c r="BD846" t="s">
        <v>74</v>
      </c>
      <c r="BE846" t="s">
        <v>16154</v>
      </c>
      <c r="BF846" t="str">
        <f>HYPERLINK("http://dx.doi.org/10.11646/phytotaxa.357.3.2","http://dx.doi.org/10.11646/phytotaxa.357.3.2")</f>
        <v>http://dx.doi.org/10.11646/phytotaxa.357.3.2</v>
      </c>
      <c r="BG846" t="s">
        <v>74</v>
      </c>
      <c r="BH846" t="s">
        <v>74</v>
      </c>
      <c r="BI846">
        <v>10</v>
      </c>
      <c r="BJ846" t="s">
        <v>237</v>
      </c>
      <c r="BK846" t="s">
        <v>101</v>
      </c>
      <c r="BL846" t="s">
        <v>237</v>
      </c>
      <c r="BM846" t="s">
        <v>16155</v>
      </c>
      <c r="BN846" t="s">
        <v>74</v>
      </c>
      <c r="BO846" t="s">
        <v>74</v>
      </c>
      <c r="BP846" t="s">
        <v>74</v>
      </c>
      <c r="BQ846" t="s">
        <v>74</v>
      </c>
      <c r="BR846" t="s">
        <v>104</v>
      </c>
      <c r="BS846" t="s">
        <v>16156</v>
      </c>
      <c r="BT846" t="str">
        <f>HYPERLINK("https%3A%2F%2Fwww.webofscience.com%2Fwos%2Fwoscc%2Ffull-record%2FWOS:000436180200002","View Full Record in Web of Science")</f>
        <v>View Full Record in Web of Science</v>
      </c>
    </row>
    <row r="847" spans="1:72" x14ac:dyDescent="0.15">
      <c r="A847" t="s">
        <v>72</v>
      </c>
      <c r="B847" t="s">
        <v>16157</v>
      </c>
      <c r="C847" t="s">
        <v>74</v>
      </c>
      <c r="D847" t="s">
        <v>74</v>
      </c>
      <c r="E847" t="s">
        <v>74</v>
      </c>
      <c r="F847" t="s">
        <v>16158</v>
      </c>
      <c r="G847" t="s">
        <v>74</v>
      </c>
      <c r="H847" t="s">
        <v>74</v>
      </c>
      <c r="I847" t="s">
        <v>16159</v>
      </c>
      <c r="J847" t="s">
        <v>4509</v>
      </c>
      <c r="K847" t="s">
        <v>74</v>
      </c>
      <c r="L847" t="s">
        <v>74</v>
      </c>
      <c r="M847" t="s">
        <v>78</v>
      </c>
      <c r="N847" t="s">
        <v>79</v>
      </c>
      <c r="O847" t="s">
        <v>74</v>
      </c>
      <c r="P847" t="s">
        <v>74</v>
      </c>
      <c r="Q847" t="s">
        <v>74</v>
      </c>
      <c r="R847" t="s">
        <v>74</v>
      </c>
      <c r="S847" t="s">
        <v>74</v>
      </c>
      <c r="T847" t="s">
        <v>16160</v>
      </c>
      <c r="U847" t="s">
        <v>16161</v>
      </c>
      <c r="V847" t="s">
        <v>16162</v>
      </c>
      <c r="W847" t="s">
        <v>16163</v>
      </c>
      <c r="X847" t="s">
        <v>16164</v>
      </c>
      <c r="Y847" t="s">
        <v>16165</v>
      </c>
      <c r="Z847" t="s">
        <v>16166</v>
      </c>
      <c r="AA847" t="s">
        <v>16167</v>
      </c>
      <c r="AB847" t="s">
        <v>16168</v>
      </c>
      <c r="AC847" t="s">
        <v>16169</v>
      </c>
      <c r="AD847" t="s">
        <v>16170</v>
      </c>
      <c r="AE847" t="s">
        <v>16171</v>
      </c>
      <c r="AF847" t="s">
        <v>74</v>
      </c>
      <c r="AG847">
        <v>49</v>
      </c>
      <c r="AH847">
        <v>27</v>
      </c>
      <c r="AI847">
        <v>28</v>
      </c>
      <c r="AJ847">
        <v>0</v>
      </c>
      <c r="AK847">
        <v>13</v>
      </c>
      <c r="AL847" t="s">
        <v>4517</v>
      </c>
      <c r="AM847" t="s">
        <v>504</v>
      </c>
      <c r="AN847" t="s">
        <v>4518</v>
      </c>
      <c r="AO847" t="s">
        <v>4519</v>
      </c>
      <c r="AP847" t="s">
        <v>74</v>
      </c>
      <c r="AQ847" t="s">
        <v>74</v>
      </c>
      <c r="AR847" t="s">
        <v>4520</v>
      </c>
      <c r="AS847" t="s">
        <v>4521</v>
      </c>
      <c r="AT847" t="s">
        <v>16135</v>
      </c>
      <c r="AU847">
        <v>2018</v>
      </c>
      <c r="AV847">
        <v>115</v>
      </c>
      <c r="AW847">
        <v>26</v>
      </c>
      <c r="AX847" t="s">
        <v>74</v>
      </c>
      <c r="AY847" t="s">
        <v>74</v>
      </c>
      <c r="AZ847" t="s">
        <v>74</v>
      </c>
      <c r="BA847" t="s">
        <v>74</v>
      </c>
      <c r="BB847">
        <v>6608</v>
      </c>
      <c r="BC847">
        <v>6613</v>
      </c>
      <c r="BD847" t="s">
        <v>74</v>
      </c>
      <c r="BE847" t="s">
        <v>16172</v>
      </c>
      <c r="BF847" t="str">
        <f>HYPERLINK("http://dx.doi.org/10.1073/pnas.1720167115","http://dx.doi.org/10.1073/pnas.1720167115")</f>
        <v>http://dx.doi.org/10.1073/pnas.1720167115</v>
      </c>
      <c r="BG847" t="s">
        <v>74</v>
      </c>
      <c r="BH847" t="s">
        <v>74</v>
      </c>
      <c r="BI847">
        <v>6</v>
      </c>
      <c r="BJ847" t="s">
        <v>436</v>
      </c>
      <c r="BK847" t="s">
        <v>101</v>
      </c>
      <c r="BL847" t="s">
        <v>437</v>
      </c>
      <c r="BM847" t="s">
        <v>16173</v>
      </c>
      <c r="BN847">
        <v>29891720</v>
      </c>
      <c r="BO847" t="s">
        <v>7773</v>
      </c>
      <c r="BP847" t="s">
        <v>74</v>
      </c>
      <c r="BQ847" t="s">
        <v>74</v>
      </c>
      <c r="BR847" t="s">
        <v>104</v>
      </c>
      <c r="BS847" t="s">
        <v>16174</v>
      </c>
      <c r="BT847" t="str">
        <f>HYPERLINK("https%3A%2F%2Fwww.webofscience.com%2Fwos%2Fwoscc%2Ffull-record%2FWOS:000436245000053","View Full Record in Web of Science")</f>
        <v>View Full Record in Web of Science</v>
      </c>
    </row>
    <row r="848" spans="1:72" x14ac:dyDescent="0.15">
      <c r="A848" t="s">
        <v>72</v>
      </c>
      <c r="B848" t="s">
        <v>16175</v>
      </c>
      <c r="C848" t="s">
        <v>74</v>
      </c>
      <c r="D848" t="s">
        <v>74</v>
      </c>
      <c r="E848" t="s">
        <v>74</v>
      </c>
      <c r="F848" t="s">
        <v>16176</v>
      </c>
      <c r="G848" t="s">
        <v>74</v>
      </c>
      <c r="H848" t="s">
        <v>74</v>
      </c>
      <c r="I848" t="s">
        <v>16177</v>
      </c>
      <c r="J848" t="s">
        <v>4530</v>
      </c>
      <c r="K848" t="s">
        <v>74</v>
      </c>
      <c r="L848" t="s">
        <v>74</v>
      </c>
      <c r="M848" t="s">
        <v>78</v>
      </c>
      <c r="N848" t="s">
        <v>418</v>
      </c>
      <c r="O848" t="s">
        <v>74</v>
      </c>
      <c r="P848" t="s">
        <v>74</v>
      </c>
      <c r="Q848" t="s">
        <v>74</v>
      </c>
      <c r="R848" t="s">
        <v>74</v>
      </c>
      <c r="S848" t="s">
        <v>74</v>
      </c>
      <c r="T848" t="s">
        <v>74</v>
      </c>
      <c r="U848" t="s">
        <v>16178</v>
      </c>
      <c r="V848" t="s">
        <v>16179</v>
      </c>
      <c r="W848" t="s">
        <v>16180</v>
      </c>
      <c r="X848" t="s">
        <v>16181</v>
      </c>
      <c r="Y848" t="s">
        <v>16182</v>
      </c>
      <c r="Z848" t="s">
        <v>16183</v>
      </c>
      <c r="AA848" t="s">
        <v>16184</v>
      </c>
      <c r="AB848" t="s">
        <v>16185</v>
      </c>
      <c r="AC848" t="s">
        <v>16186</v>
      </c>
      <c r="AD848" t="s">
        <v>16187</v>
      </c>
      <c r="AE848" t="s">
        <v>16188</v>
      </c>
      <c r="AF848" t="s">
        <v>74</v>
      </c>
      <c r="AG848">
        <v>20</v>
      </c>
      <c r="AH848">
        <v>24</v>
      </c>
      <c r="AI848">
        <v>28</v>
      </c>
      <c r="AJ848">
        <v>1</v>
      </c>
      <c r="AK848">
        <v>39</v>
      </c>
      <c r="AL848" t="s">
        <v>1159</v>
      </c>
      <c r="AM848" t="s">
        <v>704</v>
      </c>
      <c r="AN848" t="s">
        <v>2728</v>
      </c>
      <c r="AO848" t="s">
        <v>74</v>
      </c>
      <c r="AP848" t="s">
        <v>4542</v>
      </c>
      <c r="AQ848" t="s">
        <v>74</v>
      </c>
      <c r="AR848" t="s">
        <v>4543</v>
      </c>
      <c r="AS848" t="s">
        <v>4544</v>
      </c>
      <c r="AT848" t="s">
        <v>16135</v>
      </c>
      <c r="AU848">
        <v>2018</v>
      </c>
      <c r="AV848">
        <v>5</v>
      </c>
      <c r="AW848" t="s">
        <v>74</v>
      </c>
      <c r="AX848" t="s">
        <v>74</v>
      </c>
      <c r="AY848" t="s">
        <v>74</v>
      </c>
      <c r="AZ848" t="s">
        <v>74</v>
      </c>
      <c r="BA848" t="s">
        <v>74</v>
      </c>
      <c r="BB848" t="s">
        <v>74</v>
      </c>
      <c r="BC848" t="s">
        <v>74</v>
      </c>
      <c r="BD848">
        <v>180124</v>
      </c>
      <c r="BE848" t="s">
        <v>16189</v>
      </c>
      <c r="BF848" t="str">
        <f>HYPERLINK("http://dx.doi.org/10.1038/sdata.2018.124","http://dx.doi.org/10.1038/sdata.2018.124")</f>
        <v>http://dx.doi.org/10.1038/sdata.2018.124</v>
      </c>
      <c r="BG848" t="s">
        <v>74</v>
      </c>
      <c r="BH848" t="s">
        <v>74</v>
      </c>
      <c r="BI848">
        <v>13</v>
      </c>
      <c r="BJ848" t="s">
        <v>436</v>
      </c>
      <c r="BK848" t="s">
        <v>101</v>
      </c>
      <c r="BL848" t="s">
        <v>437</v>
      </c>
      <c r="BM848" t="s">
        <v>16190</v>
      </c>
      <c r="BN848">
        <v>29944146</v>
      </c>
      <c r="BO848" t="s">
        <v>439</v>
      </c>
      <c r="BP848" t="s">
        <v>74</v>
      </c>
      <c r="BQ848" t="s">
        <v>74</v>
      </c>
      <c r="BR848" t="s">
        <v>104</v>
      </c>
      <c r="BS848" t="s">
        <v>16191</v>
      </c>
      <c r="BT848" t="str">
        <f>HYPERLINK("https%3A%2F%2Fwww.webofscience.com%2Fwos%2Fwoscc%2Ffull-record%2FWOS:000436238100002","View Full Record in Web of Science")</f>
        <v>View Full Record in Web of Science</v>
      </c>
    </row>
    <row r="849" spans="1:72" x14ac:dyDescent="0.15">
      <c r="A849" t="s">
        <v>72</v>
      </c>
      <c r="B849" t="s">
        <v>16192</v>
      </c>
      <c r="C849" t="s">
        <v>74</v>
      </c>
      <c r="D849" t="s">
        <v>74</v>
      </c>
      <c r="E849" t="s">
        <v>74</v>
      </c>
      <c r="F849" t="s">
        <v>16193</v>
      </c>
      <c r="G849" t="s">
        <v>74</v>
      </c>
      <c r="H849" t="s">
        <v>74</v>
      </c>
      <c r="I849" t="s">
        <v>16194</v>
      </c>
      <c r="J849" t="s">
        <v>16195</v>
      </c>
      <c r="K849" t="s">
        <v>74</v>
      </c>
      <c r="L849" t="s">
        <v>74</v>
      </c>
      <c r="M849" t="s">
        <v>78</v>
      </c>
      <c r="N849" t="s">
        <v>79</v>
      </c>
      <c r="O849" t="s">
        <v>74</v>
      </c>
      <c r="P849" t="s">
        <v>74</v>
      </c>
      <c r="Q849" t="s">
        <v>74</v>
      </c>
      <c r="R849" t="s">
        <v>74</v>
      </c>
      <c r="S849" t="s">
        <v>74</v>
      </c>
      <c r="T849" t="s">
        <v>16196</v>
      </c>
      <c r="U849" t="s">
        <v>16197</v>
      </c>
      <c r="V849" t="s">
        <v>16198</v>
      </c>
      <c r="W849" t="s">
        <v>16199</v>
      </c>
      <c r="X849" t="s">
        <v>16200</v>
      </c>
      <c r="Y849" t="s">
        <v>16201</v>
      </c>
      <c r="Z849" t="s">
        <v>16202</v>
      </c>
      <c r="AA849" t="s">
        <v>16203</v>
      </c>
      <c r="AB849" t="s">
        <v>16204</v>
      </c>
      <c r="AC849" t="s">
        <v>16205</v>
      </c>
      <c r="AD849" t="s">
        <v>16206</v>
      </c>
      <c r="AE849" t="s">
        <v>16207</v>
      </c>
      <c r="AF849" t="s">
        <v>74</v>
      </c>
      <c r="AG849">
        <v>17</v>
      </c>
      <c r="AH849">
        <v>1</v>
      </c>
      <c r="AI849">
        <v>1</v>
      </c>
      <c r="AJ849">
        <v>0</v>
      </c>
      <c r="AK849">
        <v>0</v>
      </c>
      <c r="AL849" t="s">
        <v>3514</v>
      </c>
      <c r="AM849" t="s">
        <v>704</v>
      </c>
      <c r="AN849" t="s">
        <v>3515</v>
      </c>
      <c r="AO849" t="s">
        <v>16208</v>
      </c>
      <c r="AP849" t="s">
        <v>74</v>
      </c>
      <c r="AQ849" t="s">
        <v>74</v>
      </c>
      <c r="AR849" t="s">
        <v>16209</v>
      </c>
      <c r="AS849" t="s">
        <v>16210</v>
      </c>
      <c r="AT849" t="s">
        <v>16211</v>
      </c>
      <c r="AU849">
        <v>2018</v>
      </c>
      <c r="AV849">
        <v>18</v>
      </c>
      <c r="AW849" t="s">
        <v>74</v>
      </c>
      <c r="AX849" t="s">
        <v>74</v>
      </c>
      <c r="AY849" t="s">
        <v>74</v>
      </c>
      <c r="AZ849" t="s">
        <v>74</v>
      </c>
      <c r="BA849" t="s">
        <v>74</v>
      </c>
      <c r="BB849" t="s">
        <v>74</v>
      </c>
      <c r="BC849" t="s">
        <v>74</v>
      </c>
      <c r="BD849">
        <v>149</v>
      </c>
      <c r="BE849" t="s">
        <v>16212</v>
      </c>
      <c r="BF849" t="str">
        <f>HYPERLINK("http://dx.doi.org/10.1186/s12886-018-0816-0","http://dx.doi.org/10.1186/s12886-018-0816-0")</f>
        <v>http://dx.doi.org/10.1186/s12886-018-0816-0</v>
      </c>
      <c r="BG849" t="s">
        <v>74</v>
      </c>
      <c r="BH849" t="s">
        <v>74</v>
      </c>
      <c r="BI849">
        <v>8</v>
      </c>
      <c r="BJ849" t="s">
        <v>16213</v>
      </c>
      <c r="BK849" t="s">
        <v>101</v>
      </c>
      <c r="BL849" t="s">
        <v>16213</v>
      </c>
      <c r="BM849" t="s">
        <v>16214</v>
      </c>
      <c r="BN849">
        <v>29940901</v>
      </c>
      <c r="BO849" t="s">
        <v>103</v>
      </c>
      <c r="BP849" t="s">
        <v>74</v>
      </c>
      <c r="BQ849" t="s">
        <v>74</v>
      </c>
      <c r="BR849" t="s">
        <v>104</v>
      </c>
      <c r="BS849" t="s">
        <v>16215</v>
      </c>
      <c r="BT849" t="str">
        <f>HYPERLINK("https%3A%2F%2Fwww.webofscience.com%2Fwos%2Fwoscc%2Ffull-record%2FWOS:000436507700001","View Full Record in Web of Science")</f>
        <v>View Full Record in Web of Science</v>
      </c>
    </row>
    <row r="850" spans="1:72" x14ac:dyDescent="0.15">
      <c r="A850" t="s">
        <v>72</v>
      </c>
      <c r="B850" t="s">
        <v>16216</v>
      </c>
      <c r="C850" t="s">
        <v>74</v>
      </c>
      <c r="D850" t="s">
        <v>74</v>
      </c>
      <c r="E850" t="s">
        <v>74</v>
      </c>
      <c r="F850" t="s">
        <v>16217</v>
      </c>
      <c r="G850" t="s">
        <v>74</v>
      </c>
      <c r="H850" t="s">
        <v>74</v>
      </c>
      <c r="I850" t="s">
        <v>16218</v>
      </c>
      <c r="J850" t="s">
        <v>3387</v>
      </c>
      <c r="K850" t="s">
        <v>74</v>
      </c>
      <c r="L850" t="s">
        <v>74</v>
      </c>
      <c r="M850" t="s">
        <v>78</v>
      </c>
      <c r="N850" t="s">
        <v>79</v>
      </c>
      <c r="O850" t="s">
        <v>74</v>
      </c>
      <c r="P850" t="s">
        <v>74</v>
      </c>
      <c r="Q850" t="s">
        <v>74</v>
      </c>
      <c r="R850" t="s">
        <v>74</v>
      </c>
      <c r="S850" t="s">
        <v>74</v>
      </c>
      <c r="T850" t="s">
        <v>74</v>
      </c>
      <c r="U850" t="s">
        <v>16219</v>
      </c>
      <c r="V850" t="s">
        <v>16220</v>
      </c>
      <c r="W850" t="s">
        <v>16221</v>
      </c>
      <c r="X850" t="s">
        <v>16222</v>
      </c>
      <c r="Y850" t="s">
        <v>16223</v>
      </c>
      <c r="Z850" t="s">
        <v>11889</v>
      </c>
      <c r="AA850" t="s">
        <v>16224</v>
      </c>
      <c r="AB850" t="s">
        <v>16225</v>
      </c>
      <c r="AC850" t="s">
        <v>16226</v>
      </c>
      <c r="AD850" t="s">
        <v>16227</v>
      </c>
      <c r="AE850" t="s">
        <v>16228</v>
      </c>
      <c r="AF850" t="s">
        <v>74</v>
      </c>
      <c r="AG850">
        <v>74</v>
      </c>
      <c r="AH850">
        <v>14</v>
      </c>
      <c r="AI850">
        <v>14</v>
      </c>
      <c r="AJ850">
        <v>0</v>
      </c>
      <c r="AK850">
        <v>3</v>
      </c>
      <c r="AL850" t="s">
        <v>3353</v>
      </c>
      <c r="AM850" t="s">
        <v>3354</v>
      </c>
      <c r="AN850" t="s">
        <v>3355</v>
      </c>
      <c r="AO850" t="s">
        <v>3399</v>
      </c>
      <c r="AP850" t="s">
        <v>3400</v>
      </c>
      <c r="AQ850" t="s">
        <v>74</v>
      </c>
      <c r="AR850" t="s">
        <v>3401</v>
      </c>
      <c r="AS850" t="s">
        <v>3402</v>
      </c>
      <c r="AT850" t="s">
        <v>16211</v>
      </c>
      <c r="AU850">
        <v>2018</v>
      </c>
      <c r="AV850">
        <v>18</v>
      </c>
      <c r="AW850">
        <v>12</v>
      </c>
      <c r="AX850" t="s">
        <v>74</v>
      </c>
      <c r="AY850" t="s">
        <v>74</v>
      </c>
      <c r="AZ850" t="s">
        <v>74</v>
      </c>
      <c r="BA850" t="s">
        <v>74</v>
      </c>
      <c r="BB850">
        <v>8873</v>
      </c>
      <c r="BC850">
        <v>8892</v>
      </c>
      <c r="BD850" t="s">
        <v>74</v>
      </c>
      <c r="BE850" t="s">
        <v>16229</v>
      </c>
      <c r="BF850" t="str">
        <f>HYPERLINK("http://dx.doi.org/10.5194/acp-18-8873-2018","http://dx.doi.org/10.5194/acp-18-8873-2018")</f>
        <v>http://dx.doi.org/10.5194/acp-18-8873-2018</v>
      </c>
      <c r="BG850" t="s">
        <v>74</v>
      </c>
      <c r="BH850" t="s">
        <v>74</v>
      </c>
      <c r="BI850">
        <v>20</v>
      </c>
      <c r="BJ850" t="s">
        <v>317</v>
      </c>
      <c r="BK850" t="s">
        <v>101</v>
      </c>
      <c r="BL850" t="s">
        <v>318</v>
      </c>
      <c r="BM850" t="s">
        <v>16230</v>
      </c>
      <c r="BN850" t="s">
        <v>74</v>
      </c>
      <c r="BO850" t="s">
        <v>2647</v>
      </c>
      <c r="BP850" t="s">
        <v>74</v>
      </c>
      <c r="BQ850" t="s">
        <v>74</v>
      </c>
      <c r="BR850" t="s">
        <v>104</v>
      </c>
      <c r="BS850" t="s">
        <v>16231</v>
      </c>
      <c r="BT850" t="str">
        <f>HYPERLINK("https%3A%2F%2Fwww.webofscience.com%2Fwos%2Fwoscc%2Ffull-record%2FWOS:000436135900001","View Full Record in Web of Science")</f>
        <v>View Full Record in Web of Science</v>
      </c>
    </row>
    <row r="851" spans="1:72" x14ac:dyDescent="0.15">
      <c r="A851" t="s">
        <v>72</v>
      </c>
      <c r="B851" t="s">
        <v>16232</v>
      </c>
      <c r="C851" t="s">
        <v>74</v>
      </c>
      <c r="D851" t="s">
        <v>74</v>
      </c>
      <c r="E851" t="s">
        <v>74</v>
      </c>
      <c r="F851" t="s">
        <v>16233</v>
      </c>
      <c r="G851" t="s">
        <v>74</v>
      </c>
      <c r="H851" t="s">
        <v>74</v>
      </c>
      <c r="I851" t="s">
        <v>16234</v>
      </c>
      <c r="J851" t="s">
        <v>4109</v>
      </c>
      <c r="K851" t="s">
        <v>74</v>
      </c>
      <c r="L851" t="s">
        <v>74</v>
      </c>
      <c r="M851" t="s">
        <v>78</v>
      </c>
      <c r="N851" t="s">
        <v>79</v>
      </c>
      <c r="O851" t="s">
        <v>74</v>
      </c>
      <c r="P851" t="s">
        <v>74</v>
      </c>
      <c r="Q851" t="s">
        <v>74</v>
      </c>
      <c r="R851" t="s">
        <v>74</v>
      </c>
      <c r="S851" t="s">
        <v>74</v>
      </c>
      <c r="T851" t="s">
        <v>74</v>
      </c>
      <c r="U851" t="s">
        <v>16235</v>
      </c>
      <c r="V851" t="s">
        <v>16236</v>
      </c>
      <c r="W851" t="s">
        <v>16237</v>
      </c>
      <c r="X851" t="s">
        <v>16238</v>
      </c>
      <c r="Y851" t="s">
        <v>16239</v>
      </c>
      <c r="Z851" t="s">
        <v>16240</v>
      </c>
      <c r="AA851" t="s">
        <v>16241</v>
      </c>
      <c r="AB851" t="s">
        <v>16242</v>
      </c>
      <c r="AC851" t="s">
        <v>16243</v>
      </c>
      <c r="AD851" t="s">
        <v>16244</v>
      </c>
      <c r="AE851" t="s">
        <v>16245</v>
      </c>
      <c r="AF851" t="s">
        <v>74</v>
      </c>
      <c r="AG851">
        <v>91</v>
      </c>
      <c r="AH851">
        <v>33</v>
      </c>
      <c r="AI851">
        <v>37</v>
      </c>
      <c r="AJ851">
        <v>1</v>
      </c>
      <c r="AK851">
        <v>28</v>
      </c>
      <c r="AL851" t="s">
        <v>1130</v>
      </c>
      <c r="AM851" t="s">
        <v>1131</v>
      </c>
      <c r="AN851" t="s">
        <v>1132</v>
      </c>
      <c r="AO851" t="s">
        <v>4121</v>
      </c>
      <c r="AP851" t="s">
        <v>74</v>
      </c>
      <c r="AQ851" t="s">
        <v>74</v>
      </c>
      <c r="AR851" t="s">
        <v>4122</v>
      </c>
      <c r="AS851" t="s">
        <v>4123</v>
      </c>
      <c r="AT851" t="s">
        <v>16246</v>
      </c>
      <c r="AU851">
        <v>2018</v>
      </c>
      <c r="AV851">
        <v>8</v>
      </c>
      <c r="AW851" t="s">
        <v>74</v>
      </c>
      <c r="AX851" t="s">
        <v>74</v>
      </c>
      <c r="AY851" t="s">
        <v>74</v>
      </c>
      <c r="AZ851" t="s">
        <v>74</v>
      </c>
      <c r="BA851" t="s">
        <v>74</v>
      </c>
      <c r="BB851" t="s">
        <v>74</v>
      </c>
      <c r="BC851" t="s">
        <v>74</v>
      </c>
      <c r="BD851">
        <v>9558</v>
      </c>
      <c r="BE851" t="s">
        <v>16247</v>
      </c>
      <c r="BF851" t="str">
        <f>HYPERLINK("http://dx.doi.org/10.1038/s41598-018-27351-y","http://dx.doi.org/10.1038/s41598-018-27351-y")</f>
        <v>http://dx.doi.org/10.1038/s41598-018-27351-y</v>
      </c>
      <c r="BG851" t="s">
        <v>74</v>
      </c>
      <c r="BH851" t="s">
        <v>74</v>
      </c>
      <c r="BI851">
        <v>12</v>
      </c>
      <c r="BJ851" t="s">
        <v>436</v>
      </c>
      <c r="BK851" t="s">
        <v>101</v>
      </c>
      <c r="BL851" t="s">
        <v>437</v>
      </c>
      <c r="BM851" t="s">
        <v>16248</v>
      </c>
      <c r="BN851">
        <v>29934542</v>
      </c>
      <c r="BO851" t="s">
        <v>4275</v>
      </c>
      <c r="BP851" t="s">
        <v>74</v>
      </c>
      <c r="BQ851" t="s">
        <v>74</v>
      </c>
      <c r="BR851" t="s">
        <v>104</v>
      </c>
      <c r="BS851" t="s">
        <v>16249</v>
      </c>
      <c r="BT851" t="str">
        <f>HYPERLINK("https%3A%2F%2Fwww.webofscience.com%2Fwos%2Fwoscc%2Ffull-record%2FWOS:000436047000001","View Full Record in Web of Science")</f>
        <v>View Full Record in Web of Science</v>
      </c>
    </row>
    <row r="852" spans="1:72" x14ac:dyDescent="0.15">
      <c r="A852" t="s">
        <v>72</v>
      </c>
      <c r="B852" t="s">
        <v>16250</v>
      </c>
      <c r="C852" t="s">
        <v>74</v>
      </c>
      <c r="D852" t="s">
        <v>74</v>
      </c>
      <c r="E852" t="s">
        <v>74</v>
      </c>
      <c r="F852" t="s">
        <v>16251</v>
      </c>
      <c r="G852" t="s">
        <v>74</v>
      </c>
      <c r="H852" t="s">
        <v>74</v>
      </c>
      <c r="I852" t="s">
        <v>16252</v>
      </c>
      <c r="J852" t="s">
        <v>3268</v>
      </c>
      <c r="K852" t="s">
        <v>74</v>
      </c>
      <c r="L852" t="s">
        <v>74</v>
      </c>
      <c r="M852" t="s">
        <v>78</v>
      </c>
      <c r="N852" t="s">
        <v>79</v>
      </c>
      <c r="O852" t="s">
        <v>74</v>
      </c>
      <c r="P852" t="s">
        <v>74</v>
      </c>
      <c r="Q852" t="s">
        <v>74</v>
      </c>
      <c r="R852" t="s">
        <v>74</v>
      </c>
      <c r="S852" t="s">
        <v>74</v>
      </c>
      <c r="T852" t="s">
        <v>74</v>
      </c>
      <c r="U852" t="s">
        <v>16253</v>
      </c>
      <c r="V852" t="s">
        <v>16254</v>
      </c>
      <c r="W852" t="s">
        <v>16255</v>
      </c>
      <c r="X852" t="s">
        <v>16256</v>
      </c>
      <c r="Y852" t="s">
        <v>16257</v>
      </c>
      <c r="Z852" t="s">
        <v>16258</v>
      </c>
      <c r="AA852" t="s">
        <v>16259</v>
      </c>
      <c r="AB852" t="s">
        <v>16260</v>
      </c>
      <c r="AC852" t="s">
        <v>16261</v>
      </c>
      <c r="AD852" t="s">
        <v>16262</v>
      </c>
      <c r="AE852" t="s">
        <v>16263</v>
      </c>
      <c r="AF852" t="s">
        <v>74</v>
      </c>
      <c r="AG852">
        <v>66</v>
      </c>
      <c r="AH852">
        <v>17</v>
      </c>
      <c r="AI852">
        <v>19</v>
      </c>
      <c r="AJ852">
        <v>3</v>
      </c>
      <c r="AK852">
        <v>18</v>
      </c>
      <c r="AL852" t="s">
        <v>1159</v>
      </c>
      <c r="AM852" t="s">
        <v>704</v>
      </c>
      <c r="AN852" t="s">
        <v>2728</v>
      </c>
      <c r="AO852" t="s">
        <v>3280</v>
      </c>
      <c r="AP852" t="s">
        <v>74</v>
      </c>
      <c r="AQ852" t="s">
        <v>74</v>
      </c>
      <c r="AR852" t="s">
        <v>3281</v>
      </c>
      <c r="AS852" t="s">
        <v>3282</v>
      </c>
      <c r="AT852" t="s">
        <v>16246</v>
      </c>
      <c r="AU852">
        <v>2018</v>
      </c>
      <c r="AV852">
        <v>9</v>
      </c>
      <c r="AW852" t="s">
        <v>74</v>
      </c>
      <c r="AX852" t="s">
        <v>74</v>
      </c>
      <c r="AY852" t="s">
        <v>74</v>
      </c>
      <c r="AZ852" t="s">
        <v>74</v>
      </c>
      <c r="BA852" t="s">
        <v>74</v>
      </c>
      <c r="BB852" t="s">
        <v>74</v>
      </c>
      <c r="BC852" t="s">
        <v>74</v>
      </c>
      <c r="BD852">
        <v>2431</v>
      </c>
      <c r="BE852" t="s">
        <v>16264</v>
      </c>
      <c r="BF852" t="str">
        <f>HYPERLINK("http://dx.doi.org/10.1038/s41467-018-04421-3","http://dx.doi.org/10.1038/s41467-018-04421-3")</f>
        <v>http://dx.doi.org/10.1038/s41467-018-04421-3</v>
      </c>
      <c r="BG852" t="s">
        <v>74</v>
      </c>
      <c r="BH852" t="s">
        <v>74</v>
      </c>
      <c r="BI852">
        <v>9</v>
      </c>
      <c r="BJ852" t="s">
        <v>436</v>
      </c>
      <c r="BK852" t="s">
        <v>101</v>
      </c>
      <c r="BL852" t="s">
        <v>437</v>
      </c>
      <c r="BM852" t="s">
        <v>16265</v>
      </c>
      <c r="BN852">
        <v>29934507</v>
      </c>
      <c r="BO852" t="s">
        <v>9552</v>
      </c>
      <c r="BP852" t="s">
        <v>74</v>
      </c>
      <c r="BQ852" t="s">
        <v>74</v>
      </c>
      <c r="BR852" t="s">
        <v>104</v>
      </c>
      <c r="BS852" t="s">
        <v>16266</v>
      </c>
      <c r="BT852" t="str">
        <f>HYPERLINK("https%3A%2F%2Fwww.webofscience.com%2Fwos%2Fwoscc%2Ffull-record%2FWOS:000436049200002","View Full Record in Web of Science")</f>
        <v>View Full Record in Web of Science</v>
      </c>
    </row>
    <row r="853" spans="1:72" x14ac:dyDescent="0.15">
      <c r="A853" t="s">
        <v>72</v>
      </c>
      <c r="B853" t="s">
        <v>16267</v>
      </c>
      <c r="C853" t="s">
        <v>74</v>
      </c>
      <c r="D853" t="s">
        <v>74</v>
      </c>
      <c r="E853" t="s">
        <v>74</v>
      </c>
      <c r="F853" t="s">
        <v>16268</v>
      </c>
      <c r="G853" t="s">
        <v>74</v>
      </c>
      <c r="H853" t="s">
        <v>74</v>
      </c>
      <c r="I853" t="s">
        <v>16269</v>
      </c>
      <c r="J853" t="s">
        <v>11795</v>
      </c>
      <c r="K853" t="s">
        <v>74</v>
      </c>
      <c r="L853" t="s">
        <v>74</v>
      </c>
      <c r="M853" t="s">
        <v>78</v>
      </c>
      <c r="N853" t="s">
        <v>79</v>
      </c>
      <c r="O853" t="s">
        <v>74</v>
      </c>
      <c r="P853" t="s">
        <v>74</v>
      </c>
      <c r="Q853" t="s">
        <v>74</v>
      </c>
      <c r="R853" t="s">
        <v>74</v>
      </c>
      <c r="S853" t="s">
        <v>74</v>
      </c>
      <c r="T853" t="s">
        <v>74</v>
      </c>
      <c r="U853" t="s">
        <v>16270</v>
      </c>
      <c r="V853" t="s">
        <v>16271</v>
      </c>
      <c r="W853" t="s">
        <v>16272</v>
      </c>
      <c r="X853" t="s">
        <v>16273</v>
      </c>
      <c r="Y853" t="s">
        <v>16274</v>
      </c>
      <c r="Z853" t="s">
        <v>16275</v>
      </c>
      <c r="AA853" t="s">
        <v>16276</v>
      </c>
      <c r="AB853" t="s">
        <v>16277</v>
      </c>
      <c r="AC853" t="s">
        <v>16278</v>
      </c>
      <c r="AD853" t="s">
        <v>16279</v>
      </c>
      <c r="AE853" t="s">
        <v>16280</v>
      </c>
      <c r="AF853" t="s">
        <v>74</v>
      </c>
      <c r="AG853">
        <v>31</v>
      </c>
      <c r="AH853">
        <v>130</v>
      </c>
      <c r="AI853">
        <v>147</v>
      </c>
      <c r="AJ853">
        <v>0</v>
      </c>
      <c r="AK853">
        <v>30</v>
      </c>
      <c r="AL853" t="s">
        <v>1270</v>
      </c>
      <c r="AM853" t="s">
        <v>504</v>
      </c>
      <c r="AN853" t="s">
        <v>1271</v>
      </c>
      <c r="AO853" t="s">
        <v>11797</v>
      </c>
      <c r="AP853" t="s">
        <v>11798</v>
      </c>
      <c r="AQ853" t="s">
        <v>74</v>
      </c>
      <c r="AR853" t="s">
        <v>11795</v>
      </c>
      <c r="AS853" t="s">
        <v>11799</v>
      </c>
      <c r="AT853" t="s">
        <v>16246</v>
      </c>
      <c r="AU853">
        <v>2018</v>
      </c>
      <c r="AV853">
        <v>360</v>
      </c>
      <c r="AW853">
        <v>6395</v>
      </c>
      <c r="AX853" t="s">
        <v>74</v>
      </c>
      <c r="AY853" t="s">
        <v>74</v>
      </c>
      <c r="AZ853" t="s">
        <v>74</v>
      </c>
      <c r="BA853" t="s">
        <v>74</v>
      </c>
      <c r="BB853">
        <v>1335</v>
      </c>
      <c r="BC853" t="s">
        <v>1137</v>
      </c>
      <c r="BD853" t="s">
        <v>74</v>
      </c>
      <c r="BE853" t="s">
        <v>16281</v>
      </c>
      <c r="BF853" t="str">
        <f>HYPERLINK("http://dx.doi.org/10.1126/science.aao1447","http://dx.doi.org/10.1126/science.aao1447")</f>
        <v>http://dx.doi.org/10.1126/science.aao1447</v>
      </c>
      <c r="BG853" t="s">
        <v>74</v>
      </c>
      <c r="BH853" t="s">
        <v>74</v>
      </c>
      <c r="BI853">
        <v>5</v>
      </c>
      <c r="BJ853" t="s">
        <v>436</v>
      </c>
      <c r="BK853" t="s">
        <v>101</v>
      </c>
      <c r="BL853" t="s">
        <v>437</v>
      </c>
      <c r="BM853" t="s">
        <v>16282</v>
      </c>
      <c r="BN853">
        <v>29930133</v>
      </c>
      <c r="BO853" t="s">
        <v>712</v>
      </c>
      <c r="BP853" t="s">
        <v>74</v>
      </c>
      <c r="BQ853" t="s">
        <v>74</v>
      </c>
      <c r="BR853" t="s">
        <v>104</v>
      </c>
      <c r="BS853" t="s">
        <v>16283</v>
      </c>
      <c r="BT853" t="str">
        <f>HYPERLINK("https%3A%2F%2Fwww.webofscience.com%2Fwos%2Fwoscc%2Ffull-record%2FWOS:000436040600040","View Full Record in Web of Science")</f>
        <v>View Full Record in Web of Science</v>
      </c>
    </row>
    <row r="854" spans="1:72" x14ac:dyDescent="0.15">
      <c r="A854" t="s">
        <v>72</v>
      </c>
      <c r="B854" t="s">
        <v>16284</v>
      </c>
      <c r="C854" t="s">
        <v>74</v>
      </c>
      <c r="D854" t="s">
        <v>74</v>
      </c>
      <c r="E854" t="s">
        <v>74</v>
      </c>
      <c r="F854" t="s">
        <v>16285</v>
      </c>
      <c r="G854" t="s">
        <v>74</v>
      </c>
      <c r="H854" t="s">
        <v>74</v>
      </c>
      <c r="I854" t="s">
        <v>16286</v>
      </c>
      <c r="J854" t="s">
        <v>4453</v>
      </c>
      <c r="K854" t="s">
        <v>74</v>
      </c>
      <c r="L854" t="s">
        <v>74</v>
      </c>
      <c r="M854" t="s">
        <v>78</v>
      </c>
      <c r="N854" t="s">
        <v>79</v>
      </c>
      <c r="O854" t="s">
        <v>74</v>
      </c>
      <c r="P854" t="s">
        <v>74</v>
      </c>
      <c r="Q854" t="s">
        <v>74</v>
      </c>
      <c r="R854" t="s">
        <v>74</v>
      </c>
      <c r="S854" t="s">
        <v>74</v>
      </c>
      <c r="T854" t="s">
        <v>74</v>
      </c>
      <c r="U854" t="s">
        <v>16287</v>
      </c>
      <c r="V854" t="s">
        <v>16288</v>
      </c>
      <c r="W854" t="s">
        <v>16289</v>
      </c>
      <c r="X854" t="s">
        <v>16290</v>
      </c>
      <c r="Y854" t="s">
        <v>16291</v>
      </c>
      <c r="Z854" t="s">
        <v>16292</v>
      </c>
      <c r="AA854" t="s">
        <v>16293</v>
      </c>
      <c r="AB854" t="s">
        <v>16294</v>
      </c>
      <c r="AC854" t="s">
        <v>16295</v>
      </c>
      <c r="AD854" t="s">
        <v>16296</v>
      </c>
      <c r="AE854" t="s">
        <v>16297</v>
      </c>
      <c r="AF854" t="s">
        <v>74</v>
      </c>
      <c r="AG854">
        <v>128</v>
      </c>
      <c r="AH854">
        <v>15</v>
      </c>
      <c r="AI854">
        <v>16</v>
      </c>
      <c r="AJ854">
        <v>1</v>
      </c>
      <c r="AK854">
        <v>25</v>
      </c>
      <c r="AL854" t="s">
        <v>3353</v>
      </c>
      <c r="AM854" t="s">
        <v>3354</v>
      </c>
      <c r="AN854" t="s">
        <v>3355</v>
      </c>
      <c r="AO854" t="s">
        <v>4465</v>
      </c>
      <c r="AP854" t="s">
        <v>4466</v>
      </c>
      <c r="AQ854" t="s">
        <v>74</v>
      </c>
      <c r="AR854" t="s">
        <v>4467</v>
      </c>
      <c r="AS854" t="s">
        <v>4468</v>
      </c>
      <c r="AT854" t="s">
        <v>16298</v>
      </c>
      <c r="AU854">
        <v>2018</v>
      </c>
      <c r="AV854">
        <v>14</v>
      </c>
      <c r="AW854">
        <v>6</v>
      </c>
      <c r="AX854" t="s">
        <v>74</v>
      </c>
      <c r="AY854" t="s">
        <v>74</v>
      </c>
      <c r="AZ854" t="s">
        <v>74</v>
      </c>
      <c r="BA854" t="s">
        <v>74</v>
      </c>
      <c r="BB854">
        <v>871</v>
      </c>
      <c r="BC854">
        <v>886</v>
      </c>
      <c r="BD854" t="s">
        <v>74</v>
      </c>
      <c r="BE854" t="s">
        <v>16299</v>
      </c>
      <c r="BF854" t="str">
        <f>HYPERLINK("http://dx.doi.org/10.5194/cp-14-871-2018","http://dx.doi.org/10.5194/cp-14-871-2018")</f>
        <v>http://dx.doi.org/10.5194/cp-14-871-2018</v>
      </c>
      <c r="BG854" t="s">
        <v>74</v>
      </c>
      <c r="BH854" t="s">
        <v>74</v>
      </c>
      <c r="BI854">
        <v>16</v>
      </c>
      <c r="BJ854" t="s">
        <v>4148</v>
      </c>
      <c r="BK854" t="s">
        <v>101</v>
      </c>
      <c r="BL854" t="s">
        <v>4149</v>
      </c>
      <c r="BM854" t="s">
        <v>16300</v>
      </c>
      <c r="BN854" t="s">
        <v>74</v>
      </c>
      <c r="BO854" t="s">
        <v>1524</v>
      </c>
      <c r="BP854" t="s">
        <v>74</v>
      </c>
      <c r="BQ854" t="s">
        <v>74</v>
      </c>
      <c r="BR854" t="s">
        <v>104</v>
      </c>
      <c r="BS854" t="s">
        <v>16301</v>
      </c>
      <c r="BT854" t="str">
        <f>HYPERLINK("https%3A%2F%2Fwww.webofscience.com%2Fwos%2Fwoscc%2Ffull-record%2FWOS:000435858100002","View Full Record in Web of Science")</f>
        <v>View Full Record in Web of Science</v>
      </c>
    </row>
    <row r="855" spans="1:72" x14ac:dyDescent="0.15">
      <c r="A855" t="s">
        <v>72</v>
      </c>
      <c r="B855" t="s">
        <v>16302</v>
      </c>
      <c r="C855" t="s">
        <v>74</v>
      </c>
      <c r="D855" t="s">
        <v>74</v>
      </c>
      <c r="E855" t="s">
        <v>74</v>
      </c>
      <c r="F855" t="s">
        <v>16303</v>
      </c>
      <c r="G855" t="s">
        <v>74</v>
      </c>
      <c r="H855" t="s">
        <v>74</v>
      </c>
      <c r="I855" t="s">
        <v>16304</v>
      </c>
      <c r="J855" t="s">
        <v>4340</v>
      </c>
      <c r="K855" t="s">
        <v>74</v>
      </c>
      <c r="L855" t="s">
        <v>74</v>
      </c>
      <c r="M855" t="s">
        <v>78</v>
      </c>
      <c r="N855" t="s">
        <v>79</v>
      </c>
      <c r="O855" t="s">
        <v>74</v>
      </c>
      <c r="P855" t="s">
        <v>74</v>
      </c>
      <c r="Q855" t="s">
        <v>74</v>
      </c>
      <c r="R855" t="s">
        <v>74</v>
      </c>
      <c r="S855" t="s">
        <v>74</v>
      </c>
      <c r="T855" t="s">
        <v>16305</v>
      </c>
      <c r="U855" t="s">
        <v>16306</v>
      </c>
      <c r="V855" t="s">
        <v>16307</v>
      </c>
      <c r="W855" t="s">
        <v>16308</v>
      </c>
      <c r="X855" t="s">
        <v>16309</v>
      </c>
      <c r="Y855" t="s">
        <v>16310</v>
      </c>
      <c r="Z855" t="s">
        <v>16311</v>
      </c>
      <c r="AA855" t="s">
        <v>16312</v>
      </c>
      <c r="AB855" t="s">
        <v>16313</v>
      </c>
      <c r="AC855" t="s">
        <v>16314</v>
      </c>
      <c r="AD855" t="s">
        <v>16315</v>
      </c>
      <c r="AE855" t="s">
        <v>16316</v>
      </c>
      <c r="AF855" t="s">
        <v>74</v>
      </c>
      <c r="AG855">
        <v>65</v>
      </c>
      <c r="AH855">
        <v>8</v>
      </c>
      <c r="AI855">
        <v>9</v>
      </c>
      <c r="AJ855">
        <v>1</v>
      </c>
      <c r="AK855">
        <v>11</v>
      </c>
      <c r="AL855" t="s">
        <v>3326</v>
      </c>
      <c r="AM855" t="s">
        <v>3327</v>
      </c>
      <c r="AN855" t="s">
        <v>3328</v>
      </c>
      <c r="AO855" t="s">
        <v>4344</v>
      </c>
      <c r="AP855" t="s">
        <v>4345</v>
      </c>
      <c r="AQ855" t="s">
        <v>74</v>
      </c>
      <c r="AR855" t="s">
        <v>4346</v>
      </c>
      <c r="AS855" t="s">
        <v>4347</v>
      </c>
      <c r="AT855" t="s">
        <v>16298</v>
      </c>
      <c r="AU855">
        <v>2018</v>
      </c>
      <c r="AV855">
        <v>50</v>
      </c>
      <c r="AW855">
        <v>1</v>
      </c>
      <c r="AX855" t="s">
        <v>74</v>
      </c>
      <c r="AY855" t="s">
        <v>74</v>
      </c>
      <c r="AZ855" t="s">
        <v>74</v>
      </c>
      <c r="BA855" t="s">
        <v>74</v>
      </c>
      <c r="BB855" t="s">
        <v>74</v>
      </c>
      <c r="BC855" t="s">
        <v>74</v>
      </c>
      <c r="BD855" t="s">
        <v>16317</v>
      </c>
      <c r="BE855" t="s">
        <v>16318</v>
      </c>
      <c r="BF855" t="str">
        <f>HYPERLINK("http://dx.doi.org/10.1080/15230430.2018.1454778","http://dx.doi.org/10.1080/15230430.2018.1454778")</f>
        <v>http://dx.doi.org/10.1080/15230430.2018.1454778</v>
      </c>
      <c r="BG855" t="s">
        <v>74</v>
      </c>
      <c r="BH855" t="s">
        <v>74</v>
      </c>
      <c r="BI855">
        <v>15</v>
      </c>
      <c r="BJ855" t="s">
        <v>4350</v>
      </c>
      <c r="BK855" t="s">
        <v>101</v>
      </c>
      <c r="BL855" t="s">
        <v>767</v>
      </c>
      <c r="BM855" t="s">
        <v>16319</v>
      </c>
      <c r="BN855" t="s">
        <v>74</v>
      </c>
      <c r="BO855" t="s">
        <v>439</v>
      </c>
      <c r="BP855" t="s">
        <v>74</v>
      </c>
      <c r="BQ855" t="s">
        <v>74</v>
      </c>
      <c r="BR855" t="s">
        <v>104</v>
      </c>
      <c r="BS855" t="s">
        <v>16320</v>
      </c>
      <c r="BT855" t="str">
        <f>HYPERLINK("https%3A%2F%2Fwww.webofscience.com%2Fwos%2Fwoscc%2Ffull-record%2FWOS:000438738900001","View Full Record in Web of Science")</f>
        <v>View Full Record in Web of Science</v>
      </c>
    </row>
    <row r="856" spans="1:72" x14ac:dyDescent="0.15">
      <c r="A856" t="s">
        <v>72</v>
      </c>
      <c r="B856" t="s">
        <v>16321</v>
      </c>
      <c r="C856" t="s">
        <v>74</v>
      </c>
      <c r="D856" t="s">
        <v>74</v>
      </c>
      <c r="E856" t="s">
        <v>74</v>
      </c>
      <c r="F856" t="s">
        <v>16322</v>
      </c>
      <c r="G856" t="s">
        <v>74</v>
      </c>
      <c r="H856" t="s">
        <v>74</v>
      </c>
      <c r="I856" t="s">
        <v>16323</v>
      </c>
      <c r="J856" t="s">
        <v>4109</v>
      </c>
      <c r="K856" t="s">
        <v>74</v>
      </c>
      <c r="L856" t="s">
        <v>74</v>
      </c>
      <c r="M856" t="s">
        <v>78</v>
      </c>
      <c r="N856" t="s">
        <v>79</v>
      </c>
      <c r="O856" t="s">
        <v>74</v>
      </c>
      <c r="P856" t="s">
        <v>74</v>
      </c>
      <c r="Q856" t="s">
        <v>74</v>
      </c>
      <c r="R856" t="s">
        <v>74</v>
      </c>
      <c r="S856" t="s">
        <v>74</v>
      </c>
      <c r="T856" t="s">
        <v>74</v>
      </c>
      <c r="U856" t="s">
        <v>16324</v>
      </c>
      <c r="V856" t="s">
        <v>16325</v>
      </c>
      <c r="W856" t="s">
        <v>16326</v>
      </c>
      <c r="X856" t="s">
        <v>16327</v>
      </c>
      <c r="Y856" t="s">
        <v>16328</v>
      </c>
      <c r="Z856" t="s">
        <v>16329</v>
      </c>
      <c r="AA856" t="s">
        <v>16330</v>
      </c>
      <c r="AB856" t="s">
        <v>16331</v>
      </c>
      <c r="AC856" t="s">
        <v>16332</v>
      </c>
      <c r="AD856" t="s">
        <v>16333</v>
      </c>
      <c r="AE856" t="s">
        <v>16334</v>
      </c>
      <c r="AF856" t="s">
        <v>74</v>
      </c>
      <c r="AG856">
        <v>83</v>
      </c>
      <c r="AH856">
        <v>18</v>
      </c>
      <c r="AI856">
        <v>19</v>
      </c>
      <c r="AJ856">
        <v>0</v>
      </c>
      <c r="AK856">
        <v>10</v>
      </c>
      <c r="AL856" t="s">
        <v>1130</v>
      </c>
      <c r="AM856" t="s">
        <v>1131</v>
      </c>
      <c r="AN856" t="s">
        <v>1132</v>
      </c>
      <c r="AO856" t="s">
        <v>4121</v>
      </c>
      <c r="AP856" t="s">
        <v>74</v>
      </c>
      <c r="AQ856" t="s">
        <v>74</v>
      </c>
      <c r="AR856" t="s">
        <v>4122</v>
      </c>
      <c r="AS856" t="s">
        <v>4123</v>
      </c>
      <c r="AT856" t="s">
        <v>16298</v>
      </c>
      <c r="AU856">
        <v>2018</v>
      </c>
      <c r="AV856">
        <v>8</v>
      </c>
      <c r="AW856" t="s">
        <v>74</v>
      </c>
      <c r="AX856" t="s">
        <v>74</v>
      </c>
      <c r="AY856" t="s">
        <v>74</v>
      </c>
      <c r="AZ856" t="s">
        <v>74</v>
      </c>
      <c r="BA856" t="s">
        <v>74</v>
      </c>
      <c r="BB856" t="s">
        <v>74</v>
      </c>
      <c r="BC856" t="s">
        <v>74</v>
      </c>
      <c r="BD856">
        <v>9457</v>
      </c>
      <c r="BE856" t="s">
        <v>16335</v>
      </c>
      <c r="BF856" t="str">
        <f>HYPERLINK("http://dx.doi.org/10.1038/s41598-018-27774-7","http://dx.doi.org/10.1038/s41598-018-27774-7")</f>
        <v>http://dx.doi.org/10.1038/s41598-018-27774-7</v>
      </c>
      <c r="BG856" t="s">
        <v>74</v>
      </c>
      <c r="BH856" t="s">
        <v>74</v>
      </c>
      <c r="BI856">
        <v>12</v>
      </c>
      <c r="BJ856" t="s">
        <v>436</v>
      </c>
      <c r="BK856" t="s">
        <v>101</v>
      </c>
      <c r="BL856" t="s">
        <v>437</v>
      </c>
      <c r="BM856" t="s">
        <v>16336</v>
      </c>
      <c r="BN856">
        <v>29930311</v>
      </c>
      <c r="BO856" t="s">
        <v>439</v>
      </c>
      <c r="BP856" t="s">
        <v>74</v>
      </c>
      <c r="BQ856" t="s">
        <v>74</v>
      </c>
      <c r="BR856" t="s">
        <v>104</v>
      </c>
      <c r="BS856" t="s">
        <v>16337</v>
      </c>
      <c r="BT856" t="str">
        <f>HYPERLINK("https%3A%2F%2Fwww.webofscience.com%2Fwos%2Fwoscc%2Ffull-record%2FWOS:000435790500036","View Full Record in Web of Science")</f>
        <v>View Full Record in Web of Science</v>
      </c>
    </row>
    <row r="857" spans="1:72" x14ac:dyDescent="0.15">
      <c r="A857" t="s">
        <v>72</v>
      </c>
      <c r="B857" t="s">
        <v>16338</v>
      </c>
      <c r="C857" t="s">
        <v>74</v>
      </c>
      <c r="D857" t="s">
        <v>74</v>
      </c>
      <c r="E857" t="s">
        <v>74</v>
      </c>
      <c r="F857" t="s">
        <v>16339</v>
      </c>
      <c r="G857" t="s">
        <v>74</v>
      </c>
      <c r="H857" t="s">
        <v>74</v>
      </c>
      <c r="I857" t="s">
        <v>16340</v>
      </c>
      <c r="J857" t="s">
        <v>3543</v>
      </c>
      <c r="K857" t="s">
        <v>74</v>
      </c>
      <c r="L857" t="s">
        <v>74</v>
      </c>
      <c r="M857" t="s">
        <v>78</v>
      </c>
      <c r="N857" t="s">
        <v>79</v>
      </c>
      <c r="O857" t="s">
        <v>74</v>
      </c>
      <c r="P857" t="s">
        <v>74</v>
      </c>
      <c r="Q857" t="s">
        <v>74</v>
      </c>
      <c r="R857" t="s">
        <v>74</v>
      </c>
      <c r="S857" t="s">
        <v>74</v>
      </c>
      <c r="T857" t="s">
        <v>74</v>
      </c>
      <c r="U857" t="s">
        <v>16341</v>
      </c>
      <c r="V857" t="s">
        <v>16342</v>
      </c>
      <c r="W857" t="s">
        <v>16343</v>
      </c>
      <c r="X857" t="s">
        <v>16344</v>
      </c>
      <c r="Y857" t="s">
        <v>16345</v>
      </c>
      <c r="Z857" t="s">
        <v>16346</v>
      </c>
      <c r="AA857" t="s">
        <v>16347</v>
      </c>
      <c r="AB857" t="s">
        <v>16348</v>
      </c>
      <c r="AC857" t="s">
        <v>16349</v>
      </c>
      <c r="AD857" t="s">
        <v>16350</v>
      </c>
      <c r="AE857" t="s">
        <v>16351</v>
      </c>
      <c r="AF857" t="s">
        <v>74</v>
      </c>
      <c r="AG857">
        <v>92</v>
      </c>
      <c r="AH857">
        <v>103</v>
      </c>
      <c r="AI857">
        <v>112</v>
      </c>
      <c r="AJ857">
        <v>2</v>
      </c>
      <c r="AK857">
        <v>72</v>
      </c>
      <c r="AL857" t="s">
        <v>1159</v>
      </c>
      <c r="AM857" t="s">
        <v>704</v>
      </c>
      <c r="AN857" t="s">
        <v>2728</v>
      </c>
      <c r="AO857" t="s">
        <v>3556</v>
      </c>
      <c r="AP857" t="s">
        <v>3557</v>
      </c>
      <c r="AQ857" t="s">
        <v>74</v>
      </c>
      <c r="AR857" t="s">
        <v>3543</v>
      </c>
      <c r="AS857" t="s">
        <v>3558</v>
      </c>
      <c r="AT857" t="s">
        <v>16298</v>
      </c>
      <c r="AU857">
        <v>2018</v>
      </c>
      <c r="AV857">
        <v>558</v>
      </c>
      <c r="AW857">
        <v>7710</v>
      </c>
      <c r="AX857" t="s">
        <v>74</v>
      </c>
      <c r="AY857" t="s">
        <v>74</v>
      </c>
      <c r="AZ857" t="s">
        <v>74</v>
      </c>
      <c r="BA857" t="s">
        <v>74</v>
      </c>
      <c r="BB857">
        <v>430</v>
      </c>
      <c r="BC857" t="s">
        <v>1137</v>
      </c>
      <c r="BD857" t="s">
        <v>74</v>
      </c>
      <c r="BE857" t="s">
        <v>16352</v>
      </c>
      <c r="BF857" t="str">
        <f>HYPERLINK("http://dx.doi.org/10.1038/s41586-018-0208-x","http://dx.doi.org/10.1038/s41586-018-0208-x")</f>
        <v>http://dx.doi.org/10.1038/s41586-018-0208-x</v>
      </c>
      <c r="BG857" t="s">
        <v>74</v>
      </c>
      <c r="BH857" t="s">
        <v>74</v>
      </c>
      <c r="BI857">
        <v>22</v>
      </c>
      <c r="BJ857" t="s">
        <v>436</v>
      </c>
      <c r="BK857" t="s">
        <v>101</v>
      </c>
      <c r="BL857" t="s">
        <v>437</v>
      </c>
      <c r="BM857" t="s">
        <v>16353</v>
      </c>
      <c r="BN857">
        <v>29899456</v>
      </c>
      <c r="BO857" t="s">
        <v>211</v>
      </c>
      <c r="BP857" t="s">
        <v>74</v>
      </c>
      <c r="BQ857" t="s">
        <v>74</v>
      </c>
      <c r="BR857" t="s">
        <v>104</v>
      </c>
      <c r="BS857" t="s">
        <v>16354</v>
      </c>
      <c r="BT857" t="str">
        <f>HYPERLINK("https%3A%2F%2Fwww.webofscience.com%2Fwos%2Fwoscc%2Ffull-record%2FWOS:000436037800047","View Full Record in Web of Science")</f>
        <v>View Full Record in Web of Science</v>
      </c>
    </row>
    <row r="858" spans="1:72" x14ac:dyDescent="0.15">
      <c r="A858" t="s">
        <v>72</v>
      </c>
      <c r="B858" t="s">
        <v>16355</v>
      </c>
      <c r="C858" t="s">
        <v>74</v>
      </c>
      <c r="D858" t="s">
        <v>74</v>
      </c>
      <c r="E858" t="s">
        <v>74</v>
      </c>
      <c r="F858" t="s">
        <v>16356</v>
      </c>
      <c r="G858" t="s">
        <v>74</v>
      </c>
      <c r="H858" t="s">
        <v>74</v>
      </c>
      <c r="I858" t="s">
        <v>16357</v>
      </c>
      <c r="J858" t="s">
        <v>7832</v>
      </c>
      <c r="K858" t="s">
        <v>74</v>
      </c>
      <c r="L858" t="s">
        <v>74</v>
      </c>
      <c r="M858" t="s">
        <v>78</v>
      </c>
      <c r="N858" t="s">
        <v>79</v>
      </c>
      <c r="O858" t="s">
        <v>74</v>
      </c>
      <c r="P858" t="s">
        <v>74</v>
      </c>
      <c r="Q858" t="s">
        <v>74</v>
      </c>
      <c r="R858" t="s">
        <v>74</v>
      </c>
      <c r="S858" t="s">
        <v>74</v>
      </c>
      <c r="T858" t="s">
        <v>74</v>
      </c>
      <c r="U858" t="s">
        <v>16358</v>
      </c>
      <c r="V858" t="s">
        <v>16359</v>
      </c>
      <c r="W858" t="s">
        <v>16360</v>
      </c>
      <c r="X858" t="s">
        <v>16361</v>
      </c>
      <c r="Y858" t="s">
        <v>16362</v>
      </c>
      <c r="Z858" t="s">
        <v>16363</v>
      </c>
      <c r="AA858" t="s">
        <v>16364</v>
      </c>
      <c r="AB858" t="s">
        <v>16365</v>
      </c>
      <c r="AC858" t="s">
        <v>16366</v>
      </c>
      <c r="AD858" t="s">
        <v>16367</v>
      </c>
      <c r="AE858" t="s">
        <v>16368</v>
      </c>
      <c r="AF858" t="s">
        <v>74</v>
      </c>
      <c r="AG858">
        <v>47</v>
      </c>
      <c r="AH858">
        <v>16</v>
      </c>
      <c r="AI858">
        <v>17</v>
      </c>
      <c r="AJ858">
        <v>0</v>
      </c>
      <c r="AK858">
        <v>22</v>
      </c>
      <c r="AL858" t="s">
        <v>3353</v>
      </c>
      <c r="AM858" t="s">
        <v>3354</v>
      </c>
      <c r="AN858" t="s">
        <v>3355</v>
      </c>
      <c r="AO858" t="s">
        <v>7844</v>
      </c>
      <c r="AP858" t="s">
        <v>7845</v>
      </c>
      <c r="AQ858" t="s">
        <v>74</v>
      </c>
      <c r="AR858" t="s">
        <v>7832</v>
      </c>
      <c r="AS858" t="s">
        <v>7846</v>
      </c>
      <c r="AT858" t="s">
        <v>16298</v>
      </c>
      <c r="AU858">
        <v>2018</v>
      </c>
      <c r="AV858">
        <v>15</v>
      </c>
      <c r="AW858">
        <v>12</v>
      </c>
      <c r="AX858" t="s">
        <v>74</v>
      </c>
      <c r="AY858" t="s">
        <v>74</v>
      </c>
      <c r="AZ858" t="s">
        <v>74</v>
      </c>
      <c r="BA858" t="s">
        <v>74</v>
      </c>
      <c r="BB858">
        <v>3779</v>
      </c>
      <c r="BC858">
        <v>3794</v>
      </c>
      <c r="BD858" t="s">
        <v>74</v>
      </c>
      <c r="BE858" t="s">
        <v>16369</v>
      </c>
      <c r="BF858" t="str">
        <f>HYPERLINK("http://dx.doi.org/10.5194/bg-15-3779-2018","http://dx.doi.org/10.5194/bg-15-3779-2018")</f>
        <v>http://dx.doi.org/10.5194/bg-15-3779-2018</v>
      </c>
      <c r="BG858" t="s">
        <v>74</v>
      </c>
      <c r="BH858" t="s">
        <v>74</v>
      </c>
      <c r="BI858">
        <v>16</v>
      </c>
      <c r="BJ858" t="s">
        <v>7849</v>
      </c>
      <c r="BK858" t="s">
        <v>101</v>
      </c>
      <c r="BL858" t="s">
        <v>5223</v>
      </c>
      <c r="BM858" t="s">
        <v>16370</v>
      </c>
      <c r="BN858" t="s">
        <v>74</v>
      </c>
      <c r="BO858" t="s">
        <v>1524</v>
      </c>
      <c r="BP858" t="s">
        <v>74</v>
      </c>
      <c r="BQ858" t="s">
        <v>74</v>
      </c>
      <c r="BR858" t="s">
        <v>104</v>
      </c>
      <c r="BS858" t="s">
        <v>16371</v>
      </c>
      <c r="BT858" t="str">
        <f>HYPERLINK("https%3A%2F%2Fwww.webofscience.com%2Fwos%2Fwoscc%2Ffull-record%2FWOS:000435857800001","View Full Record in Web of Science")</f>
        <v>View Full Record in Web of Science</v>
      </c>
    </row>
    <row r="859" spans="1:72" x14ac:dyDescent="0.15">
      <c r="A859" t="s">
        <v>72</v>
      </c>
      <c r="B859" t="s">
        <v>16372</v>
      </c>
      <c r="C859" t="s">
        <v>74</v>
      </c>
      <c r="D859" t="s">
        <v>74</v>
      </c>
      <c r="E859" t="s">
        <v>74</v>
      </c>
      <c r="F859" t="s">
        <v>16373</v>
      </c>
      <c r="G859" t="s">
        <v>74</v>
      </c>
      <c r="H859" t="s">
        <v>74</v>
      </c>
      <c r="I859" t="s">
        <v>16374</v>
      </c>
      <c r="J859" t="s">
        <v>3543</v>
      </c>
      <c r="K859" t="s">
        <v>74</v>
      </c>
      <c r="L859" t="s">
        <v>74</v>
      </c>
      <c r="M859" t="s">
        <v>78</v>
      </c>
      <c r="N859" t="s">
        <v>79</v>
      </c>
      <c r="O859" t="s">
        <v>74</v>
      </c>
      <c r="P859" t="s">
        <v>74</v>
      </c>
      <c r="Q859" t="s">
        <v>74</v>
      </c>
      <c r="R859" t="s">
        <v>74</v>
      </c>
      <c r="S859" t="s">
        <v>74</v>
      </c>
      <c r="T859" t="s">
        <v>74</v>
      </c>
      <c r="U859" t="s">
        <v>16375</v>
      </c>
      <c r="V859" t="s">
        <v>16376</v>
      </c>
      <c r="W859" t="s">
        <v>16377</v>
      </c>
      <c r="X859" t="s">
        <v>16378</v>
      </c>
      <c r="Y859" t="s">
        <v>16379</v>
      </c>
      <c r="Z859" t="s">
        <v>16380</v>
      </c>
      <c r="AA859" t="s">
        <v>16381</v>
      </c>
      <c r="AB859" t="s">
        <v>16382</v>
      </c>
      <c r="AC859" t="s">
        <v>16383</v>
      </c>
      <c r="AD859" t="s">
        <v>16384</v>
      </c>
      <c r="AE859" t="s">
        <v>16385</v>
      </c>
      <c r="AF859" t="s">
        <v>74</v>
      </c>
      <c r="AG859">
        <v>78</v>
      </c>
      <c r="AH859">
        <v>179</v>
      </c>
      <c r="AI859">
        <v>190</v>
      </c>
      <c r="AJ859">
        <v>9</v>
      </c>
      <c r="AK859">
        <v>78</v>
      </c>
      <c r="AL859" t="s">
        <v>1159</v>
      </c>
      <c r="AM859" t="s">
        <v>704</v>
      </c>
      <c r="AN859" t="s">
        <v>2728</v>
      </c>
      <c r="AO859" t="s">
        <v>3556</v>
      </c>
      <c r="AP859" t="s">
        <v>3557</v>
      </c>
      <c r="AQ859" t="s">
        <v>74</v>
      </c>
      <c r="AR859" t="s">
        <v>3543</v>
      </c>
      <c r="AS859" t="s">
        <v>3558</v>
      </c>
      <c r="AT859" t="s">
        <v>16298</v>
      </c>
      <c r="AU859">
        <v>2018</v>
      </c>
      <c r="AV859">
        <v>558</v>
      </c>
      <c r="AW859">
        <v>7710</v>
      </c>
      <c r="AX859" t="s">
        <v>74</v>
      </c>
      <c r="AY859" t="s">
        <v>74</v>
      </c>
      <c r="AZ859" t="s">
        <v>74</v>
      </c>
      <c r="BA859" t="s">
        <v>74</v>
      </c>
      <c r="BB859">
        <v>383</v>
      </c>
      <c r="BC859" t="s">
        <v>1137</v>
      </c>
      <c r="BD859" t="s">
        <v>74</v>
      </c>
      <c r="BE859" t="s">
        <v>16386</v>
      </c>
      <c r="BF859" t="str">
        <f>HYPERLINK("http://dx.doi.org/10.1038/s41586-018-0212-1","http://dx.doi.org/10.1038/s41586-018-0212-1")</f>
        <v>http://dx.doi.org/10.1038/s41586-018-0212-1</v>
      </c>
      <c r="BG859" t="s">
        <v>74</v>
      </c>
      <c r="BH859" t="s">
        <v>74</v>
      </c>
      <c r="BI859">
        <v>18</v>
      </c>
      <c r="BJ859" t="s">
        <v>436</v>
      </c>
      <c r="BK859" t="s">
        <v>101</v>
      </c>
      <c r="BL859" t="s">
        <v>437</v>
      </c>
      <c r="BM859" t="s">
        <v>16353</v>
      </c>
      <c r="BN859">
        <v>29899449</v>
      </c>
      <c r="BO859" t="s">
        <v>74</v>
      </c>
      <c r="BP859" t="s">
        <v>1167</v>
      </c>
      <c r="BQ859" t="s">
        <v>1168</v>
      </c>
      <c r="BR859" t="s">
        <v>104</v>
      </c>
      <c r="BS859" t="s">
        <v>16387</v>
      </c>
      <c r="BT859" t="str">
        <f>HYPERLINK("https%3A%2F%2Fwww.webofscience.com%2Fwos%2Fwoscc%2Ffull-record%2FWOS:000436037800038","View Full Record in Web of Science")</f>
        <v>View Full Record in Web of Science</v>
      </c>
    </row>
    <row r="860" spans="1:72" x14ac:dyDescent="0.15">
      <c r="A860" t="s">
        <v>72</v>
      </c>
      <c r="B860" t="s">
        <v>16388</v>
      </c>
      <c r="C860" t="s">
        <v>74</v>
      </c>
      <c r="D860" t="s">
        <v>74</v>
      </c>
      <c r="E860" t="s">
        <v>74</v>
      </c>
      <c r="F860" t="s">
        <v>16389</v>
      </c>
      <c r="G860" t="s">
        <v>74</v>
      </c>
      <c r="H860" t="s">
        <v>74</v>
      </c>
      <c r="I860" t="s">
        <v>16390</v>
      </c>
      <c r="J860" t="s">
        <v>16391</v>
      </c>
      <c r="K860" t="s">
        <v>74</v>
      </c>
      <c r="L860" t="s">
        <v>74</v>
      </c>
      <c r="M860" t="s">
        <v>78</v>
      </c>
      <c r="N860" t="s">
        <v>79</v>
      </c>
      <c r="O860" t="s">
        <v>74</v>
      </c>
      <c r="P860" t="s">
        <v>74</v>
      </c>
      <c r="Q860" t="s">
        <v>74</v>
      </c>
      <c r="R860" t="s">
        <v>74</v>
      </c>
      <c r="S860" t="s">
        <v>74</v>
      </c>
      <c r="T860" t="s">
        <v>16392</v>
      </c>
      <c r="U860" t="s">
        <v>74</v>
      </c>
      <c r="V860" t="s">
        <v>16393</v>
      </c>
      <c r="W860" t="s">
        <v>16394</v>
      </c>
      <c r="X860" t="s">
        <v>16395</v>
      </c>
      <c r="Y860" t="s">
        <v>16396</v>
      </c>
      <c r="Z860" t="s">
        <v>16397</v>
      </c>
      <c r="AA860" t="s">
        <v>16398</v>
      </c>
      <c r="AB860" t="s">
        <v>16399</v>
      </c>
      <c r="AC860" t="s">
        <v>16400</v>
      </c>
      <c r="AD860" t="s">
        <v>16401</v>
      </c>
      <c r="AE860" t="s">
        <v>16402</v>
      </c>
      <c r="AF860" t="s">
        <v>74</v>
      </c>
      <c r="AG860">
        <v>11</v>
      </c>
      <c r="AH860">
        <v>9</v>
      </c>
      <c r="AI860">
        <v>10</v>
      </c>
      <c r="AJ860">
        <v>0</v>
      </c>
      <c r="AK860">
        <v>8</v>
      </c>
      <c r="AL860" t="s">
        <v>430</v>
      </c>
      <c r="AM860" t="s">
        <v>286</v>
      </c>
      <c r="AN860" t="s">
        <v>431</v>
      </c>
      <c r="AO860" t="s">
        <v>16403</v>
      </c>
      <c r="AP860" t="s">
        <v>16404</v>
      </c>
      <c r="AQ860" t="s">
        <v>74</v>
      </c>
      <c r="AR860" t="s">
        <v>16405</v>
      </c>
      <c r="AS860" t="s">
        <v>16406</v>
      </c>
      <c r="AT860" t="s">
        <v>16298</v>
      </c>
      <c r="AU860">
        <v>2018</v>
      </c>
      <c r="AV860">
        <v>894</v>
      </c>
      <c r="AW860" t="s">
        <v>74</v>
      </c>
      <c r="AX860" t="s">
        <v>74</v>
      </c>
      <c r="AY860" t="s">
        <v>74</v>
      </c>
      <c r="AZ860" t="s">
        <v>74</v>
      </c>
      <c r="BA860" t="s">
        <v>74</v>
      </c>
      <c r="BB860">
        <v>47</v>
      </c>
      <c r="BC860">
        <v>56</v>
      </c>
      <c r="BD860" t="s">
        <v>74</v>
      </c>
      <c r="BE860" t="s">
        <v>16407</v>
      </c>
      <c r="BF860" t="str">
        <f>HYPERLINK("http://dx.doi.org/10.1016/j.nima.2018.03.059","http://dx.doi.org/10.1016/j.nima.2018.03.059")</f>
        <v>http://dx.doi.org/10.1016/j.nima.2018.03.059</v>
      </c>
      <c r="BG860" t="s">
        <v>74</v>
      </c>
      <c r="BH860" t="s">
        <v>74</v>
      </c>
      <c r="BI860">
        <v>10</v>
      </c>
      <c r="BJ860" t="s">
        <v>16408</v>
      </c>
      <c r="BK860" t="s">
        <v>101</v>
      </c>
      <c r="BL860" t="s">
        <v>16409</v>
      </c>
      <c r="BM860" t="s">
        <v>16410</v>
      </c>
      <c r="BN860" t="s">
        <v>74</v>
      </c>
      <c r="BO860" t="s">
        <v>6666</v>
      </c>
      <c r="BP860" t="s">
        <v>74</v>
      </c>
      <c r="BQ860" t="s">
        <v>74</v>
      </c>
      <c r="BR860" t="s">
        <v>104</v>
      </c>
      <c r="BS860" t="s">
        <v>16411</v>
      </c>
      <c r="BT860" t="str">
        <f>HYPERLINK("https%3A%2F%2Fwww.webofscience.com%2Fwos%2Fwoscc%2Ffull-record%2FWOS:000430704600007","View Full Record in Web of Science")</f>
        <v>View Full Record in Web of Science</v>
      </c>
    </row>
    <row r="861" spans="1:72" x14ac:dyDescent="0.15">
      <c r="A861" t="s">
        <v>72</v>
      </c>
      <c r="B861" t="s">
        <v>16412</v>
      </c>
      <c r="C861" t="s">
        <v>74</v>
      </c>
      <c r="D861" t="s">
        <v>74</v>
      </c>
      <c r="E861" t="s">
        <v>74</v>
      </c>
      <c r="F861" t="s">
        <v>16413</v>
      </c>
      <c r="G861" t="s">
        <v>74</v>
      </c>
      <c r="H861" t="s">
        <v>74</v>
      </c>
      <c r="I861" t="s">
        <v>16414</v>
      </c>
      <c r="J861" t="s">
        <v>4340</v>
      </c>
      <c r="K861" t="s">
        <v>74</v>
      </c>
      <c r="L861" t="s">
        <v>74</v>
      </c>
      <c r="M861" t="s">
        <v>78</v>
      </c>
      <c r="N861" t="s">
        <v>79</v>
      </c>
      <c r="O861" t="s">
        <v>74</v>
      </c>
      <c r="P861" t="s">
        <v>74</v>
      </c>
      <c r="Q861" t="s">
        <v>74</v>
      </c>
      <c r="R861" t="s">
        <v>74</v>
      </c>
      <c r="S861" t="s">
        <v>74</v>
      </c>
      <c r="T861" t="s">
        <v>16415</v>
      </c>
      <c r="U861" t="s">
        <v>16416</v>
      </c>
      <c r="V861" t="s">
        <v>16417</v>
      </c>
      <c r="W861" t="s">
        <v>16418</v>
      </c>
      <c r="X861" t="s">
        <v>16419</v>
      </c>
      <c r="Y861" t="s">
        <v>16420</v>
      </c>
      <c r="Z861" t="s">
        <v>16421</v>
      </c>
      <c r="AA861" t="s">
        <v>16422</v>
      </c>
      <c r="AB861" t="s">
        <v>16423</v>
      </c>
      <c r="AC861" t="s">
        <v>16424</v>
      </c>
      <c r="AD861" t="s">
        <v>16425</v>
      </c>
      <c r="AE861" t="s">
        <v>16426</v>
      </c>
      <c r="AF861" t="s">
        <v>74</v>
      </c>
      <c r="AG861">
        <v>49</v>
      </c>
      <c r="AH861">
        <v>4</v>
      </c>
      <c r="AI861">
        <v>4</v>
      </c>
      <c r="AJ861">
        <v>2</v>
      </c>
      <c r="AK861">
        <v>26</v>
      </c>
      <c r="AL861" t="s">
        <v>3326</v>
      </c>
      <c r="AM861" t="s">
        <v>3327</v>
      </c>
      <c r="AN861" t="s">
        <v>3328</v>
      </c>
      <c r="AO861" t="s">
        <v>4344</v>
      </c>
      <c r="AP861" t="s">
        <v>4345</v>
      </c>
      <c r="AQ861" t="s">
        <v>74</v>
      </c>
      <c r="AR861" t="s">
        <v>4346</v>
      </c>
      <c r="AS861" t="s">
        <v>4347</v>
      </c>
      <c r="AT861" t="s">
        <v>16427</v>
      </c>
      <c r="AU861">
        <v>2018</v>
      </c>
      <c r="AV861">
        <v>50</v>
      </c>
      <c r="AW861">
        <v>1</v>
      </c>
      <c r="AX861" t="s">
        <v>74</v>
      </c>
      <c r="AY861" t="s">
        <v>74</v>
      </c>
      <c r="AZ861" t="s">
        <v>74</v>
      </c>
      <c r="BA861" t="s">
        <v>74</v>
      </c>
      <c r="BB861" t="s">
        <v>74</v>
      </c>
      <c r="BC861" t="s">
        <v>74</v>
      </c>
      <c r="BD861" t="s">
        <v>16428</v>
      </c>
      <c r="BE861" t="s">
        <v>16429</v>
      </c>
      <c r="BF861" t="str">
        <f>HYPERLINK("http://dx.doi.org/10.1080/15230430.2018.1463733","http://dx.doi.org/10.1080/15230430.2018.1463733")</f>
        <v>http://dx.doi.org/10.1080/15230430.2018.1463733</v>
      </c>
      <c r="BG861" t="s">
        <v>74</v>
      </c>
      <c r="BH861" t="s">
        <v>74</v>
      </c>
      <c r="BI861">
        <v>11</v>
      </c>
      <c r="BJ861" t="s">
        <v>4350</v>
      </c>
      <c r="BK861" t="s">
        <v>101</v>
      </c>
      <c r="BL861" t="s">
        <v>767</v>
      </c>
      <c r="BM861" t="s">
        <v>16430</v>
      </c>
      <c r="BN861" t="s">
        <v>74</v>
      </c>
      <c r="BO861" t="s">
        <v>1566</v>
      </c>
      <c r="BP861" t="s">
        <v>74</v>
      </c>
      <c r="BQ861" t="s">
        <v>74</v>
      </c>
      <c r="BR861" t="s">
        <v>104</v>
      </c>
      <c r="BS861" t="s">
        <v>16431</v>
      </c>
      <c r="BT861" t="str">
        <f>HYPERLINK("https%3A%2F%2Fwww.webofscience.com%2Fwos%2Fwoscc%2Ffull-record%2FWOS:000438741100001","View Full Record in Web of Science")</f>
        <v>View Full Record in Web of Science</v>
      </c>
    </row>
    <row r="862" spans="1:72" x14ac:dyDescent="0.15">
      <c r="A862" t="s">
        <v>72</v>
      </c>
      <c r="B862" t="s">
        <v>16432</v>
      </c>
      <c r="C862" t="s">
        <v>74</v>
      </c>
      <c r="D862" t="s">
        <v>74</v>
      </c>
      <c r="E862" t="s">
        <v>74</v>
      </c>
      <c r="F862" t="s">
        <v>16433</v>
      </c>
      <c r="G862" t="s">
        <v>74</v>
      </c>
      <c r="H862" t="s">
        <v>74</v>
      </c>
      <c r="I862" t="s">
        <v>16434</v>
      </c>
      <c r="J862" t="s">
        <v>7888</v>
      </c>
      <c r="K862" t="s">
        <v>74</v>
      </c>
      <c r="L862" t="s">
        <v>74</v>
      </c>
      <c r="M862" t="s">
        <v>78</v>
      </c>
      <c r="N862" t="s">
        <v>79</v>
      </c>
      <c r="O862" t="s">
        <v>74</v>
      </c>
      <c r="P862" t="s">
        <v>74</v>
      </c>
      <c r="Q862" t="s">
        <v>74</v>
      </c>
      <c r="R862" t="s">
        <v>74</v>
      </c>
      <c r="S862" t="s">
        <v>74</v>
      </c>
      <c r="T862" t="s">
        <v>16435</v>
      </c>
      <c r="U862" t="s">
        <v>16436</v>
      </c>
      <c r="V862" t="s">
        <v>16437</v>
      </c>
      <c r="W862" t="s">
        <v>16438</v>
      </c>
      <c r="X862" t="s">
        <v>16439</v>
      </c>
      <c r="Y862" t="s">
        <v>16440</v>
      </c>
      <c r="Z862" t="s">
        <v>16441</v>
      </c>
      <c r="AA862" t="s">
        <v>16442</v>
      </c>
      <c r="AB862" t="s">
        <v>16443</v>
      </c>
      <c r="AC862" t="s">
        <v>16444</v>
      </c>
      <c r="AD862" t="s">
        <v>16445</v>
      </c>
      <c r="AE862" t="s">
        <v>16446</v>
      </c>
      <c r="AF862" t="s">
        <v>74</v>
      </c>
      <c r="AG862">
        <v>92</v>
      </c>
      <c r="AH862">
        <v>16</v>
      </c>
      <c r="AI862">
        <v>17</v>
      </c>
      <c r="AJ862">
        <v>0</v>
      </c>
      <c r="AK862">
        <v>17</v>
      </c>
      <c r="AL862" t="s">
        <v>430</v>
      </c>
      <c r="AM862" t="s">
        <v>286</v>
      </c>
      <c r="AN862" t="s">
        <v>431</v>
      </c>
      <c r="AO862" t="s">
        <v>7900</v>
      </c>
      <c r="AP862" t="s">
        <v>7901</v>
      </c>
      <c r="AQ862" t="s">
        <v>74</v>
      </c>
      <c r="AR862" t="s">
        <v>7902</v>
      </c>
      <c r="AS862" t="s">
        <v>7903</v>
      </c>
      <c r="AT862" t="s">
        <v>16427</v>
      </c>
      <c r="AU862">
        <v>2018</v>
      </c>
      <c r="AV862">
        <v>203</v>
      </c>
      <c r="AW862" t="s">
        <v>74</v>
      </c>
      <c r="AX862" t="s">
        <v>74</v>
      </c>
      <c r="AY862" t="s">
        <v>74</v>
      </c>
      <c r="AZ862" t="s">
        <v>74</v>
      </c>
      <c r="BA862" t="s">
        <v>74</v>
      </c>
      <c r="BB862">
        <v>28</v>
      </c>
      <c r="BC862">
        <v>37</v>
      </c>
      <c r="BD862" t="s">
        <v>74</v>
      </c>
      <c r="BE862" t="s">
        <v>16447</v>
      </c>
      <c r="BF862" t="str">
        <f>HYPERLINK("http://dx.doi.org/10.1016/j.marchem.2018.04.005","http://dx.doi.org/10.1016/j.marchem.2018.04.005")</f>
        <v>http://dx.doi.org/10.1016/j.marchem.2018.04.005</v>
      </c>
      <c r="BG862" t="s">
        <v>74</v>
      </c>
      <c r="BH862" t="s">
        <v>74</v>
      </c>
      <c r="BI862">
        <v>10</v>
      </c>
      <c r="BJ862" t="s">
        <v>7906</v>
      </c>
      <c r="BK862" t="s">
        <v>101</v>
      </c>
      <c r="BL862" t="s">
        <v>7907</v>
      </c>
      <c r="BM862" t="s">
        <v>16448</v>
      </c>
      <c r="BN862" t="s">
        <v>74</v>
      </c>
      <c r="BO862" t="s">
        <v>74</v>
      </c>
      <c r="BP862" t="s">
        <v>74</v>
      </c>
      <c r="BQ862" t="s">
        <v>74</v>
      </c>
      <c r="BR862" t="s">
        <v>104</v>
      </c>
      <c r="BS862" t="s">
        <v>16449</v>
      </c>
      <c r="BT862" t="str">
        <f>HYPERLINK("https%3A%2F%2Fwww.webofscience.com%2Fwos%2Fwoscc%2Ffull-record%2FWOS:000438320900004","View Full Record in Web of Science")</f>
        <v>View Full Record in Web of Science</v>
      </c>
    </row>
    <row r="863" spans="1:72" x14ac:dyDescent="0.15">
      <c r="A863" t="s">
        <v>72</v>
      </c>
      <c r="B863" t="s">
        <v>16450</v>
      </c>
      <c r="C863" t="s">
        <v>74</v>
      </c>
      <c r="D863" t="s">
        <v>74</v>
      </c>
      <c r="E863" t="s">
        <v>74</v>
      </c>
      <c r="F863" t="s">
        <v>16451</v>
      </c>
      <c r="G863" t="s">
        <v>74</v>
      </c>
      <c r="H863" t="s">
        <v>74</v>
      </c>
      <c r="I863" t="s">
        <v>16452</v>
      </c>
      <c r="J863" t="s">
        <v>16453</v>
      </c>
      <c r="K863" t="s">
        <v>74</v>
      </c>
      <c r="L863" t="s">
        <v>74</v>
      </c>
      <c r="M863" t="s">
        <v>78</v>
      </c>
      <c r="N863" t="s">
        <v>79</v>
      </c>
      <c r="O863" t="s">
        <v>74</v>
      </c>
      <c r="P863" t="s">
        <v>74</v>
      </c>
      <c r="Q863" t="s">
        <v>74</v>
      </c>
      <c r="R863" t="s">
        <v>74</v>
      </c>
      <c r="S863" t="s">
        <v>74</v>
      </c>
      <c r="T863" t="s">
        <v>16454</v>
      </c>
      <c r="U863" t="s">
        <v>16455</v>
      </c>
      <c r="V863" t="s">
        <v>16456</v>
      </c>
      <c r="W863" t="s">
        <v>16457</v>
      </c>
      <c r="X863" t="s">
        <v>16458</v>
      </c>
      <c r="Y863" t="s">
        <v>16459</v>
      </c>
      <c r="Z863" t="s">
        <v>16460</v>
      </c>
      <c r="AA863" t="s">
        <v>16461</v>
      </c>
      <c r="AB863" t="s">
        <v>16462</v>
      </c>
      <c r="AC863" t="s">
        <v>16463</v>
      </c>
      <c r="AD863" t="s">
        <v>16464</v>
      </c>
      <c r="AE863" t="s">
        <v>16465</v>
      </c>
      <c r="AF863" t="s">
        <v>74</v>
      </c>
      <c r="AG863">
        <v>50</v>
      </c>
      <c r="AH863">
        <v>32</v>
      </c>
      <c r="AI863">
        <v>38</v>
      </c>
      <c r="AJ863">
        <v>1</v>
      </c>
      <c r="AK863">
        <v>14</v>
      </c>
      <c r="AL863" t="s">
        <v>92</v>
      </c>
      <c r="AM863" t="s">
        <v>93</v>
      </c>
      <c r="AN863" t="s">
        <v>94</v>
      </c>
      <c r="AO863" t="s">
        <v>16466</v>
      </c>
      <c r="AP863" t="s">
        <v>74</v>
      </c>
      <c r="AQ863" t="s">
        <v>74</v>
      </c>
      <c r="AR863" t="s">
        <v>16467</v>
      </c>
      <c r="AS863" t="s">
        <v>16468</v>
      </c>
      <c r="AT863" t="s">
        <v>16427</v>
      </c>
      <c r="AU863">
        <v>2018</v>
      </c>
      <c r="AV863">
        <v>6</v>
      </c>
      <c r="AW863" t="s">
        <v>74</v>
      </c>
      <c r="AX863" t="s">
        <v>74</v>
      </c>
      <c r="AY863" t="s">
        <v>74</v>
      </c>
      <c r="AZ863" t="s">
        <v>74</v>
      </c>
      <c r="BA863" t="s">
        <v>74</v>
      </c>
      <c r="BB863" t="s">
        <v>74</v>
      </c>
      <c r="BC863" t="s">
        <v>74</v>
      </c>
      <c r="BD863" t="s">
        <v>16469</v>
      </c>
      <c r="BE863" t="s">
        <v>16470</v>
      </c>
      <c r="BF863" t="str">
        <f>HYPERLINK("http://dx.doi.org/10.1093/conphys/coy031","http://dx.doi.org/10.1093/conphys/coy031")</f>
        <v>http://dx.doi.org/10.1093/conphys/coy031</v>
      </c>
      <c r="BG863" t="s">
        <v>74</v>
      </c>
      <c r="BH863" t="s">
        <v>74</v>
      </c>
      <c r="BI863">
        <v>11</v>
      </c>
      <c r="BJ863" t="s">
        <v>16471</v>
      </c>
      <c r="BK863" t="s">
        <v>101</v>
      </c>
      <c r="BL863" t="s">
        <v>16472</v>
      </c>
      <c r="BM863" t="s">
        <v>16473</v>
      </c>
      <c r="BN863">
        <v>29942518</v>
      </c>
      <c r="BO863" t="s">
        <v>4168</v>
      </c>
      <c r="BP863" t="s">
        <v>74</v>
      </c>
      <c r="BQ863" t="s">
        <v>74</v>
      </c>
      <c r="BR863" t="s">
        <v>104</v>
      </c>
      <c r="BS863" t="s">
        <v>16474</v>
      </c>
      <c r="BT863" t="str">
        <f>HYPERLINK("https%3A%2F%2Fwww.webofscience.com%2Fwos%2Fwoscc%2Ffull-record%2FWOS:000438297500001","View Full Record in Web of Science")</f>
        <v>View Full Record in Web of Science</v>
      </c>
    </row>
    <row r="864" spans="1:72" x14ac:dyDescent="0.15">
      <c r="A864" t="s">
        <v>72</v>
      </c>
      <c r="B864" t="s">
        <v>16475</v>
      </c>
      <c r="C864" t="s">
        <v>74</v>
      </c>
      <c r="D864" t="s">
        <v>74</v>
      </c>
      <c r="E864" t="s">
        <v>74</v>
      </c>
      <c r="F864" t="s">
        <v>16476</v>
      </c>
      <c r="G864" t="s">
        <v>74</v>
      </c>
      <c r="H864" t="s">
        <v>74</v>
      </c>
      <c r="I864" t="s">
        <v>16477</v>
      </c>
      <c r="J864" t="s">
        <v>7832</v>
      </c>
      <c r="K864" t="s">
        <v>74</v>
      </c>
      <c r="L864" t="s">
        <v>74</v>
      </c>
      <c r="M864" t="s">
        <v>78</v>
      </c>
      <c r="N864" t="s">
        <v>79</v>
      </c>
      <c r="O864" t="s">
        <v>74</v>
      </c>
      <c r="P864" t="s">
        <v>74</v>
      </c>
      <c r="Q864" t="s">
        <v>74</v>
      </c>
      <c r="R864" t="s">
        <v>74</v>
      </c>
      <c r="S864" t="s">
        <v>74</v>
      </c>
      <c r="T864" t="s">
        <v>74</v>
      </c>
      <c r="U864" t="s">
        <v>16478</v>
      </c>
      <c r="V864" t="s">
        <v>16479</v>
      </c>
      <c r="W864" t="s">
        <v>16480</v>
      </c>
      <c r="X864" t="s">
        <v>16481</v>
      </c>
      <c r="Y864" t="s">
        <v>16482</v>
      </c>
      <c r="Z864" t="s">
        <v>16483</v>
      </c>
      <c r="AA864" t="s">
        <v>74</v>
      </c>
      <c r="AB864" t="s">
        <v>16484</v>
      </c>
      <c r="AC864" t="s">
        <v>16485</v>
      </c>
      <c r="AD864" t="s">
        <v>16486</v>
      </c>
      <c r="AE864" t="s">
        <v>16487</v>
      </c>
      <c r="AF864" t="s">
        <v>74</v>
      </c>
      <c r="AG864">
        <v>56</v>
      </c>
      <c r="AH864">
        <v>30</v>
      </c>
      <c r="AI864">
        <v>31</v>
      </c>
      <c r="AJ864">
        <v>0</v>
      </c>
      <c r="AK864">
        <v>12</v>
      </c>
      <c r="AL864" t="s">
        <v>3353</v>
      </c>
      <c r="AM864" t="s">
        <v>3354</v>
      </c>
      <c r="AN864" t="s">
        <v>3355</v>
      </c>
      <c r="AO864" t="s">
        <v>7844</v>
      </c>
      <c r="AP864" t="s">
        <v>7845</v>
      </c>
      <c r="AQ864" t="s">
        <v>74</v>
      </c>
      <c r="AR864" t="s">
        <v>7832</v>
      </c>
      <c r="AS864" t="s">
        <v>7846</v>
      </c>
      <c r="AT864" t="s">
        <v>16427</v>
      </c>
      <c r="AU864">
        <v>2018</v>
      </c>
      <c r="AV864">
        <v>15</v>
      </c>
      <c r="AW864">
        <v>12</v>
      </c>
      <c r="AX864" t="s">
        <v>74</v>
      </c>
      <c r="AY864" t="s">
        <v>74</v>
      </c>
      <c r="AZ864" t="s">
        <v>74</v>
      </c>
      <c r="BA864" t="s">
        <v>74</v>
      </c>
      <c r="BB864">
        <v>3761</v>
      </c>
      <c r="BC864">
        <v>3777</v>
      </c>
      <c r="BD864" t="s">
        <v>74</v>
      </c>
      <c r="BE864" t="s">
        <v>16488</v>
      </c>
      <c r="BF864" t="str">
        <f>HYPERLINK("http://dx.doi.org/10.5194/bg-15-3761-2018","http://dx.doi.org/10.5194/bg-15-3761-2018")</f>
        <v>http://dx.doi.org/10.5194/bg-15-3761-2018</v>
      </c>
      <c r="BG864" t="s">
        <v>74</v>
      </c>
      <c r="BH864" t="s">
        <v>74</v>
      </c>
      <c r="BI864">
        <v>17</v>
      </c>
      <c r="BJ864" t="s">
        <v>7849</v>
      </c>
      <c r="BK864" t="s">
        <v>101</v>
      </c>
      <c r="BL864" t="s">
        <v>5223</v>
      </c>
      <c r="BM864" t="s">
        <v>16489</v>
      </c>
      <c r="BN864" t="s">
        <v>74</v>
      </c>
      <c r="BO864" t="s">
        <v>3406</v>
      </c>
      <c r="BP864" t="s">
        <v>74</v>
      </c>
      <c r="BQ864" t="s">
        <v>74</v>
      </c>
      <c r="BR864" t="s">
        <v>104</v>
      </c>
      <c r="BS864" t="s">
        <v>16490</v>
      </c>
      <c r="BT864" t="str">
        <f>HYPERLINK("https%3A%2F%2Fwww.webofscience.com%2Fwos%2Fwoscc%2Ffull-record%2FWOS:000435652900004","View Full Record in Web of Science")</f>
        <v>View Full Record in Web of Science</v>
      </c>
    </row>
    <row r="865" spans="1:72" x14ac:dyDescent="0.15">
      <c r="A865" t="s">
        <v>72</v>
      </c>
      <c r="B865" t="s">
        <v>16491</v>
      </c>
      <c r="C865" t="s">
        <v>74</v>
      </c>
      <c r="D865" t="s">
        <v>74</v>
      </c>
      <c r="E865" t="s">
        <v>74</v>
      </c>
      <c r="F865" t="s">
        <v>16492</v>
      </c>
      <c r="G865" t="s">
        <v>74</v>
      </c>
      <c r="H865" t="s">
        <v>74</v>
      </c>
      <c r="I865" t="s">
        <v>16493</v>
      </c>
      <c r="J865" t="s">
        <v>3387</v>
      </c>
      <c r="K865" t="s">
        <v>74</v>
      </c>
      <c r="L865" t="s">
        <v>74</v>
      </c>
      <c r="M865" t="s">
        <v>78</v>
      </c>
      <c r="N865" t="s">
        <v>79</v>
      </c>
      <c r="O865" t="s">
        <v>74</v>
      </c>
      <c r="P865" t="s">
        <v>74</v>
      </c>
      <c r="Q865" t="s">
        <v>74</v>
      </c>
      <c r="R865" t="s">
        <v>74</v>
      </c>
      <c r="S865" t="s">
        <v>74</v>
      </c>
      <c r="T865" t="s">
        <v>74</v>
      </c>
      <c r="U865" t="s">
        <v>16494</v>
      </c>
      <c r="V865" t="s">
        <v>16495</v>
      </c>
      <c r="W865" t="s">
        <v>16496</v>
      </c>
      <c r="X865" t="s">
        <v>16497</v>
      </c>
      <c r="Y865" t="s">
        <v>16498</v>
      </c>
      <c r="Z865" t="s">
        <v>16499</v>
      </c>
      <c r="AA865" t="s">
        <v>16500</v>
      </c>
      <c r="AB865" t="s">
        <v>16501</v>
      </c>
      <c r="AC865" t="s">
        <v>16502</v>
      </c>
      <c r="AD865" t="s">
        <v>16503</v>
      </c>
      <c r="AE865" t="s">
        <v>16504</v>
      </c>
      <c r="AF865" t="s">
        <v>74</v>
      </c>
      <c r="AG865">
        <v>90</v>
      </c>
      <c r="AH865">
        <v>21</v>
      </c>
      <c r="AI865">
        <v>21</v>
      </c>
      <c r="AJ865">
        <v>2</v>
      </c>
      <c r="AK865">
        <v>8</v>
      </c>
      <c r="AL865" t="s">
        <v>3353</v>
      </c>
      <c r="AM865" t="s">
        <v>3354</v>
      </c>
      <c r="AN865" t="s">
        <v>3355</v>
      </c>
      <c r="AO865" t="s">
        <v>3399</v>
      </c>
      <c r="AP865" t="s">
        <v>3400</v>
      </c>
      <c r="AQ865" t="s">
        <v>74</v>
      </c>
      <c r="AR865" t="s">
        <v>3401</v>
      </c>
      <c r="AS865" t="s">
        <v>3402</v>
      </c>
      <c r="AT865" t="s">
        <v>16427</v>
      </c>
      <c r="AU865">
        <v>2018</v>
      </c>
      <c r="AV865">
        <v>18</v>
      </c>
      <c r="AW865">
        <v>12</v>
      </c>
      <c r="AX865" t="s">
        <v>74</v>
      </c>
      <c r="AY865" t="s">
        <v>74</v>
      </c>
      <c r="AZ865" t="s">
        <v>74</v>
      </c>
      <c r="BA865" t="s">
        <v>74</v>
      </c>
      <c r="BB865">
        <v>8647</v>
      </c>
      <c r="BC865">
        <v>8666</v>
      </c>
      <c r="BD865" t="s">
        <v>74</v>
      </c>
      <c r="BE865" t="s">
        <v>16505</v>
      </c>
      <c r="BF865" t="str">
        <f>HYPERLINK("http://dx.doi.org/10.5194/acp-18-8647-2018","http://dx.doi.org/10.5194/acp-18-8647-2018")</f>
        <v>http://dx.doi.org/10.5194/acp-18-8647-2018</v>
      </c>
      <c r="BG865" t="s">
        <v>74</v>
      </c>
      <c r="BH865" t="s">
        <v>74</v>
      </c>
      <c r="BI865">
        <v>20</v>
      </c>
      <c r="BJ865" t="s">
        <v>317</v>
      </c>
      <c r="BK865" t="s">
        <v>101</v>
      </c>
      <c r="BL865" t="s">
        <v>318</v>
      </c>
      <c r="BM865" t="s">
        <v>16506</v>
      </c>
      <c r="BN865" t="s">
        <v>74</v>
      </c>
      <c r="BO865" t="s">
        <v>4168</v>
      </c>
      <c r="BP865" t="s">
        <v>74</v>
      </c>
      <c r="BQ865" t="s">
        <v>74</v>
      </c>
      <c r="BR865" t="s">
        <v>104</v>
      </c>
      <c r="BS865" t="s">
        <v>16507</v>
      </c>
      <c r="BT865" t="str">
        <f>HYPERLINK("https%3A%2F%2Fwww.webofscience.com%2Fwos%2Fwoscc%2Ffull-record%2FWOS:000435651200002","View Full Record in Web of Science")</f>
        <v>View Full Record in Web of Science</v>
      </c>
    </row>
    <row r="866" spans="1:72" x14ac:dyDescent="0.15">
      <c r="A866" t="s">
        <v>72</v>
      </c>
      <c r="B866" t="s">
        <v>16508</v>
      </c>
      <c r="C866" t="s">
        <v>74</v>
      </c>
      <c r="D866" t="s">
        <v>74</v>
      </c>
      <c r="E866" t="s">
        <v>74</v>
      </c>
      <c r="F866" t="s">
        <v>16509</v>
      </c>
      <c r="G866" t="s">
        <v>74</v>
      </c>
      <c r="H866" t="s">
        <v>74</v>
      </c>
      <c r="I866" t="s">
        <v>16510</v>
      </c>
      <c r="J866" t="s">
        <v>15792</v>
      </c>
      <c r="K866" t="s">
        <v>74</v>
      </c>
      <c r="L866" t="s">
        <v>74</v>
      </c>
      <c r="M866" t="s">
        <v>78</v>
      </c>
      <c r="N866" t="s">
        <v>79</v>
      </c>
      <c r="O866" t="s">
        <v>74</v>
      </c>
      <c r="P866" t="s">
        <v>74</v>
      </c>
      <c r="Q866" t="s">
        <v>74</v>
      </c>
      <c r="R866" t="s">
        <v>74</v>
      </c>
      <c r="S866" t="s">
        <v>74</v>
      </c>
      <c r="T866" t="s">
        <v>16511</v>
      </c>
      <c r="U866" t="s">
        <v>16512</v>
      </c>
      <c r="V866" t="s">
        <v>16513</v>
      </c>
      <c r="W866" t="s">
        <v>16514</v>
      </c>
      <c r="X866" t="s">
        <v>16515</v>
      </c>
      <c r="Y866" t="s">
        <v>16516</v>
      </c>
      <c r="Z866" t="s">
        <v>16517</v>
      </c>
      <c r="AA866" t="s">
        <v>16518</v>
      </c>
      <c r="AB866" t="s">
        <v>16519</v>
      </c>
      <c r="AC866" t="s">
        <v>16520</v>
      </c>
      <c r="AD866" t="s">
        <v>16521</v>
      </c>
      <c r="AE866" t="s">
        <v>16522</v>
      </c>
      <c r="AF866" t="s">
        <v>74</v>
      </c>
      <c r="AG866">
        <v>66</v>
      </c>
      <c r="AH866">
        <v>25</v>
      </c>
      <c r="AI866">
        <v>28</v>
      </c>
      <c r="AJ866">
        <v>2</v>
      </c>
      <c r="AK866">
        <v>32</v>
      </c>
      <c r="AL866" t="s">
        <v>3514</v>
      </c>
      <c r="AM866" t="s">
        <v>704</v>
      </c>
      <c r="AN866" t="s">
        <v>3515</v>
      </c>
      <c r="AO866" t="s">
        <v>15804</v>
      </c>
      <c r="AP866" t="s">
        <v>74</v>
      </c>
      <c r="AQ866" t="s">
        <v>74</v>
      </c>
      <c r="AR866" t="s">
        <v>15792</v>
      </c>
      <c r="AS866" t="s">
        <v>15805</v>
      </c>
      <c r="AT866" t="s">
        <v>16427</v>
      </c>
      <c r="AU866">
        <v>2018</v>
      </c>
      <c r="AV866">
        <v>6</v>
      </c>
      <c r="AW866" t="s">
        <v>74</v>
      </c>
      <c r="AX866" t="s">
        <v>74</v>
      </c>
      <c r="AY866" t="s">
        <v>74</v>
      </c>
      <c r="AZ866" t="s">
        <v>74</v>
      </c>
      <c r="BA866" t="s">
        <v>74</v>
      </c>
      <c r="BB866" t="s">
        <v>74</v>
      </c>
      <c r="BC866" t="s">
        <v>74</v>
      </c>
      <c r="BD866">
        <v>113</v>
      </c>
      <c r="BE866" t="s">
        <v>16523</v>
      </c>
      <c r="BF866" t="str">
        <f>HYPERLINK("http://dx.doi.org/10.1186/s40168-018-0495-3","http://dx.doi.org/10.1186/s40168-018-0495-3")</f>
        <v>http://dx.doi.org/10.1186/s40168-018-0495-3</v>
      </c>
      <c r="BG866" t="s">
        <v>74</v>
      </c>
      <c r="BH866" t="s">
        <v>74</v>
      </c>
      <c r="BI866">
        <v>16</v>
      </c>
      <c r="BJ866" t="s">
        <v>344</v>
      </c>
      <c r="BK866" t="s">
        <v>101</v>
      </c>
      <c r="BL866" t="s">
        <v>344</v>
      </c>
      <c r="BM866" t="s">
        <v>16524</v>
      </c>
      <c r="BN866">
        <v>29925429</v>
      </c>
      <c r="BO866" t="s">
        <v>439</v>
      </c>
      <c r="BP866" t="s">
        <v>74</v>
      </c>
      <c r="BQ866" t="s">
        <v>74</v>
      </c>
      <c r="BR866" t="s">
        <v>104</v>
      </c>
      <c r="BS866" t="s">
        <v>16525</v>
      </c>
      <c r="BT866" t="str">
        <f>HYPERLINK("https%3A%2F%2Fwww.webofscience.com%2Fwos%2Fwoscc%2Ffull-record%2FWOS:000435838300002","View Full Record in Web of Science")</f>
        <v>View Full Record in Web of Science</v>
      </c>
    </row>
    <row r="867" spans="1:72" x14ac:dyDescent="0.15">
      <c r="A867" t="s">
        <v>72</v>
      </c>
      <c r="B867" t="s">
        <v>16526</v>
      </c>
      <c r="C867" t="s">
        <v>74</v>
      </c>
      <c r="D867" t="s">
        <v>74</v>
      </c>
      <c r="E867" t="s">
        <v>74</v>
      </c>
      <c r="F867" t="s">
        <v>16527</v>
      </c>
      <c r="G867" t="s">
        <v>74</v>
      </c>
      <c r="H867" t="s">
        <v>74</v>
      </c>
      <c r="I867" t="s">
        <v>16528</v>
      </c>
      <c r="J867" t="s">
        <v>15577</v>
      </c>
      <c r="K867" t="s">
        <v>74</v>
      </c>
      <c r="L867" t="s">
        <v>74</v>
      </c>
      <c r="M867" t="s">
        <v>78</v>
      </c>
      <c r="N867" t="s">
        <v>79</v>
      </c>
      <c r="O867" t="s">
        <v>74</v>
      </c>
      <c r="P867" t="s">
        <v>74</v>
      </c>
      <c r="Q867" t="s">
        <v>74</v>
      </c>
      <c r="R867" t="s">
        <v>74</v>
      </c>
      <c r="S867" t="s">
        <v>74</v>
      </c>
      <c r="T867" t="s">
        <v>16529</v>
      </c>
      <c r="U867" t="s">
        <v>16530</v>
      </c>
      <c r="V867" t="s">
        <v>16531</v>
      </c>
      <c r="W867" t="s">
        <v>16532</v>
      </c>
      <c r="X867" t="s">
        <v>16533</v>
      </c>
      <c r="Y867" t="s">
        <v>16534</v>
      </c>
      <c r="Z867" t="s">
        <v>16535</v>
      </c>
      <c r="AA867" t="s">
        <v>74</v>
      </c>
      <c r="AB867" t="s">
        <v>16536</v>
      </c>
      <c r="AC867" t="s">
        <v>16537</v>
      </c>
      <c r="AD867" t="s">
        <v>16538</v>
      </c>
      <c r="AE867" t="s">
        <v>16539</v>
      </c>
      <c r="AF867" t="s">
        <v>74</v>
      </c>
      <c r="AG867">
        <v>52</v>
      </c>
      <c r="AH867">
        <v>9</v>
      </c>
      <c r="AI867">
        <v>10</v>
      </c>
      <c r="AJ867">
        <v>5</v>
      </c>
      <c r="AK867">
        <v>41</v>
      </c>
      <c r="AL867" t="s">
        <v>149</v>
      </c>
      <c r="AM867" t="s">
        <v>93</v>
      </c>
      <c r="AN867" t="s">
        <v>150</v>
      </c>
      <c r="AO867" t="s">
        <v>15589</v>
      </c>
      <c r="AP867" t="s">
        <v>15590</v>
      </c>
      <c r="AQ867" t="s">
        <v>74</v>
      </c>
      <c r="AR867" t="s">
        <v>15591</v>
      </c>
      <c r="AS867" t="s">
        <v>15592</v>
      </c>
      <c r="AT867" t="s">
        <v>16427</v>
      </c>
      <c r="AU867">
        <v>2018</v>
      </c>
      <c r="AV867">
        <v>479</v>
      </c>
      <c r="AW867" t="s">
        <v>74</v>
      </c>
      <c r="AX867" t="s">
        <v>74</v>
      </c>
      <c r="AY867" t="s">
        <v>74</v>
      </c>
      <c r="AZ867" t="s">
        <v>155</v>
      </c>
      <c r="BA867" t="s">
        <v>74</v>
      </c>
      <c r="BB867">
        <v>141</v>
      </c>
      <c r="BC867">
        <v>147</v>
      </c>
      <c r="BD867" t="s">
        <v>74</v>
      </c>
      <c r="BE867" t="s">
        <v>16540</v>
      </c>
      <c r="BF867" t="str">
        <f>HYPERLINK("http://dx.doi.org/10.1016/j.quaint.2017.04.017","http://dx.doi.org/10.1016/j.quaint.2017.04.017")</f>
        <v>http://dx.doi.org/10.1016/j.quaint.2017.04.017</v>
      </c>
      <c r="BG867" t="s">
        <v>74</v>
      </c>
      <c r="BH867" t="s">
        <v>74</v>
      </c>
      <c r="BI867">
        <v>7</v>
      </c>
      <c r="BJ867" t="s">
        <v>208</v>
      </c>
      <c r="BK867" t="s">
        <v>101</v>
      </c>
      <c r="BL867" t="s">
        <v>209</v>
      </c>
      <c r="BM867" t="s">
        <v>16541</v>
      </c>
      <c r="BN867" t="s">
        <v>74</v>
      </c>
      <c r="BO867" t="s">
        <v>74</v>
      </c>
      <c r="BP867" t="s">
        <v>74</v>
      </c>
      <c r="BQ867" t="s">
        <v>74</v>
      </c>
      <c r="BR867" t="s">
        <v>104</v>
      </c>
      <c r="BS867" t="s">
        <v>16542</v>
      </c>
      <c r="BT867" t="str">
        <f>HYPERLINK("https%3A%2F%2Fwww.webofscience.com%2Fwos%2Fwoscc%2Ffull-record%2FWOS:000433225600017","View Full Record in Web of Science")</f>
        <v>View Full Record in Web of Science</v>
      </c>
    </row>
    <row r="868" spans="1:72" x14ac:dyDescent="0.15">
      <c r="A868" t="s">
        <v>72</v>
      </c>
      <c r="B868" t="s">
        <v>16543</v>
      </c>
      <c r="C868" t="s">
        <v>74</v>
      </c>
      <c r="D868" t="s">
        <v>74</v>
      </c>
      <c r="E868" t="s">
        <v>74</v>
      </c>
      <c r="F868" t="s">
        <v>16544</v>
      </c>
      <c r="G868" t="s">
        <v>74</v>
      </c>
      <c r="H868" t="s">
        <v>74</v>
      </c>
      <c r="I868" t="s">
        <v>16545</v>
      </c>
      <c r="J868" t="s">
        <v>3161</v>
      </c>
      <c r="K868" t="s">
        <v>74</v>
      </c>
      <c r="L868" t="s">
        <v>74</v>
      </c>
      <c r="M868" t="s">
        <v>78</v>
      </c>
      <c r="N868" t="s">
        <v>79</v>
      </c>
      <c r="O868" t="s">
        <v>74</v>
      </c>
      <c r="P868" t="s">
        <v>74</v>
      </c>
      <c r="Q868" t="s">
        <v>74</v>
      </c>
      <c r="R868" t="s">
        <v>74</v>
      </c>
      <c r="S868" t="s">
        <v>74</v>
      </c>
      <c r="T868" t="s">
        <v>16546</v>
      </c>
      <c r="U868" t="s">
        <v>16547</v>
      </c>
      <c r="V868" t="s">
        <v>16548</v>
      </c>
      <c r="W868" t="s">
        <v>16549</v>
      </c>
      <c r="X868" t="s">
        <v>16550</v>
      </c>
      <c r="Y868" t="s">
        <v>16551</v>
      </c>
      <c r="Z868" t="s">
        <v>12854</v>
      </c>
      <c r="AA868" t="s">
        <v>16552</v>
      </c>
      <c r="AB868" t="s">
        <v>16553</v>
      </c>
      <c r="AC868" t="s">
        <v>16554</v>
      </c>
      <c r="AD868" t="s">
        <v>16555</v>
      </c>
      <c r="AE868" t="s">
        <v>16556</v>
      </c>
      <c r="AF868" t="s">
        <v>74</v>
      </c>
      <c r="AG868">
        <v>41</v>
      </c>
      <c r="AH868">
        <v>14</v>
      </c>
      <c r="AI868">
        <v>14</v>
      </c>
      <c r="AJ868">
        <v>1</v>
      </c>
      <c r="AK868">
        <v>17</v>
      </c>
      <c r="AL868" t="s">
        <v>3174</v>
      </c>
      <c r="AM868" t="s">
        <v>3175</v>
      </c>
      <c r="AN868" t="s">
        <v>3176</v>
      </c>
      <c r="AO868" t="s">
        <v>3177</v>
      </c>
      <c r="AP868" t="s">
        <v>74</v>
      </c>
      <c r="AQ868" t="s">
        <v>74</v>
      </c>
      <c r="AR868" t="s">
        <v>3178</v>
      </c>
      <c r="AS868" t="s">
        <v>3179</v>
      </c>
      <c r="AT868" t="s">
        <v>16557</v>
      </c>
      <c r="AU868">
        <v>2018</v>
      </c>
      <c r="AV868">
        <v>6</v>
      </c>
      <c r="AW868" t="s">
        <v>74</v>
      </c>
      <c r="AX868" t="s">
        <v>74</v>
      </c>
      <c r="AY868" t="s">
        <v>74</v>
      </c>
      <c r="AZ868" t="s">
        <v>74</v>
      </c>
      <c r="BA868" t="s">
        <v>74</v>
      </c>
      <c r="BB868" t="s">
        <v>74</v>
      </c>
      <c r="BC868" t="s">
        <v>74</v>
      </c>
      <c r="BD868">
        <v>81</v>
      </c>
      <c r="BE868" t="s">
        <v>16558</v>
      </c>
      <c r="BF868" t="str">
        <f>HYPERLINK("http://dx.doi.org/10.3389/fevo.2018.00081","http://dx.doi.org/10.3389/fevo.2018.00081")</f>
        <v>http://dx.doi.org/10.3389/fevo.2018.00081</v>
      </c>
      <c r="BG868" t="s">
        <v>74</v>
      </c>
      <c r="BH868" t="s">
        <v>74</v>
      </c>
      <c r="BI868">
        <v>10</v>
      </c>
      <c r="BJ868" t="s">
        <v>2087</v>
      </c>
      <c r="BK868" t="s">
        <v>101</v>
      </c>
      <c r="BL868" t="s">
        <v>559</v>
      </c>
      <c r="BM868" t="s">
        <v>16559</v>
      </c>
      <c r="BN868" t="s">
        <v>74</v>
      </c>
      <c r="BO868" t="s">
        <v>4275</v>
      </c>
      <c r="BP868" t="s">
        <v>74</v>
      </c>
      <c r="BQ868" t="s">
        <v>74</v>
      </c>
      <c r="BR868" t="s">
        <v>104</v>
      </c>
      <c r="BS868" t="s">
        <v>16560</v>
      </c>
      <c r="BT868" t="str">
        <f>HYPERLINK("https%3A%2F%2Fwww.webofscience.com%2Fwos%2Fwoscc%2Ffull-record%2FWOS:000451661800001","View Full Record in Web of Science")</f>
        <v>View Full Record in Web of Science</v>
      </c>
    </row>
    <row r="869" spans="1:72" x14ac:dyDescent="0.15">
      <c r="A869" t="s">
        <v>72</v>
      </c>
      <c r="B869" t="s">
        <v>16561</v>
      </c>
      <c r="C869" t="s">
        <v>74</v>
      </c>
      <c r="D869" t="s">
        <v>74</v>
      </c>
      <c r="E869" t="s">
        <v>74</v>
      </c>
      <c r="F869" t="s">
        <v>16562</v>
      </c>
      <c r="G869" t="s">
        <v>74</v>
      </c>
      <c r="H869" t="s">
        <v>74</v>
      </c>
      <c r="I869" t="s">
        <v>16563</v>
      </c>
      <c r="J869" t="s">
        <v>3588</v>
      </c>
      <c r="K869" t="s">
        <v>74</v>
      </c>
      <c r="L869" t="s">
        <v>74</v>
      </c>
      <c r="M869" t="s">
        <v>78</v>
      </c>
      <c r="N869" t="s">
        <v>79</v>
      </c>
      <c r="O869" t="s">
        <v>74</v>
      </c>
      <c r="P869" t="s">
        <v>74</v>
      </c>
      <c r="Q869" t="s">
        <v>74</v>
      </c>
      <c r="R869" t="s">
        <v>74</v>
      </c>
      <c r="S869" t="s">
        <v>74</v>
      </c>
      <c r="T869" t="s">
        <v>74</v>
      </c>
      <c r="U869" t="s">
        <v>16564</v>
      </c>
      <c r="V869" t="s">
        <v>16565</v>
      </c>
      <c r="W869" t="s">
        <v>16566</v>
      </c>
      <c r="X869" t="s">
        <v>16567</v>
      </c>
      <c r="Y869" t="s">
        <v>16568</v>
      </c>
      <c r="Z869" t="s">
        <v>16569</v>
      </c>
      <c r="AA869" t="s">
        <v>16570</v>
      </c>
      <c r="AB869" t="s">
        <v>16571</v>
      </c>
      <c r="AC869" t="s">
        <v>16572</v>
      </c>
      <c r="AD869" t="s">
        <v>16573</v>
      </c>
      <c r="AE869" t="s">
        <v>16574</v>
      </c>
      <c r="AF869" t="s">
        <v>74</v>
      </c>
      <c r="AG869">
        <v>39</v>
      </c>
      <c r="AH869">
        <v>8</v>
      </c>
      <c r="AI869">
        <v>8</v>
      </c>
      <c r="AJ869">
        <v>2</v>
      </c>
      <c r="AK869">
        <v>31</v>
      </c>
      <c r="AL869" t="s">
        <v>3599</v>
      </c>
      <c r="AM869" t="s">
        <v>3600</v>
      </c>
      <c r="AN869" t="s">
        <v>3601</v>
      </c>
      <c r="AO869" t="s">
        <v>3602</v>
      </c>
      <c r="AP869" t="s">
        <v>74</v>
      </c>
      <c r="AQ869" t="s">
        <v>74</v>
      </c>
      <c r="AR869" t="s">
        <v>3588</v>
      </c>
      <c r="AS869" t="s">
        <v>3603</v>
      </c>
      <c r="AT869" t="s">
        <v>16557</v>
      </c>
      <c r="AU869">
        <v>2018</v>
      </c>
      <c r="AV869">
        <v>13</v>
      </c>
      <c r="AW869">
        <v>6</v>
      </c>
      <c r="AX869" t="s">
        <v>74</v>
      </c>
      <c r="AY869" t="s">
        <v>74</v>
      </c>
      <c r="AZ869" t="s">
        <v>74</v>
      </c>
      <c r="BA869" t="s">
        <v>74</v>
      </c>
      <c r="BB869" t="s">
        <v>74</v>
      </c>
      <c r="BC869" t="s">
        <v>74</v>
      </c>
      <c r="BD869" t="s">
        <v>16575</v>
      </c>
      <c r="BE869" t="s">
        <v>16576</v>
      </c>
      <c r="BF869" t="str">
        <f>HYPERLINK("http://dx.doi.org/10.1371/journal.pone.0199356","http://dx.doi.org/10.1371/journal.pone.0199356")</f>
        <v>http://dx.doi.org/10.1371/journal.pone.0199356</v>
      </c>
      <c r="BG869" t="s">
        <v>74</v>
      </c>
      <c r="BH869" t="s">
        <v>74</v>
      </c>
      <c r="BI869">
        <v>17</v>
      </c>
      <c r="BJ869" t="s">
        <v>436</v>
      </c>
      <c r="BK869" t="s">
        <v>101</v>
      </c>
      <c r="BL869" t="s">
        <v>437</v>
      </c>
      <c r="BM869" t="s">
        <v>16577</v>
      </c>
      <c r="BN869">
        <v>29920565</v>
      </c>
      <c r="BO869" t="s">
        <v>4310</v>
      </c>
      <c r="BP869" t="s">
        <v>74</v>
      </c>
      <c r="BQ869" t="s">
        <v>74</v>
      </c>
      <c r="BR869" t="s">
        <v>104</v>
      </c>
      <c r="BS869" t="s">
        <v>16578</v>
      </c>
      <c r="BT869" t="str">
        <f>HYPERLINK("https%3A%2F%2Fwww.webofscience.com%2Fwos%2Fwoscc%2Ffull-record%2FWOS:000435541300038","View Full Record in Web of Science")</f>
        <v>View Full Record in Web of Science</v>
      </c>
    </row>
    <row r="870" spans="1:72" x14ac:dyDescent="0.15">
      <c r="A870" t="s">
        <v>72</v>
      </c>
      <c r="B870" t="s">
        <v>16579</v>
      </c>
      <c r="C870" t="s">
        <v>74</v>
      </c>
      <c r="D870" t="s">
        <v>74</v>
      </c>
      <c r="E870" t="s">
        <v>74</v>
      </c>
      <c r="F870" t="s">
        <v>16580</v>
      </c>
      <c r="G870" t="s">
        <v>74</v>
      </c>
      <c r="H870" t="s">
        <v>74</v>
      </c>
      <c r="I870" t="s">
        <v>16581</v>
      </c>
      <c r="J870" t="s">
        <v>3387</v>
      </c>
      <c r="K870" t="s">
        <v>74</v>
      </c>
      <c r="L870" t="s">
        <v>74</v>
      </c>
      <c r="M870" t="s">
        <v>78</v>
      </c>
      <c r="N870" t="s">
        <v>79</v>
      </c>
      <c r="O870" t="s">
        <v>74</v>
      </c>
      <c r="P870" t="s">
        <v>74</v>
      </c>
      <c r="Q870" t="s">
        <v>74</v>
      </c>
      <c r="R870" t="s">
        <v>74</v>
      </c>
      <c r="S870" t="s">
        <v>74</v>
      </c>
      <c r="T870" t="s">
        <v>74</v>
      </c>
      <c r="U870" t="s">
        <v>16582</v>
      </c>
      <c r="V870" t="s">
        <v>16583</v>
      </c>
      <c r="W870" t="s">
        <v>16584</v>
      </c>
      <c r="X870" t="s">
        <v>16585</v>
      </c>
      <c r="Y870" t="s">
        <v>16586</v>
      </c>
      <c r="Z870" t="s">
        <v>16587</v>
      </c>
      <c r="AA870" t="s">
        <v>16588</v>
      </c>
      <c r="AB870" t="s">
        <v>16589</v>
      </c>
      <c r="AC870" t="s">
        <v>16590</v>
      </c>
      <c r="AD870" t="s">
        <v>16591</v>
      </c>
      <c r="AE870" t="s">
        <v>16592</v>
      </c>
      <c r="AF870" t="s">
        <v>74</v>
      </c>
      <c r="AG870">
        <v>137</v>
      </c>
      <c r="AH870">
        <v>30</v>
      </c>
      <c r="AI870">
        <v>35</v>
      </c>
      <c r="AJ870">
        <v>3</v>
      </c>
      <c r="AK870">
        <v>32</v>
      </c>
      <c r="AL870" t="s">
        <v>3353</v>
      </c>
      <c r="AM870" t="s">
        <v>3354</v>
      </c>
      <c r="AN870" t="s">
        <v>3355</v>
      </c>
      <c r="AO870" t="s">
        <v>3399</v>
      </c>
      <c r="AP870" t="s">
        <v>3400</v>
      </c>
      <c r="AQ870" t="s">
        <v>74</v>
      </c>
      <c r="AR870" t="s">
        <v>3401</v>
      </c>
      <c r="AS870" t="s">
        <v>3402</v>
      </c>
      <c r="AT870" t="s">
        <v>16593</v>
      </c>
      <c r="AU870">
        <v>2018</v>
      </c>
      <c r="AV870">
        <v>18</v>
      </c>
      <c r="AW870">
        <v>12</v>
      </c>
      <c r="AX870" t="s">
        <v>74</v>
      </c>
      <c r="AY870" t="s">
        <v>74</v>
      </c>
      <c r="AZ870" t="s">
        <v>74</v>
      </c>
      <c r="BA870" t="s">
        <v>74</v>
      </c>
      <c r="BB870">
        <v>8571</v>
      </c>
      <c r="BC870">
        <v>8587</v>
      </c>
      <c r="BD870" t="s">
        <v>74</v>
      </c>
      <c r="BE870" t="s">
        <v>16594</v>
      </c>
      <c r="BF870" t="str">
        <f>HYPERLINK("http://dx.doi.org/10.5194/acp-18-8571-2018","http://dx.doi.org/10.5194/acp-18-8571-2018")</f>
        <v>http://dx.doi.org/10.5194/acp-18-8571-2018</v>
      </c>
      <c r="BG870" t="s">
        <v>74</v>
      </c>
      <c r="BH870" t="s">
        <v>74</v>
      </c>
      <c r="BI870">
        <v>17</v>
      </c>
      <c r="BJ870" t="s">
        <v>317</v>
      </c>
      <c r="BK870" t="s">
        <v>101</v>
      </c>
      <c r="BL870" t="s">
        <v>318</v>
      </c>
      <c r="BM870" t="s">
        <v>16595</v>
      </c>
      <c r="BN870" t="s">
        <v>74</v>
      </c>
      <c r="BO870" t="s">
        <v>1524</v>
      </c>
      <c r="BP870" t="s">
        <v>74</v>
      </c>
      <c r="BQ870" t="s">
        <v>74</v>
      </c>
      <c r="BR870" t="s">
        <v>104</v>
      </c>
      <c r="BS870" t="s">
        <v>16596</v>
      </c>
      <c r="BT870" t="str">
        <f>HYPERLINK("https%3A%2F%2Fwww.webofscience.com%2Fwos%2Fwoscc%2Ffull-record%2FWOS:000435484300006","View Full Record in Web of Science")</f>
        <v>View Full Record in Web of Science</v>
      </c>
    </row>
    <row r="871" spans="1:72" x14ac:dyDescent="0.15">
      <c r="A871" t="s">
        <v>72</v>
      </c>
      <c r="B871" t="s">
        <v>16597</v>
      </c>
      <c r="C871" t="s">
        <v>74</v>
      </c>
      <c r="D871" t="s">
        <v>74</v>
      </c>
      <c r="E871" t="s">
        <v>74</v>
      </c>
      <c r="F871" t="s">
        <v>16598</v>
      </c>
      <c r="G871" t="s">
        <v>74</v>
      </c>
      <c r="H871" t="s">
        <v>74</v>
      </c>
      <c r="I871" t="s">
        <v>16599</v>
      </c>
      <c r="J871" t="s">
        <v>7645</v>
      </c>
      <c r="K871" t="s">
        <v>74</v>
      </c>
      <c r="L871" t="s">
        <v>74</v>
      </c>
      <c r="M871" t="s">
        <v>78</v>
      </c>
      <c r="N871" t="s">
        <v>79</v>
      </c>
      <c r="O871" t="s">
        <v>74</v>
      </c>
      <c r="P871" t="s">
        <v>74</v>
      </c>
      <c r="Q871" t="s">
        <v>74</v>
      </c>
      <c r="R871" t="s">
        <v>74</v>
      </c>
      <c r="S871" t="s">
        <v>74</v>
      </c>
      <c r="T871" t="s">
        <v>16600</v>
      </c>
      <c r="U871" t="s">
        <v>16601</v>
      </c>
      <c r="V871" t="s">
        <v>16602</v>
      </c>
      <c r="W871" t="s">
        <v>16603</v>
      </c>
      <c r="X871" t="s">
        <v>16604</v>
      </c>
      <c r="Y871" t="s">
        <v>16605</v>
      </c>
      <c r="Z871" t="s">
        <v>14669</v>
      </c>
      <c r="AA871" t="s">
        <v>16606</v>
      </c>
      <c r="AB871" t="s">
        <v>16607</v>
      </c>
      <c r="AC871" t="s">
        <v>16608</v>
      </c>
      <c r="AD871" t="s">
        <v>16609</v>
      </c>
      <c r="AE871" t="s">
        <v>16610</v>
      </c>
      <c r="AF871" t="s">
        <v>74</v>
      </c>
      <c r="AG871">
        <v>102</v>
      </c>
      <c r="AH871">
        <v>24</v>
      </c>
      <c r="AI871">
        <v>26</v>
      </c>
      <c r="AJ871">
        <v>3</v>
      </c>
      <c r="AK871">
        <v>21</v>
      </c>
      <c r="AL871" t="s">
        <v>3174</v>
      </c>
      <c r="AM871" t="s">
        <v>3175</v>
      </c>
      <c r="AN871" t="s">
        <v>3176</v>
      </c>
      <c r="AO871" t="s">
        <v>74</v>
      </c>
      <c r="AP871" t="s">
        <v>7658</v>
      </c>
      <c r="AQ871" t="s">
        <v>74</v>
      </c>
      <c r="AR871" t="s">
        <v>7659</v>
      </c>
      <c r="AS871" t="s">
        <v>7660</v>
      </c>
      <c r="AT871" t="s">
        <v>16593</v>
      </c>
      <c r="AU871">
        <v>2018</v>
      </c>
      <c r="AV871">
        <v>9</v>
      </c>
      <c r="AW871" t="s">
        <v>74</v>
      </c>
      <c r="AX871" t="s">
        <v>74</v>
      </c>
      <c r="AY871" t="s">
        <v>74</v>
      </c>
      <c r="AZ871" t="s">
        <v>74</v>
      </c>
      <c r="BA871" t="s">
        <v>74</v>
      </c>
      <c r="BB871" t="s">
        <v>74</v>
      </c>
      <c r="BC871" t="s">
        <v>74</v>
      </c>
      <c r="BD871">
        <v>1285</v>
      </c>
      <c r="BE871" t="s">
        <v>16611</v>
      </c>
      <c r="BF871" t="str">
        <f>HYPERLINK("http://dx.doi.org/10.3389/fmicb.2018.01285","http://dx.doi.org/10.3389/fmicb.2018.01285")</f>
        <v>http://dx.doi.org/10.3389/fmicb.2018.01285</v>
      </c>
      <c r="BG871" t="s">
        <v>74</v>
      </c>
      <c r="BH871" t="s">
        <v>74</v>
      </c>
      <c r="BI871">
        <v>17</v>
      </c>
      <c r="BJ871" t="s">
        <v>344</v>
      </c>
      <c r="BK871" t="s">
        <v>101</v>
      </c>
      <c r="BL871" t="s">
        <v>344</v>
      </c>
      <c r="BM871" t="s">
        <v>16612</v>
      </c>
      <c r="BN871">
        <v>29967598</v>
      </c>
      <c r="BO871" t="s">
        <v>439</v>
      </c>
      <c r="BP871" t="s">
        <v>74</v>
      </c>
      <c r="BQ871" t="s">
        <v>74</v>
      </c>
      <c r="BR871" t="s">
        <v>104</v>
      </c>
      <c r="BS871" t="s">
        <v>16613</v>
      </c>
      <c r="BT871" t="str">
        <f>HYPERLINK("https%3A%2F%2Fwww.webofscience.com%2Fwos%2Fwoscc%2Ffull-record%2FWOS:000435486000002","View Full Record in Web of Science")</f>
        <v>View Full Record in Web of Science</v>
      </c>
    </row>
    <row r="872" spans="1:72" x14ac:dyDescent="0.15">
      <c r="A872" t="s">
        <v>72</v>
      </c>
      <c r="B872" t="s">
        <v>12686</v>
      </c>
      <c r="C872" t="s">
        <v>74</v>
      </c>
      <c r="D872" t="s">
        <v>74</v>
      </c>
      <c r="E872" t="s">
        <v>74</v>
      </c>
      <c r="F872" t="s">
        <v>12687</v>
      </c>
      <c r="G872" t="s">
        <v>74</v>
      </c>
      <c r="H872" t="s">
        <v>74</v>
      </c>
      <c r="I872" t="s">
        <v>16614</v>
      </c>
      <c r="J872" t="s">
        <v>3268</v>
      </c>
      <c r="K872" t="s">
        <v>74</v>
      </c>
      <c r="L872" t="s">
        <v>74</v>
      </c>
      <c r="M872" t="s">
        <v>78</v>
      </c>
      <c r="N872" t="s">
        <v>273</v>
      </c>
      <c r="O872" t="s">
        <v>74</v>
      </c>
      <c r="P872" t="s">
        <v>74</v>
      </c>
      <c r="Q872" t="s">
        <v>74</v>
      </c>
      <c r="R872" t="s">
        <v>74</v>
      </c>
      <c r="S872" t="s">
        <v>74</v>
      </c>
      <c r="T872" t="s">
        <v>74</v>
      </c>
      <c r="U872" t="s">
        <v>16615</v>
      </c>
      <c r="V872" t="s">
        <v>16616</v>
      </c>
      <c r="W872" t="s">
        <v>16617</v>
      </c>
      <c r="X872" t="s">
        <v>16618</v>
      </c>
      <c r="Y872" t="s">
        <v>16619</v>
      </c>
      <c r="Z872" t="s">
        <v>11751</v>
      </c>
      <c r="AA872" t="s">
        <v>16620</v>
      </c>
      <c r="AB872" t="s">
        <v>16621</v>
      </c>
      <c r="AC872" t="s">
        <v>16622</v>
      </c>
      <c r="AD872" t="s">
        <v>16623</v>
      </c>
      <c r="AE872" t="s">
        <v>16624</v>
      </c>
      <c r="AF872" t="s">
        <v>74</v>
      </c>
      <c r="AG872">
        <v>120</v>
      </c>
      <c r="AH872">
        <v>31</v>
      </c>
      <c r="AI872">
        <v>33</v>
      </c>
      <c r="AJ872">
        <v>4</v>
      </c>
      <c r="AK872">
        <v>24</v>
      </c>
      <c r="AL872" t="s">
        <v>1159</v>
      </c>
      <c r="AM872" t="s">
        <v>704</v>
      </c>
      <c r="AN872" t="s">
        <v>2728</v>
      </c>
      <c r="AO872" t="s">
        <v>3280</v>
      </c>
      <c r="AP872" t="s">
        <v>74</v>
      </c>
      <c r="AQ872" t="s">
        <v>74</v>
      </c>
      <c r="AR872" t="s">
        <v>3281</v>
      </c>
      <c r="AS872" t="s">
        <v>3282</v>
      </c>
      <c r="AT872" t="s">
        <v>16593</v>
      </c>
      <c r="AU872">
        <v>2018</v>
      </c>
      <c r="AV872">
        <v>9</v>
      </c>
      <c r="AW872" t="s">
        <v>74</v>
      </c>
      <c r="AX872" t="s">
        <v>74</v>
      </c>
      <c r="AY872" t="s">
        <v>74</v>
      </c>
      <c r="AZ872" t="s">
        <v>74</v>
      </c>
      <c r="BA872" t="s">
        <v>74</v>
      </c>
      <c r="BB872" t="s">
        <v>74</v>
      </c>
      <c r="BC872" t="s">
        <v>74</v>
      </c>
      <c r="BD872">
        <v>2289</v>
      </c>
      <c r="BE872" t="s">
        <v>16625</v>
      </c>
      <c r="BF872" t="str">
        <f>HYPERLINK("http://dx.doi.org/10.1038/s41467-018-04583-0","http://dx.doi.org/10.1038/s41467-018-04583-0")</f>
        <v>http://dx.doi.org/10.1038/s41467-018-04583-0</v>
      </c>
      <c r="BG872" t="s">
        <v>74</v>
      </c>
      <c r="BH872" t="s">
        <v>74</v>
      </c>
      <c r="BI872">
        <v>14</v>
      </c>
      <c r="BJ872" t="s">
        <v>436</v>
      </c>
      <c r="BK872" t="s">
        <v>101</v>
      </c>
      <c r="BL872" t="s">
        <v>437</v>
      </c>
      <c r="BM872" t="s">
        <v>16626</v>
      </c>
      <c r="BN872">
        <v>29915266</v>
      </c>
      <c r="BO872" t="s">
        <v>1502</v>
      </c>
      <c r="BP872" t="s">
        <v>74</v>
      </c>
      <c r="BQ872" t="s">
        <v>74</v>
      </c>
      <c r="BR872" t="s">
        <v>104</v>
      </c>
      <c r="BS872" t="s">
        <v>16627</v>
      </c>
      <c r="BT872" t="str">
        <f>HYPERLINK("https%3A%2F%2Fwww.webofscience.com%2Fwos%2Fwoscc%2Ffull-record%2FWOS:000435450900001","View Full Record in Web of Science")</f>
        <v>View Full Record in Web of Science</v>
      </c>
    </row>
    <row r="873" spans="1:72" x14ac:dyDescent="0.15">
      <c r="A873" t="s">
        <v>72</v>
      </c>
      <c r="B873" t="s">
        <v>16628</v>
      </c>
      <c r="C873" t="s">
        <v>74</v>
      </c>
      <c r="D873" t="s">
        <v>74</v>
      </c>
      <c r="E873" t="s">
        <v>74</v>
      </c>
      <c r="F873" t="s">
        <v>16629</v>
      </c>
      <c r="G873" t="s">
        <v>74</v>
      </c>
      <c r="H873" t="s">
        <v>74</v>
      </c>
      <c r="I873" t="s">
        <v>16630</v>
      </c>
      <c r="J873" t="s">
        <v>4340</v>
      </c>
      <c r="K873" t="s">
        <v>74</v>
      </c>
      <c r="L873" t="s">
        <v>74</v>
      </c>
      <c r="M873" t="s">
        <v>78</v>
      </c>
      <c r="N873" t="s">
        <v>79</v>
      </c>
      <c r="O873" t="s">
        <v>74</v>
      </c>
      <c r="P873" t="s">
        <v>74</v>
      </c>
      <c r="Q873" t="s">
        <v>74</v>
      </c>
      <c r="R873" t="s">
        <v>74</v>
      </c>
      <c r="S873" t="s">
        <v>74</v>
      </c>
      <c r="T873" t="s">
        <v>16631</v>
      </c>
      <c r="U873" t="s">
        <v>16632</v>
      </c>
      <c r="V873" t="s">
        <v>16633</v>
      </c>
      <c r="W873" t="s">
        <v>16634</v>
      </c>
      <c r="X873" t="s">
        <v>16635</v>
      </c>
      <c r="Y873" t="s">
        <v>16636</v>
      </c>
      <c r="Z873" t="s">
        <v>16637</v>
      </c>
      <c r="AA873" t="s">
        <v>16638</v>
      </c>
      <c r="AB873" t="s">
        <v>16639</v>
      </c>
      <c r="AC873" t="s">
        <v>16640</v>
      </c>
      <c r="AD873" t="s">
        <v>16641</v>
      </c>
      <c r="AE873" t="s">
        <v>16642</v>
      </c>
      <c r="AF873" t="s">
        <v>74</v>
      </c>
      <c r="AG873">
        <v>35</v>
      </c>
      <c r="AH873">
        <v>17</v>
      </c>
      <c r="AI873">
        <v>21</v>
      </c>
      <c r="AJ873">
        <v>13</v>
      </c>
      <c r="AK873">
        <v>66</v>
      </c>
      <c r="AL873" t="s">
        <v>3326</v>
      </c>
      <c r="AM873" t="s">
        <v>3327</v>
      </c>
      <c r="AN873" t="s">
        <v>3328</v>
      </c>
      <c r="AO873" t="s">
        <v>4344</v>
      </c>
      <c r="AP873" t="s">
        <v>4345</v>
      </c>
      <c r="AQ873" t="s">
        <v>74</v>
      </c>
      <c r="AR873" t="s">
        <v>4346</v>
      </c>
      <c r="AS873" t="s">
        <v>4347</v>
      </c>
      <c r="AT873" t="s">
        <v>16593</v>
      </c>
      <c r="AU873">
        <v>2018</v>
      </c>
      <c r="AV873">
        <v>50</v>
      </c>
      <c r="AW873">
        <v>1</v>
      </c>
      <c r="AX873" t="s">
        <v>74</v>
      </c>
      <c r="AY873" t="s">
        <v>74</v>
      </c>
      <c r="AZ873" t="s">
        <v>74</v>
      </c>
      <c r="BA873" t="s">
        <v>74</v>
      </c>
      <c r="BB873" t="s">
        <v>74</v>
      </c>
      <c r="BC873" t="s">
        <v>74</v>
      </c>
      <c r="BD873" t="s">
        <v>16643</v>
      </c>
      <c r="BE873" t="s">
        <v>16644</v>
      </c>
      <c r="BF873" t="str">
        <f>HYPERLINK("http://dx.doi.org/10.1080/15230430.2018.1447192","http://dx.doi.org/10.1080/15230430.2018.1447192")</f>
        <v>http://dx.doi.org/10.1080/15230430.2018.1447192</v>
      </c>
      <c r="BG873" t="s">
        <v>74</v>
      </c>
      <c r="BH873" t="s">
        <v>74</v>
      </c>
      <c r="BI873">
        <v>8</v>
      </c>
      <c r="BJ873" t="s">
        <v>4350</v>
      </c>
      <c r="BK873" t="s">
        <v>101</v>
      </c>
      <c r="BL873" t="s">
        <v>767</v>
      </c>
      <c r="BM873" t="s">
        <v>16645</v>
      </c>
      <c r="BN873" t="s">
        <v>74</v>
      </c>
      <c r="BO873" t="s">
        <v>1584</v>
      </c>
      <c r="BP873" t="s">
        <v>74</v>
      </c>
      <c r="BQ873" t="s">
        <v>74</v>
      </c>
      <c r="BR873" t="s">
        <v>104</v>
      </c>
      <c r="BS873" t="s">
        <v>16646</v>
      </c>
      <c r="BT873" t="str">
        <f>HYPERLINK("https%3A%2F%2Fwww.webofscience.com%2Fwos%2Fwoscc%2Ffull-record%2FWOS:000438737500001","View Full Record in Web of Science")</f>
        <v>View Full Record in Web of Science</v>
      </c>
    </row>
    <row r="874" spans="1:72" x14ac:dyDescent="0.15">
      <c r="A874" t="s">
        <v>72</v>
      </c>
      <c r="B874" t="s">
        <v>16647</v>
      </c>
      <c r="C874" t="s">
        <v>74</v>
      </c>
      <c r="D874" t="s">
        <v>74</v>
      </c>
      <c r="E874" t="s">
        <v>74</v>
      </c>
      <c r="F874" t="s">
        <v>16648</v>
      </c>
      <c r="G874" t="s">
        <v>74</v>
      </c>
      <c r="H874" t="s">
        <v>74</v>
      </c>
      <c r="I874" t="s">
        <v>16649</v>
      </c>
      <c r="J874" t="s">
        <v>3387</v>
      </c>
      <c r="K874" t="s">
        <v>74</v>
      </c>
      <c r="L874" t="s">
        <v>74</v>
      </c>
      <c r="M874" t="s">
        <v>78</v>
      </c>
      <c r="N874" t="s">
        <v>79</v>
      </c>
      <c r="O874" t="s">
        <v>74</v>
      </c>
      <c r="P874" t="s">
        <v>74</v>
      </c>
      <c r="Q874" t="s">
        <v>74</v>
      </c>
      <c r="R874" t="s">
        <v>74</v>
      </c>
      <c r="S874" t="s">
        <v>74</v>
      </c>
      <c r="T874" t="s">
        <v>74</v>
      </c>
      <c r="U874" t="s">
        <v>16650</v>
      </c>
      <c r="V874" t="s">
        <v>16651</v>
      </c>
      <c r="W874" t="s">
        <v>16652</v>
      </c>
      <c r="X874" t="s">
        <v>16653</v>
      </c>
      <c r="Y874" t="s">
        <v>16654</v>
      </c>
      <c r="Z874" t="s">
        <v>16655</v>
      </c>
      <c r="AA874" t="s">
        <v>16656</v>
      </c>
      <c r="AB874" t="s">
        <v>16657</v>
      </c>
      <c r="AC874" t="s">
        <v>16658</v>
      </c>
      <c r="AD874" t="s">
        <v>16659</v>
      </c>
      <c r="AE874" t="s">
        <v>16660</v>
      </c>
      <c r="AF874" t="s">
        <v>74</v>
      </c>
      <c r="AG874">
        <v>103</v>
      </c>
      <c r="AH874">
        <v>11</v>
      </c>
      <c r="AI874">
        <v>11</v>
      </c>
      <c r="AJ874">
        <v>2</v>
      </c>
      <c r="AK874">
        <v>32</v>
      </c>
      <c r="AL874" t="s">
        <v>3353</v>
      </c>
      <c r="AM874" t="s">
        <v>3354</v>
      </c>
      <c r="AN874" t="s">
        <v>3355</v>
      </c>
      <c r="AO874" t="s">
        <v>3399</v>
      </c>
      <c r="AP874" t="s">
        <v>3400</v>
      </c>
      <c r="AQ874" t="s">
        <v>74</v>
      </c>
      <c r="AR874" t="s">
        <v>3401</v>
      </c>
      <c r="AS874" t="s">
        <v>3402</v>
      </c>
      <c r="AT874" t="s">
        <v>16593</v>
      </c>
      <c r="AU874">
        <v>2018</v>
      </c>
      <c r="AV874">
        <v>18</v>
      </c>
      <c r="AW874">
        <v>12</v>
      </c>
      <c r="AX874" t="s">
        <v>74</v>
      </c>
      <c r="AY874" t="s">
        <v>74</v>
      </c>
      <c r="AZ874" t="s">
        <v>74</v>
      </c>
      <c r="BA874" t="s">
        <v>74</v>
      </c>
      <c r="BB874">
        <v>8549</v>
      </c>
      <c r="BC874">
        <v>8570</v>
      </c>
      <c r="BD874" t="s">
        <v>74</v>
      </c>
      <c r="BE874" t="s">
        <v>16661</v>
      </c>
      <c r="BF874" t="str">
        <f>HYPERLINK("http://dx.doi.org/10.5194/acp-18-8549-2018","http://dx.doi.org/10.5194/acp-18-8549-2018")</f>
        <v>http://dx.doi.org/10.5194/acp-18-8549-2018</v>
      </c>
      <c r="BG874" t="s">
        <v>74</v>
      </c>
      <c r="BH874" t="s">
        <v>74</v>
      </c>
      <c r="BI874">
        <v>22</v>
      </c>
      <c r="BJ874" t="s">
        <v>317</v>
      </c>
      <c r="BK874" t="s">
        <v>101</v>
      </c>
      <c r="BL874" t="s">
        <v>318</v>
      </c>
      <c r="BM874" t="s">
        <v>16595</v>
      </c>
      <c r="BN874" t="s">
        <v>74</v>
      </c>
      <c r="BO874" t="s">
        <v>1063</v>
      </c>
      <c r="BP874" t="s">
        <v>74</v>
      </c>
      <c r="BQ874" t="s">
        <v>74</v>
      </c>
      <c r="BR874" t="s">
        <v>104</v>
      </c>
      <c r="BS874" t="s">
        <v>16662</v>
      </c>
      <c r="BT874" t="str">
        <f>HYPERLINK("https%3A%2F%2Fwww.webofscience.com%2Fwos%2Fwoscc%2Ffull-record%2FWOS:000435484300005","View Full Record in Web of Science")</f>
        <v>View Full Record in Web of Science</v>
      </c>
    </row>
    <row r="875" spans="1:72" x14ac:dyDescent="0.15">
      <c r="A875" t="s">
        <v>72</v>
      </c>
      <c r="B875" t="s">
        <v>16663</v>
      </c>
      <c r="C875" t="s">
        <v>74</v>
      </c>
      <c r="D875" t="s">
        <v>74</v>
      </c>
      <c r="E875" t="s">
        <v>74</v>
      </c>
      <c r="F875" t="s">
        <v>16664</v>
      </c>
      <c r="G875" t="s">
        <v>74</v>
      </c>
      <c r="H875" t="s">
        <v>74</v>
      </c>
      <c r="I875" t="s">
        <v>16665</v>
      </c>
      <c r="J875" t="s">
        <v>3089</v>
      </c>
      <c r="K875" t="s">
        <v>74</v>
      </c>
      <c r="L875" t="s">
        <v>74</v>
      </c>
      <c r="M875" t="s">
        <v>78</v>
      </c>
      <c r="N875" t="s">
        <v>79</v>
      </c>
      <c r="O875" t="s">
        <v>74</v>
      </c>
      <c r="P875" t="s">
        <v>74</v>
      </c>
      <c r="Q875" t="s">
        <v>74</v>
      </c>
      <c r="R875" t="s">
        <v>74</v>
      </c>
      <c r="S875" t="s">
        <v>74</v>
      </c>
      <c r="T875" t="s">
        <v>16666</v>
      </c>
      <c r="U875" t="s">
        <v>16667</v>
      </c>
      <c r="V875" t="s">
        <v>16668</v>
      </c>
      <c r="W875" t="s">
        <v>16669</v>
      </c>
      <c r="X875" t="s">
        <v>16670</v>
      </c>
      <c r="Y875" t="s">
        <v>16671</v>
      </c>
      <c r="Z875" t="s">
        <v>16672</v>
      </c>
      <c r="AA875" t="s">
        <v>16673</v>
      </c>
      <c r="AB875" t="s">
        <v>16674</v>
      </c>
      <c r="AC875" t="s">
        <v>16675</v>
      </c>
      <c r="AD875" t="s">
        <v>16676</v>
      </c>
      <c r="AE875" t="s">
        <v>16677</v>
      </c>
      <c r="AF875" t="s">
        <v>74</v>
      </c>
      <c r="AG875">
        <v>47</v>
      </c>
      <c r="AH875">
        <v>17</v>
      </c>
      <c r="AI875">
        <v>19</v>
      </c>
      <c r="AJ875">
        <v>0</v>
      </c>
      <c r="AK875">
        <v>30</v>
      </c>
      <c r="AL875" t="s">
        <v>503</v>
      </c>
      <c r="AM875" t="s">
        <v>504</v>
      </c>
      <c r="AN875" t="s">
        <v>505</v>
      </c>
      <c r="AO875" t="s">
        <v>3100</v>
      </c>
      <c r="AP875" t="s">
        <v>3101</v>
      </c>
      <c r="AQ875" t="s">
        <v>74</v>
      </c>
      <c r="AR875" t="s">
        <v>3102</v>
      </c>
      <c r="AS875" t="s">
        <v>3103</v>
      </c>
      <c r="AT875" t="s">
        <v>16678</v>
      </c>
      <c r="AU875">
        <v>2018</v>
      </c>
      <c r="AV875">
        <v>45</v>
      </c>
      <c r="AW875">
        <v>11</v>
      </c>
      <c r="AX875" t="s">
        <v>74</v>
      </c>
      <c r="AY875" t="s">
        <v>74</v>
      </c>
      <c r="AZ875" t="s">
        <v>74</v>
      </c>
      <c r="BA875" t="s">
        <v>74</v>
      </c>
      <c r="BB875">
        <v>5572</v>
      </c>
      <c r="BC875">
        <v>5580</v>
      </c>
      <c r="BD875" t="s">
        <v>74</v>
      </c>
      <c r="BE875" t="s">
        <v>16679</v>
      </c>
      <c r="BF875" t="str">
        <f>HYPERLINK("http://dx.doi.org/10.1029/2018GL077403","http://dx.doi.org/10.1029/2018GL077403")</f>
        <v>http://dx.doi.org/10.1029/2018GL077403</v>
      </c>
      <c r="BG875" t="s">
        <v>74</v>
      </c>
      <c r="BH875" t="s">
        <v>74</v>
      </c>
      <c r="BI875">
        <v>9</v>
      </c>
      <c r="BJ875" t="s">
        <v>182</v>
      </c>
      <c r="BK875" t="s">
        <v>101</v>
      </c>
      <c r="BL875" t="s">
        <v>183</v>
      </c>
      <c r="BM875" t="s">
        <v>16680</v>
      </c>
      <c r="BN875" t="s">
        <v>74</v>
      </c>
      <c r="BO875" t="s">
        <v>635</v>
      </c>
      <c r="BP875" t="s">
        <v>74</v>
      </c>
      <c r="BQ875" t="s">
        <v>74</v>
      </c>
      <c r="BR875" t="s">
        <v>104</v>
      </c>
      <c r="BS875" t="s">
        <v>16681</v>
      </c>
      <c r="BT875" t="str">
        <f>HYPERLINK("https%3A%2F%2Fwww.webofscience.com%2Fwos%2Fwoscc%2Ffull-record%2FWOS:000436249900040","View Full Record in Web of Science")</f>
        <v>View Full Record in Web of Science</v>
      </c>
    </row>
    <row r="876" spans="1:72" x14ac:dyDescent="0.15">
      <c r="A876" t="s">
        <v>72</v>
      </c>
      <c r="B876" t="s">
        <v>16682</v>
      </c>
      <c r="C876" t="s">
        <v>74</v>
      </c>
      <c r="D876" t="s">
        <v>74</v>
      </c>
      <c r="E876" t="s">
        <v>74</v>
      </c>
      <c r="F876" t="s">
        <v>16683</v>
      </c>
      <c r="G876" t="s">
        <v>74</v>
      </c>
      <c r="H876" t="s">
        <v>74</v>
      </c>
      <c r="I876" t="s">
        <v>16684</v>
      </c>
      <c r="J876" t="s">
        <v>3089</v>
      </c>
      <c r="K876" t="s">
        <v>74</v>
      </c>
      <c r="L876" t="s">
        <v>74</v>
      </c>
      <c r="M876" t="s">
        <v>78</v>
      </c>
      <c r="N876" t="s">
        <v>79</v>
      </c>
      <c r="O876" t="s">
        <v>74</v>
      </c>
      <c r="P876" t="s">
        <v>74</v>
      </c>
      <c r="Q876" t="s">
        <v>74</v>
      </c>
      <c r="R876" t="s">
        <v>74</v>
      </c>
      <c r="S876" t="s">
        <v>74</v>
      </c>
      <c r="T876" t="s">
        <v>16685</v>
      </c>
      <c r="U876" t="s">
        <v>16686</v>
      </c>
      <c r="V876" t="s">
        <v>16687</v>
      </c>
      <c r="W876" t="s">
        <v>16688</v>
      </c>
      <c r="X876" t="s">
        <v>16689</v>
      </c>
      <c r="Y876" t="s">
        <v>16690</v>
      </c>
      <c r="Z876" t="s">
        <v>16691</v>
      </c>
      <c r="AA876" t="s">
        <v>16692</v>
      </c>
      <c r="AB876" t="s">
        <v>16693</v>
      </c>
      <c r="AC876" t="s">
        <v>16694</v>
      </c>
      <c r="AD876" t="s">
        <v>16695</v>
      </c>
      <c r="AE876" t="s">
        <v>16696</v>
      </c>
      <c r="AF876" t="s">
        <v>74</v>
      </c>
      <c r="AG876">
        <v>28</v>
      </c>
      <c r="AH876">
        <v>81</v>
      </c>
      <c r="AI876">
        <v>84</v>
      </c>
      <c r="AJ876">
        <v>1</v>
      </c>
      <c r="AK876">
        <v>50</v>
      </c>
      <c r="AL876" t="s">
        <v>503</v>
      </c>
      <c r="AM876" t="s">
        <v>504</v>
      </c>
      <c r="AN876" t="s">
        <v>505</v>
      </c>
      <c r="AO876" t="s">
        <v>3100</v>
      </c>
      <c r="AP876" t="s">
        <v>3101</v>
      </c>
      <c r="AQ876" t="s">
        <v>74</v>
      </c>
      <c r="AR876" t="s">
        <v>3102</v>
      </c>
      <c r="AS876" t="s">
        <v>3103</v>
      </c>
      <c r="AT876" t="s">
        <v>16678</v>
      </c>
      <c r="AU876">
        <v>2018</v>
      </c>
      <c r="AV876">
        <v>45</v>
      </c>
      <c r="AW876">
        <v>11</v>
      </c>
      <c r="AX876" t="s">
        <v>74</v>
      </c>
      <c r="AY876" t="s">
        <v>74</v>
      </c>
      <c r="AZ876" t="s">
        <v>74</v>
      </c>
      <c r="BA876" t="s">
        <v>74</v>
      </c>
      <c r="BB876">
        <v>5718</v>
      </c>
      <c r="BC876">
        <v>5726</v>
      </c>
      <c r="BD876" t="s">
        <v>74</v>
      </c>
      <c r="BE876" t="s">
        <v>16697</v>
      </c>
      <c r="BF876" t="str">
        <f>HYPERLINK("http://dx.doi.org/10.1029/2018GL078071","http://dx.doi.org/10.1029/2018GL078071")</f>
        <v>http://dx.doi.org/10.1029/2018GL078071</v>
      </c>
      <c r="BG876" t="s">
        <v>74</v>
      </c>
      <c r="BH876" t="s">
        <v>74</v>
      </c>
      <c r="BI876">
        <v>9</v>
      </c>
      <c r="BJ876" t="s">
        <v>182</v>
      </c>
      <c r="BK876" t="s">
        <v>101</v>
      </c>
      <c r="BL876" t="s">
        <v>183</v>
      </c>
      <c r="BM876" t="s">
        <v>16680</v>
      </c>
      <c r="BN876" t="s">
        <v>74</v>
      </c>
      <c r="BO876" t="s">
        <v>346</v>
      </c>
      <c r="BP876" t="s">
        <v>74</v>
      </c>
      <c r="BQ876" t="s">
        <v>74</v>
      </c>
      <c r="BR876" t="s">
        <v>104</v>
      </c>
      <c r="BS876" t="s">
        <v>16698</v>
      </c>
      <c r="BT876" t="str">
        <f>HYPERLINK("https%3A%2F%2Fwww.webofscience.com%2Fwos%2Fwoscc%2Ffull-record%2FWOS:000436249900056","View Full Record in Web of Science")</f>
        <v>View Full Record in Web of Science</v>
      </c>
    </row>
    <row r="877" spans="1:72" x14ac:dyDescent="0.15">
      <c r="A877" t="s">
        <v>72</v>
      </c>
      <c r="B877" t="s">
        <v>16699</v>
      </c>
      <c r="C877" t="s">
        <v>74</v>
      </c>
      <c r="D877" t="s">
        <v>74</v>
      </c>
      <c r="E877" t="s">
        <v>74</v>
      </c>
      <c r="F877" t="s">
        <v>16700</v>
      </c>
      <c r="G877" t="s">
        <v>74</v>
      </c>
      <c r="H877" t="s">
        <v>74</v>
      </c>
      <c r="I877" t="s">
        <v>16701</v>
      </c>
      <c r="J877" t="s">
        <v>3226</v>
      </c>
      <c r="K877" t="s">
        <v>74</v>
      </c>
      <c r="L877" t="s">
        <v>74</v>
      </c>
      <c r="M877" t="s">
        <v>78</v>
      </c>
      <c r="N877" t="s">
        <v>79</v>
      </c>
      <c r="O877" t="s">
        <v>74</v>
      </c>
      <c r="P877" t="s">
        <v>74</v>
      </c>
      <c r="Q877" t="s">
        <v>74</v>
      </c>
      <c r="R877" t="s">
        <v>74</v>
      </c>
      <c r="S877" t="s">
        <v>74</v>
      </c>
      <c r="T877" t="s">
        <v>16702</v>
      </c>
      <c r="U877" t="s">
        <v>16703</v>
      </c>
      <c r="V877" t="s">
        <v>16704</v>
      </c>
      <c r="W877" t="s">
        <v>16705</v>
      </c>
      <c r="X877" t="s">
        <v>16706</v>
      </c>
      <c r="Y877" t="s">
        <v>16707</v>
      </c>
      <c r="Z877" t="s">
        <v>16708</v>
      </c>
      <c r="AA877" t="s">
        <v>16709</v>
      </c>
      <c r="AB877" t="s">
        <v>16710</v>
      </c>
      <c r="AC877" t="s">
        <v>16711</v>
      </c>
      <c r="AD877" t="s">
        <v>10493</v>
      </c>
      <c r="AE877" t="s">
        <v>16712</v>
      </c>
      <c r="AF877" t="s">
        <v>74</v>
      </c>
      <c r="AG877">
        <v>100</v>
      </c>
      <c r="AH877">
        <v>32</v>
      </c>
      <c r="AI877">
        <v>36</v>
      </c>
      <c r="AJ877">
        <v>2</v>
      </c>
      <c r="AK877">
        <v>20</v>
      </c>
      <c r="AL877" t="s">
        <v>503</v>
      </c>
      <c r="AM877" t="s">
        <v>504</v>
      </c>
      <c r="AN877" t="s">
        <v>505</v>
      </c>
      <c r="AO877" t="s">
        <v>3239</v>
      </c>
      <c r="AP877" t="s">
        <v>3240</v>
      </c>
      <c r="AQ877" t="s">
        <v>74</v>
      </c>
      <c r="AR877" t="s">
        <v>3241</v>
      </c>
      <c r="AS877" t="s">
        <v>3242</v>
      </c>
      <c r="AT877" t="s">
        <v>16678</v>
      </c>
      <c r="AU877">
        <v>2018</v>
      </c>
      <c r="AV877">
        <v>123</v>
      </c>
      <c r="AW877">
        <v>11</v>
      </c>
      <c r="AX877" t="s">
        <v>74</v>
      </c>
      <c r="AY877" t="s">
        <v>74</v>
      </c>
      <c r="AZ877" t="s">
        <v>74</v>
      </c>
      <c r="BA877" t="s">
        <v>74</v>
      </c>
      <c r="BB877">
        <v>6099</v>
      </c>
      <c r="BC877">
        <v>6121</v>
      </c>
      <c r="BD877" t="s">
        <v>16713</v>
      </c>
      <c r="BE877" t="s">
        <v>16714</v>
      </c>
      <c r="BF877" t="str">
        <f>HYPERLINK("http://dx.doi.org/10.1029/2018JD028279","http://dx.doi.org/10.1029/2018JD028279")</f>
        <v>http://dx.doi.org/10.1029/2018JD028279</v>
      </c>
      <c r="BG877" t="s">
        <v>74</v>
      </c>
      <c r="BH877" t="s">
        <v>74</v>
      </c>
      <c r="BI877">
        <v>23</v>
      </c>
      <c r="BJ877" t="s">
        <v>369</v>
      </c>
      <c r="BK877" t="s">
        <v>101</v>
      </c>
      <c r="BL877" t="s">
        <v>369</v>
      </c>
      <c r="BM877" t="s">
        <v>16715</v>
      </c>
      <c r="BN877" t="s">
        <v>74</v>
      </c>
      <c r="BO877" t="s">
        <v>1818</v>
      </c>
      <c r="BP877" t="s">
        <v>74</v>
      </c>
      <c r="BQ877" t="s">
        <v>74</v>
      </c>
      <c r="BR877" t="s">
        <v>104</v>
      </c>
      <c r="BS877" t="s">
        <v>16716</v>
      </c>
      <c r="BT877" t="str">
        <f>HYPERLINK("https%3A%2F%2Fwww.webofscience.com%2Fwos%2Fwoscc%2Ffull-record%2FWOS:000436110800021","View Full Record in Web of Science")</f>
        <v>View Full Record in Web of Science</v>
      </c>
    </row>
    <row r="878" spans="1:72" x14ac:dyDescent="0.15">
      <c r="A878" t="s">
        <v>72</v>
      </c>
      <c r="B878" t="s">
        <v>16717</v>
      </c>
      <c r="C878" t="s">
        <v>74</v>
      </c>
      <c r="D878" t="s">
        <v>74</v>
      </c>
      <c r="E878" t="s">
        <v>74</v>
      </c>
      <c r="F878" t="s">
        <v>16718</v>
      </c>
      <c r="G878" t="s">
        <v>74</v>
      </c>
      <c r="H878" t="s">
        <v>74</v>
      </c>
      <c r="I878" t="s">
        <v>16719</v>
      </c>
      <c r="J878" t="s">
        <v>3089</v>
      </c>
      <c r="K878" t="s">
        <v>74</v>
      </c>
      <c r="L878" t="s">
        <v>74</v>
      </c>
      <c r="M878" t="s">
        <v>78</v>
      </c>
      <c r="N878" t="s">
        <v>79</v>
      </c>
      <c r="O878" t="s">
        <v>74</v>
      </c>
      <c r="P878" t="s">
        <v>74</v>
      </c>
      <c r="Q878" t="s">
        <v>74</v>
      </c>
      <c r="R878" t="s">
        <v>74</v>
      </c>
      <c r="S878" t="s">
        <v>74</v>
      </c>
      <c r="T878" t="s">
        <v>16720</v>
      </c>
      <c r="U878" t="s">
        <v>16721</v>
      </c>
      <c r="V878" t="s">
        <v>16722</v>
      </c>
      <c r="W878" t="s">
        <v>16723</v>
      </c>
      <c r="X878" t="s">
        <v>16724</v>
      </c>
      <c r="Y878" t="s">
        <v>16725</v>
      </c>
      <c r="Z878" t="s">
        <v>16726</v>
      </c>
      <c r="AA878" t="s">
        <v>16727</v>
      </c>
      <c r="AB878" t="s">
        <v>16728</v>
      </c>
      <c r="AC878" t="s">
        <v>16729</v>
      </c>
      <c r="AD878" t="s">
        <v>16730</v>
      </c>
      <c r="AE878" t="s">
        <v>16731</v>
      </c>
      <c r="AF878" t="s">
        <v>74</v>
      </c>
      <c r="AG878">
        <v>57</v>
      </c>
      <c r="AH878">
        <v>9</v>
      </c>
      <c r="AI878">
        <v>9</v>
      </c>
      <c r="AJ878">
        <v>0</v>
      </c>
      <c r="AK878">
        <v>18</v>
      </c>
      <c r="AL878" t="s">
        <v>503</v>
      </c>
      <c r="AM878" t="s">
        <v>504</v>
      </c>
      <c r="AN878" t="s">
        <v>505</v>
      </c>
      <c r="AO878" t="s">
        <v>3100</v>
      </c>
      <c r="AP878" t="s">
        <v>3101</v>
      </c>
      <c r="AQ878" t="s">
        <v>74</v>
      </c>
      <c r="AR878" t="s">
        <v>3102</v>
      </c>
      <c r="AS878" t="s">
        <v>3103</v>
      </c>
      <c r="AT878" t="s">
        <v>16678</v>
      </c>
      <c r="AU878">
        <v>2018</v>
      </c>
      <c r="AV878">
        <v>45</v>
      </c>
      <c r="AW878">
        <v>11</v>
      </c>
      <c r="AX878" t="s">
        <v>74</v>
      </c>
      <c r="AY878" t="s">
        <v>74</v>
      </c>
      <c r="AZ878" t="s">
        <v>74</v>
      </c>
      <c r="BA878" t="s">
        <v>74</v>
      </c>
      <c r="BB878">
        <v>5681</v>
      </c>
      <c r="BC878">
        <v>5689</v>
      </c>
      <c r="BD878" t="s">
        <v>74</v>
      </c>
      <c r="BE878" t="s">
        <v>16732</v>
      </c>
      <c r="BF878" t="str">
        <f>HYPERLINK("http://dx.doi.org/10.1029/2018GL077623","http://dx.doi.org/10.1029/2018GL077623")</f>
        <v>http://dx.doi.org/10.1029/2018GL077623</v>
      </c>
      <c r="BG878" t="s">
        <v>74</v>
      </c>
      <c r="BH878" t="s">
        <v>74</v>
      </c>
      <c r="BI878">
        <v>9</v>
      </c>
      <c r="BJ878" t="s">
        <v>182</v>
      </c>
      <c r="BK878" t="s">
        <v>101</v>
      </c>
      <c r="BL878" t="s">
        <v>183</v>
      </c>
      <c r="BM878" t="s">
        <v>16680</v>
      </c>
      <c r="BN878" t="s">
        <v>74</v>
      </c>
      <c r="BO878" t="s">
        <v>661</v>
      </c>
      <c r="BP878" t="s">
        <v>74</v>
      </c>
      <c r="BQ878" t="s">
        <v>74</v>
      </c>
      <c r="BR878" t="s">
        <v>104</v>
      </c>
      <c r="BS878" t="s">
        <v>16733</v>
      </c>
      <c r="BT878" t="str">
        <f>HYPERLINK("https%3A%2F%2Fwww.webofscience.com%2Fwos%2Fwoscc%2Ffull-record%2FWOS:000436249900052","View Full Record in Web of Science")</f>
        <v>View Full Record in Web of Science</v>
      </c>
    </row>
    <row r="879" spans="1:72" x14ac:dyDescent="0.15">
      <c r="A879" t="s">
        <v>72</v>
      </c>
      <c r="B879" t="s">
        <v>16734</v>
      </c>
      <c r="C879" t="s">
        <v>74</v>
      </c>
      <c r="D879" t="s">
        <v>74</v>
      </c>
      <c r="E879" t="s">
        <v>74</v>
      </c>
      <c r="F879" t="s">
        <v>16735</v>
      </c>
      <c r="G879" t="s">
        <v>74</v>
      </c>
      <c r="H879" t="s">
        <v>74</v>
      </c>
      <c r="I879" t="s">
        <v>16736</v>
      </c>
      <c r="J879" t="s">
        <v>3387</v>
      </c>
      <c r="K879" t="s">
        <v>74</v>
      </c>
      <c r="L879" t="s">
        <v>74</v>
      </c>
      <c r="M879" t="s">
        <v>78</v>
      </c>
      <c r="N879" t="s">
        <v>79</v>
      </c>
      <c r="O879" t="s">
        <v>74</v>
      </c>
      <c r="P879" t="s">
        <v>74</v>
      </c>
      <c r="Q879" t="s">
        <v>74</v>
      </c>
      <c r="R879" t="s">
        <v>74</v>
      </c>
      <c r="S879" t="s">
        <v>74</v>
      </c>
      <c r="T879" t="s">
        <v>74</v>
      </c>
      <c r="U879" t="s">
        <v>16737</v>
      </c>
      <c r="V879" t="s">
        <v>16738</v>
      </c>
      <c r="W879" t="s">
        <v>16739</v>
      </c>
      <c r="X879" t="s">
        <v>16740</v>
      </c>
      <c r="Y879" t="s">
        <v>16741</v>
      </c>
      <c r="Z879" t="s">
        <v>16742</v>
      </c>
      <c r="AA879" t="s">
        <v>16743</v>
      </c>
      <c r="AB879" t="s">
        <v>16744</v>
      </c>
      <c r="AC879" t="s">
        <v>16745</v>
      </c>
      <c r="AD879" t="s">
        <v>16746</v>
      </c>
      <c r="AE879" t="s">
        <v>16747</v>
      </c>
      <c r="AF879" t="s">
        <v>74</v>
      </c>
      <c r="AG879">
        <v>83</v>
      </c>
      <c r="AH879">
        <v>110</v>
      </c>
      <c r="AI879">
        <v>116</v>
      </c>
      <c r="AJ879">
        <v>3</v>
      </c>
      <c r="AK879">
        <v>61</v>
      </c>
      <c r="AL879" t="s">
        <v>3353</v>
      </c>
      <c r="AM879" t="s">
        <v>3354</v>
      </c>
      <c r="AN879" t="s">
        <v>3355</v>
      </c>
      <c r="AO879" t="s">
        <v>3399</v>
      </c>
      <c r="AP879" t="s">
        <v>3400</v>
      </c>
      <c r="AQ879" t="s">
        <v>74</v>
      </c>
      <c r="AR879" t="s">
        <v>3401</v>
      </c>
      <c r="AS879" t="s">
        <v>3402</v>
      </c>
      <c r="AT879" t="s">
        <v>16748</v>
      </c>
      <c r="AU879">
        <v>2018</v>
      </c>
      <c r="AV879">
        <v>18</v>
      </c>
      <c r="AW879">
        <v>11</v>
      </c>
      <c r="AX879" t="s">
        <v>74</v>
      </c>
      <c r="AY879" t="s">
        <v>74</v>
      </c>
      <c r="AZ879" t="s">
        <v>74</v>
      </c>
      <c r="BA879" t="s">
        <v>74</v>
      </c>
      <c r="BB879">
        <v>8409</v>
      </c>
      <c r="BC879">
        <v>8438</v>
      </c>
      <c r="BD879" t="s">
        <v>74</v>
      </c>
      <c r="BE879" t="s">
        <v>16749</v>
      </c>
      <c r="BF879" t="str">
        <f>HYPERLINK("http://dx.doi.org/10.5194/acp-18-8409-2018","http://dx.doi.org/10.5194/acp-18-8409-2018")</f>
        <v>http://dx.doi.org/10.5194/acp-18-8409-2018</v>
      </c>
      <c r="BG879" t="s">
        <v>74</v>
      </c>
      <c r="BH879" t="s">
        <v>74</v>
      </c>
      <c r="BI879">
        <v>30</v>
      </c>
      <c r="BJ879" t="s">
        <v>317</v>
      </c>
      <c r="BK879" t="s">
        <v>101</v>
      </c>
      <c r="BL879" t="s">
        <v>318</v>
      </c>
      <c r="BM879" t="s">
        <v>16750</v>
      </c>
      <c r="BN879" t="s">
        <v>74</v>
      </c>
      <c r="BO879" t="s">
        <v>16751</v>
      </c>
      <c r="BP879" t="s">
        <v>74</v>
      </c>
      <c r="BQ879" t="s">
        <v>74</v>
      </c>
      <c r="BR879" t="s">
        <v>104</v>
      </c>
      <c r="BS879" t="s">
        <v>16752</v>
      </c>
      <c r="BT879" t="str">
        <f>HYPERLINK("https%3A%2F%2Fwww.webofscience.com%2Fwos%2Fwoscc%2Ffull-record%2FWOS:000435406800003","View Full Record in Web of Science")</f>
        <v>View Full Record in Web of Science</v>
      </c>
    </row>
    <row r="880" spans="1:72" x14ac:dyDescent="0.15">
      <c r="A880" t="s">
        <v>72</v>
      </c>
      <c r="B880" t="s">
        <v>16753</v>
      </c>
      <c r="C880" t="s">
        <v>74</v>
      </c>
      <c r="D880" t="s">
        <v>74</v>
      </c>
      <c r="E880" t="s">
        <v>74</v>
      </c>
      <c r="F880" t="s">
        <v>16754</v>
      </c>
      <c r="G880" t="s">
        <v>74</v>
      </c>
      <c r="H880" t="s">
        <v>74</v>
      </c>
      <c r="I880" t="s">
        <v>16755</v>
      </c>
      <c r="J880" t="s">
        <v>16756</v>
      </c>
      <c r="K880" t="s">
        <v>74</v>
      </c>
      <c r="L880" t="s">
        <v>74</v>
      </c>
      <c r="M880" t="s">
        <v>78</v>
      </c>
      <c r="N880" t="s">
        <v>79</v>
      </c>
      <c r="O880" t="s">
        <v>74</v>
      </c>
      <c r="P880" t="s">
        <v>74</v>
      </c>
      <c r="Q880" t="s">
        <v>74</v>
      </c>
      <c r="R880" t="s">
        <v>74</v>
      </c>
      <c r="S880" t="s">
        <v>74</v>
      </c>
      <c r="T880" t="s">
        <v>16757</v>
      </c>
      <c r="U880" t="s">
        <v>16758</v>
      </c>
      <c r="V880" t="s">
        <v>16759</v>
      </c>
      <c r="W880" t="s">
        <v>16760</v>
      </c>
      <c r="X880" t="s">
        <v>16761</v>
      </c>
      <c r="Y880" t="s">
        <v>6148</v>
      </c>
      <c r="Z880" t="s">
        <v>6149</v>
      </c>
      <c r="AA880" t="s">
        <v>16762</v>
      </c>
      <c r="AB880" t="s">
        <v>74</v>
      </c>
      <c r="AC880" t="s">
        <v>16763</v>
      </c>
      <c r="AD880" t="s">
        <v>12709</v>
      </c>
      <c r="AE880" t="s">
        <v>16764</v>
      </c>
      <c r="AF880" t="s">
        <v>74</v>
      </c>
      <c r="AG880">
        <v>49</v>
      </c>
      <c r="AH880">
        <v>4</v>
      </c>
      <c r="AI880">
        <v>4</v>
      </c>
      <c r="AJ880">
        <v>3</v>
      </c>
      <c r="AK880">
        <v>61</v>
      </c>
      <c r="AL880" t="s">
        <v>149</v>
      </c>
      <c r="AM880" t="s">
        <v>93</v>
      </c>
      <c r="AN880" t="s">
        <v>150</v>
      </c>
      <c r="AO880" t="s">
        <v>16765</v>
      </c>
      <c r="AP880" t="s">
        <v>16766</v>
      </c>
      <c r="AQ880" t="s">
        <v>74</v>
      </c>
      <c r="AR880" t="s">
        <v>16767</v>
      </c>
      <c r="AS880" t="s">
        <v>16768</v>
      </c>
      <c r="AT880" t="s">
        <v>16748</v>
      </c>
      <c r="AU880">
        <v>2018</v>
      </c>
      <c r="AV880">
        <v>159</v>
      </c>
      <c r="AW880" t="s">
        <v>74</v>
      </c>
      <c r="AX880" t="s">
        <v>74</v>
      </c>
      <c r="AY880" t="s">
        <v>74</v>
      </c>
      <c r="AZ880" t="s">
        <v>74</v>
      </c>
      <c r="BA880" t="s">
        <v>74</v>
      </c>
      <c r="BB880">
        <v>69</v>
      </c>
      <c r="BC880">
        <v>73</v>
      </c>
      <c r="BD880" t="s">
        <v>74</v>
      </c>
      <c r="BE880" t="s">
        <v>16769</v>
      </c>
      <c r="BF880" t="str">
        <f>HYPERLINK("http://dx.doi.org/10.1016/j.jseaes.2018.03.019","http://dx.doi.org/10.1016/j.jseaes.2018.03.019")</f>
        <v>http://dx.doi.org/10.1016/j.jseaes.2018.03.019</v>
      </c>
      <c r="BG880" t="s">
        <v>74</v>
      </c>
      <c r="BH880" t="s">
        <v>74</v>
      </c>
      <c r="BI880">
        <v>5</v>
      </c>
      <c r="BJ880" t="s">
        <v>182</v>
      </c>
      <c r="BK880" t="s">
        <v>101</v>
      </c>
      <c r="BL880" t="s">
        <v>183</v>
      </c>
      <c r="BM880" t="s">
        <v>16770</v>
      </c>
      <c r="BN880" t="s">
        <v>74</v>
      </c>
      <c r="BO880" t="s">
        <v>74</v>
      </c>
      <c r="BP880" t="s">
        <v>74</v>
      </c>
      <c r="BQ880" t="s">
        <v>74</v>
      </c>
      <c r="BR880" t="s">
        <v>104</v>
      </c>
      <c r="BS880" t="s">
        <v>16771</v>
      </c>
      <c r="BT880" t="str">
        <f>HYPERLINK("https%3A%2F%2Fwww.webofscience.com%2Fwos%2Fwoscc%2Ffull-record%2FWOS:000436213700007","View Full Record in Web of Science")</f>
        <v>View Full Record in Web of Science</v>
      </c>
    </row>
    <row r="881" spans="1:72" x14ac:dyDescent="0.15">
      <c r="A881" t="s">
        <v>72</v>
      </c>
      <c r="B881" t="s">
        <v>16772</v>
      </c>
      <c r="C881" t="s">
        <v>74</v>
      </c>
      <c r="D881" t="s">
        <v>74</v>
      </c>
      <c r="E881" t="s">
        <v>74</v>
      </c>
      <c r="F881" t="s">
        <v>16773</v>
      </c>
      <c r="G881" t="s">
        <v>74</v>
      </c>
      <c r="H881" t="s">
        <v>74</v>
      </c>
      <c r="I881" t="s">
        <v>16774</v>
      </c>
      <c r="J881" t="s">
        <v>1173</v>
      </c>
      <c r="K881" t="s">
        <v>74</v>
      </c>
      <c r="L881" t="s">
        <v>74</v>
      </c>
      <c r="M881" t="s">
        <v>78</v>
      </c>
      <c r="N881" t="s">
        <v>79</v>
      </c>
      <c r="O881" t="s">
        <v>74</v>
      </c>
      <c r="P881" t="s">
        <v>74</v>
      </c>
      <c r="Q881" t="s">
        <v>74</v>
      </c>
      <c r="R881" t="s">
        <v>74</v>
      </c>
      <c r="S881" t="s">
        <v>74</v>
      </c>
      <c r="T881" t="s">
        <v>16775</v>
      </c>
      <c r="U881" t="s">
        <v>16776</v>
      </c>
      <c r="V881" t="s">
        <v>16777</v>
      </c>
      <c r="W881" t="s">
        <v>16778</v>
      </c>
      <c r="X881" t="s">
        <v>16779</v>
      </c>
      <c r="Y881" t="s">
        <v>16780</v>
      </c>
      <c r="Z881" t="s">
        <v>16781</v>
      </c>
      <c r="AA881" t="s">
        <v>16782</v>
      </c>
      <c r="AB881" t="s">
        <v>16783</v>
      </c>
      <c r="AC881" t="s">
        <v>16784</v>
      </c>
      <c r="AD881" t="s">
        <v>16785</v>
      </c>
      <c r="AE881" t="s">
        <v>16786</v>
      </c>
      <c r="AF881" t="s">
        <v>74</v>
      </c>
      <c r="AG881">
        <v>55</v>
      </c>
      <c r="AH881">
        <v>8</v>
      </c>
      <c r="AI881">
        <v>8</v>
      </c>
      <c r="AJ881">
        <v>0</v>
      </c>
      <c r="AK881">
        <v>10</v>
      </c>
      <c r="AL881" t="s">
        <v>430</v>
      </c>
      <c r="AM881" t="s">
        <v>286</v>
      </c>
      <c r="AN881" t="s">
        <v>431</v>
      </c>
      <c r="AO881" t="s">
        <v>1180</v>
      </c>
      <c r="AP881" t="s">
        <v>1181</v>
      </c>
      <c r="AQ881" t="s">
        <v>74</v>
      </c>
      <c r="AR881" t="s">
        <v>1182</v>
      </c>
      <c r="AS881" t="s">
        <v>1183</v>
      </c>
      <c r="AT881" t="s">
        <v>16748</v>
      </c>
      <c r="AU881">
        <v>2018</v>
      </c>
      <c r="AV881">
        <v>499</v>
      </c>
      <c r="AW881" t="s">
        <v>74</v>
      </c>
      <c r="AX881" t="s">
        <v>74</v>
      </c>
      <c r="AY881" t="s">
        <v>74</v>
      </c>
      <c r="AZ881" t="s">
        <v>74</v>
      </c>
      <c r="BA881" t="s">
        <v>74</v>
      </c>
      <c r="BB881">
        <v>112</v>
      </c>
      <c r="BC881">
        <v>122</v>
      </c>
      <c r="BD881" t="s">
        <v>74</v>
      </c>
      <c r="BE881" t="s">
        <v>16787</v>
      </c>
      <c r="BF881" t="str">
        <f>HYPERLINK("http://dx.doi.org/10.1016/j.palaeo.2018.03.023","http://dx.doi.org/10.1016/j.palaeo.2018.03.023")</f>
        <v>http://dx.doi.org/10.1016/j.palaeo.2018.03.023</v>
      </c>
      <c r="BG881" t="s">
        <v>74</v>
      </c>
      <c r="BH881" t="s">
        <v>74</v>
      </c>
      <c r="BI881">
        <v>11</v>
      </c>
      <c r="BJ881" t="s">
        <v>1185</v>
      </c>
      <c r="BK881" t="s">
        <v>101</v>
      </c>
      <c r="BL881" t="s">
        <v>1186</v>
      </c>
      <c r="BM881" t="s">
        <v>16788</v>
      </c>
      <c r="BN881" t="s">
        <v>74</v>
      </c>
      <c r="BO881" t="s">
        <v>74</v>
      </c>
      <c r="BP881" t="s">
        <v>74</v>
      </c>
      <c r="BQ881" t="s">
        <v>74</v>
      </c>
      <c r="BR881" t="s">
        <v>104</v>
      </c>
      <c r="BS881" t="s">
        <v>16789</v>
      </c>
      <c r="BT881" t="str">
        <f>HYPERLINK("https%3A%2F%2Fwww.webofscience.com%2Fwos%2Fwoscc%2Ffull-record%2FWOS:000431157600010","View Full Record in Web of Science")</f>
        <v>View Full Record in Web of Science</v>
      </c>
    </row>
    <row r="882" spans="1:72" x14ac:dyDescent="0.15">
      <c r="A882" t="s">
        <v>72</v>
      </c>
      <c r="B882" t="s">
        <v>16790</v>
      </c>
      <c r="C882" t="s">
        <v>74</v>
      </c>
      <c r="D882" t="s">
        <v>74</v>
      </c>
      <c r="E882" t="s">
        <v>74</v>
      </c>
      <c r="F882" t="s">
        <v>16791</v>
      </c>
      <c r="G882" t="s">
        <v>74</v>
      </c>
      <c r="H882" t="s">
        <v>74</v>
      </c>
      <c r="I882" t="s">
        <v>16792</v>
      </c>
      <c r="J882" t="s">
        <v>1233</v>
      </c>
      <c r="K882" t="s">
        <v>74</v>
      </c>
      <c r="L882" t="s">
        <v>74</v>
      </c>
      <c r="M882" t="s">
        <v>78</v>
      </c>
      <c r="N882" t="s">
        <v>79</v>
      </c>
      <c r="O882" t="s">
        <v>74</v>
      </c>
      <c r="P882" t="s">
        <v>74</v>
      </c>
      <c r="Q882" t="s">
        <v>74</v>
      </c>
      <c r="R882" t="s">
        <v>74</v>
      </c>
      <c r="S882" t="s">
        <v>74</v>
      </c>
      <c r="T882" t="s">
        <v>16793</v>
      </c>
      <c r="U882" t="s">
        <v>16794</v>
      </c>
      <c r="V882" t="s">
        <v>16795</v>
      </c>
      <c r="W882" t="s">
        <v>16796</v>
      </c>
      <c r="X882" t="s">
        <v>16797</v>
      </c>
      <c r="Y882" t="s">
        <v>3948</v>
      </c>
      <c r="Z882" t="s">
        <v>3949</v>
      </c>
      <c r="AA882" t="s">
        <v>16798</v>
      </c>
      <c r="AB882" t="s">
        <v>16799</v>
      </c>
      <c r="AC882" t="s">
        <v>16800</v>
      </c>
      <c r="AD882" t="s">
        <v>16801</v>
      </c>
      <c r="AE882" t="s">
        <v>16802</v>
      </c>
      <c r="AF882" t="s">
        <v>74</v>
      </c>
      <c r="AG882">
        <v>54</v>
      </c>
      <c r="AH882">
        <v>49</v>
      </c>
      <c r="AI882">
        <v>50</v>
      </c>
      <c r="AJ882">
        <v>1</v>
      </c>
      <c r="AK882">
        <v>26</v>
      </c>
      <c r="AL882" t="s">
        <v>404</v>
      </c>
      <c r="AM882" t="s">
        <v>258</v>
      </c>
      <c r="AN882" t="s">
        <v>1677</v>
      </c>
      <c r="AO882" t="s">
        <v>1246</v>
      </c>
      <c r="AP882" t="s">
        <v>1247</v>
      </c>
      <c r="AQ882" t="s">
        <v>74</v>
      </c>
      <c r="AR882" t="s">
        <v>1248</v>
      </c>
      <c r="AS882" t="s">
        <v>1249</v>
      </c>
      <c r="AT882" t="s">
        <v>16748</v>
      </c>
      <c r="AU882">
        <v>2018</v>
      </c>
      <c r="AV882">
        <v>211</v>
      </c>
      <c r="AW882" t="s">
        <v>74</v>
      </c>
      <c r="AX882" t="s">
        <v>74</v>
      </c>
      <c r="AY882" t="s">
        <v>74</v>
      </c>
      <c r="AZ882" t="s">
        <v>74</v>
      </c>
      <c r="BA882" t="s">
        <v>74</v>
      </c>
      <c r="BB882">
        <v>456</v>
      </c>
      <c r="BC882">
        <v>471</v>
      </c>
      <c r="BD882" t="s">
        <v>74</v>
      </c>
      <c r="BE882" t="s">
        <v>16803</v>
      </c>
      <c r="BF882" t="str">
        <f>HYPERLINK("http://dx.doi.org/10.1016/j.rse.2018.02.074","http://dx.doi.org/10.1016/j.rse.2018.02.074")</f>
        <v>http://dx.doi.org/10.1016/j.rse.2018.02.074</v>
      </c>
      <c r="BG882" t="s">
        <v>74</v>
      </c>
      <c r="BH882" t="s">
        <v>74</v>
      </c>
      <c r="BI882">
        <v>16</v>
      </c>
      <c r="BJ882" t="s">
        <v>1251</v>
      </c>
      <c r="BK882" t="s">
        <v>101</v>
      </c>
      <c r="BL882" t="s">
        <v>1252</v>
      </c>
      <c r="BM882" t="s">
        <v>16804</v>
      </c>
      <c r="BN882" t="s">
        <v>74</v>
      </c>
      <c r="BO882" t="s">
        <v>1884</v>
      </c>
      <c r="BP882" t="s">
        <v>74</v>
      </c>
      <c r="BQ882" t="s">
        <v>74</v>
      </c>
      <c r="BR882" t="s">
        <v>104</v>
      </c>
      <c r="BS882" t="s">
        <v>16805</v>
      </c>
      <c r="BT882" t="str">
        <f>HYPERLINK("https%3A%2F%2Fwww.webofscience.com%2Fwos%2Fwoscc%2Ffull-record%2FWOS:000433650700035","View Full Record in Web of Science")</f>
        <v>View Full Record in Web of Science</v>
      </c>
    </row>
    <row r="883" spans="1:72" x14ac:dyDescent="0.15">
      <c r="A883" t="s">
        <v>72</v>
      </c>
      <c r="B883" t="s">
        <v>16806</v>
      </c>
      <c r="C883" t="s">
        <v>74</v>
      </c>
      <c r="D883" t="s">
        <v>74</v>
      </c>
      <c r="E883" t="s">
        <v>74</v>
      </c>
      <c r="F883" t="s">
        <v>16807</v>
      </c>
      <c r="G883" t="s">
        <v>74</v>
      </c>
      <c r="H883" t="s">
        <v>74</v>
      </c>
      <c r="I883" t="s">
        <v>16808</v>
      </c>
      <c r="J883" t="s">
        <v>7832</v>
      </c>
      <c r="K883" t="s">
        <v>74</v>
      </c>
      <c r="L883" t="s">
        <v>74</v>
      </c>
      <c r="M883" t="s">
        <v>78</v>
      </c>
      <c r="N883" t="s">
        <v>79</v>
      </c>
      <c r="O883" t="s">
        <v>74</v>
      </c>
      <c r="P883" t="s">
        <v>74</v>
      </c>
      <c r="Q883" t="s">
        <v>74</v>
      </c>
      <c r="R883" t="s">
        <v>74</v>
      </c>
      <c r="S883" t="s">
        <v>74</v>
      </c>
      <c r="T883" t="s">
        <v>74</v>
      </c>
      <c r="U883" t="s">
        <v>16809</v>
      </c>
      <c r="V883" t="s">
        <v>16810</v>
      </c>
      <c r="W883" t="s">
        <v>16811</v>
      </c>
      <c r="X883" t="s">
        <v>16812</v>
      </c>
      <c r="Y883" t="s">
        <v>16813</v>
      </c>
      <c r="Z883" t="s">
        <v>16814</v>
      </c>
      <c r="AA883" t="s">
        <v>16815</v>
      </c>
      <c r="AB883" t="s">
        <v>16816</v>
      </c>
      <c r="AC883" t="s">
        <v>16817</v>
      </c>
      <c r="AD883" t="s">
        <v>16818</v>
      </c>
      <c r="AE883" t="s">
        <v>16819</v>
      </c>
      <c r="AF883" t="s">
        <v>74</v>
      </c>
      <c r="AG883">
        <v>112</v>
      </c>
      <c r="AH883">
        <v>19</v>
      </c>
      <c r="AI883">
        <v>20</v>
      </c>
      <c r="AJ883">
        <v>0</v>
      </c>
      <c r="AK883">
        <v>13</v>
      </c>
      <c r="AL883" t="s">
        <v>3353</v>
      </c>
      <c r="AM883" t="s">
        <v>3354</v>
      </c>
      <c r="AN883" t="s">
        <v>3355</v>
      </c>
      <c r="AO883" t="s">
        <v>7844</v>
      </c>
      <c r="AP883" t="s">
        <v>7845</v>
      </c>
      <c r="AQ883" t="s">
        <v>74</v>
      </c>
      <c r="AR883" t="s">
        <v>7832</v>
      </c>
      <c r="AS883" t="s">
        <v>7846</v>
      </c>
      <c r="AT883" t="s">
        <v>16748</v>
      </c>
      <c r="AU883">
        <v>2018</v>
      </c>
      <c r="AV883">
        <v>15</v>
      </c>
      <c r="AW883">
        <v>11</v>
      </c>
      <c r="AX883" t="s">
        <v>74</v>
      </c>
      <c r="AY883" t="s">
        <v>74</v>
      </c>
      <c r="AZ883" t="s">
        <v>74</v>
      </c>
      <c r="BA883" t="s">
        <v>74</v>
      </c>
      <c r="BB883">
        <v>3541</v>
      </c>
      <c r="BC883">
        <v>3560</v>
      </c>
      <c r="BD883" t="s">
        <v>74</v>
      </c>
      <c r="BE883" t="s">
        <v>16820</v>
      </c>
      <c r="BF883" t="str">
        <f>HYPERLINK("http://dx.doi.org/10.5194/bg-15-3541-2018","http://dx.doi.org/10.5194/bg-15-3541-2018")</f>
        <v>http://dx.doi.org/10.5194/bg-15-3541-2018</v>
      </c>
      <c r="BG883" t="s">
        <v>74</v>
      </c>
      <c r="BH883" t="s">
        <v>74</v>
      </c>
      <c r="BI883">
        <v>20</v>
      </c>
      <c r="BJ883" t="s">
        <v>7849</v>
      </c>
      <c r="BK883" t="s">
        <v>101</v>
      </c>
      <c r="BL883" t="s">
        <v>5223</v>
      </c>
      <c r="BM883" t="s">
        <v>16821</v>
      </c>
      <c r="BN883" t="s">
        <v>74</v>
      </c>
      <c r="BO883" t="s">
        <v>1524</v>
      </c>
      <c r="BP883" t="s">
        <v>74</v>
      </c>
      <c r="BQ883" t="s">
        <v>74</v>
      </c>
      <c r="BR883" t="s">
        <v>104</v>
      </c>
      <c r="BS883" t="s">
        <v>16822</v>
      </c>
      <c r="BT883" t="str">
        <f>HYPERLINK("https%3A%2F%2Fwww.webofscience.com%2Fwos%2Fwoscc%2Ffull-record%2FWOS:000435399200001","View Full Record in Web of Science")</f>
        <v>View Full Record in Web of Science</v>
      </c>
    </row>
    <row r="884" spans="1:72" x14ac:dyDescent="0.15">
      <c r="A884" t="s">
        <v>72</v>
      </c>
      <c r="B884" t="s">
        <v>16823</v>
      </c>
      <c r="C884" t="s">
        <v>74</v>
      </c>
      <c r="D884" t="s">
        <v>74</v>
      </c>
      <c r="E884" t="s">
        <v>74</v>
      </c>
      <c r="F884" t="s">
        <v>16824</v>
      </c>
      <c r="G884" t="s">
        <v>74</v>
      </c>
      <c r="H884" t="s">
        <v>16825</v>
      </c>
      <c r="I884" t="s">
        <v>16826</v>
      </c>
      <c r="J884" t="s">
        <v>3366</v>
      </c>
      <c r="K884" t="s">
        <v>74</v>
      </c>
      <c r="L884" t="s">
        <v>74</v>
      </c>
      <c r="M884" t="s">
        <v>78</v>
      </c>
      <c r="N884" t="s">
        <v>79</v>
      </c>
      <c r="O884" t="s">
        <v>74</v>
      </c>
      <c r="P884" t="s">
        <v>74</v>
      </c>
      <c r="Q884" t="s">
        <v>74</v>
      </c>
      <c r="R884" t="s">
        <v>74</v>
      </c>
      <c r="S884" t="s">
        <v>74</v>
      </c>
      <c r="T884" t="s">
        <v>74</v>
      </c>
      <c r="U884" t="s">
        <v>16827</v>
      </c>
      <c r="V884" t="s">
        <v>16828</v>
      </c>
      <c r="W884" t="s">
        <v>16829</v>
      </c>
      <c r="X884" t="s">
        <v>16830</v>
      </c>
      <c r="Y884" t="s">
        <v>16831</v>
      </c>
      <c r="Z884" t="s">
        <v>16832</v>
      </c>
      <c r="AA884" t="s">
        <v>16833</v>
      </c>
      <c r="AB884" t="s">
        <v>16834</v>
      </c>
      <c r="AC884" t="s">
        <v>16835</v>
      </c>
      <c r="AD884" t="s">
        <v>16836</v>
      </c>
      <c r="AE884" t="s">
        <v>16837</v>
      </c>
      <c r="AF884" t="s">
        <v>74</v>
      </c>
      <c r="AG884">
        <v>48</v>
      </c>
      <c r="AH884">
        <v>20</v>
      </c>
      <c r="AI884">
        <v>22</v>
      </c>
      <c r="AJ884">
        <v>1</v>
      </c>
      <c r="AK884">
        <v>11</v>
      </c>
      <c r="AL884" t="s">
        <v>3353</v>
      </c>
      <c r="AM884" t="s">
        <v>3354</v>
      </c>
      <c r="AN884" t="s">
        <v>3355</v>
      </c>
      <c r="AO884" t="s">
        <v>3377</v>
      </c>
      <c r="AP884" t="s">
        <v>3378</v>
      </c>
      <c r="AQ884" t="s">
        <v>74</v>
      </c>
      <c r="AR884" t="s">
        <v>3366</v>
      </c>
      <c r="AS884" t="s">
        <v>3379</v>
      </c>
      <c r="AT884" t="s">
        <v>16748</v>
      </c>
      <c r="AU884">
        <v>2018</v>
      </c>
      <c r="AV884">
        <v>12</v>
      </c>
      <c r="AW884">
        <v>6</v>
      </c>
      <c r="AX884" t="s">
        <v>74</v>
      </c>
      <c r="AY884" t="s">
        <v>74</v>
      </c>
      <c r="AZ884" t="s">
        <v>74</v>
      </c>
      <c r="BA884" t="s">
        <v>74</v>
      </c>
      <c r="BB884">
        <v>2039</v>
      </c>
      <c r="BC884">
        <v>2050</v>
      </c>
      <c r="BD884" t="s">
        <v>74</v>
      </c>
      <c r="BE884" t="s">
        <v>16838</v>
      </c>
      <c r="BF884" t="str">
        <f>HYPERLINK("http://dx.doi.org/10.5194/tc-12-2039-2018","http://dx.doi.org/10.5194/tc-12-2039-2018")</f>
        <v>http://dx.doi.org/10.5194/tc-12-2039-2018</v>
      </c>
      <c r="BG884" t="s">
        <v>74</v>
      </c>
      <c r="BH884" t="s">
        <v>74</v>
      </c>
      <c r="BI884">
        <v>12</v>
      </c>
      <c r="BJ884" t="s">
        <v>208</v>
      </c>
      <c r="BK884" t="s">
        <v>101</v>
      </c>
      <c r="BL884" t="s">
        <v>209</v>
      </c>
      <c r="BM884" t="s">
        <v>16839</v>
      </c>
      <c r="BN884" t="s">
        <v>74</v>
      </c>
      <c r="BO884" t="s">
        <v>11831</v>
      </c>
      <c r="BP884" t="s">
        <v>74</v>
      </c>
      <c r="BQ884" t="s">
        <v>74</v>
      </c>
      <c r="BR884" t="s">
        <v>104</v>
      </c>
      <c r="BS884" t="s">
        <v>16840</v>
      </c>
      <c r="BT884" t="str">
        <f>HYPERLINK("https%3A%2F%2Fwww.webofscience.com%2Fwos%2Fwoscc%2Ffull-record%2FWOS:000435400700001","View Full Record in Web of Science")</f>
        <v>View Full Record in Web of Science</v>
      </c>
    </row>
    <row r="885" spans="1:72" x14ac:dyDescent="0.15">
      <c r="A885" t="s">
        <v>72</v>
      </c>
      <c r="B885" t="s">
        <v>16841</v>
      </c>
      <c r="C885" t="s">
        <v>74</v>
      </c>
      <c r="D885" t="s">
        <v>74</v>
      </c>
      <c r="E885" t="s">
        <v>74</v>
      </c>
      <c r="F885" t="s">
        <v>16842</v>
      </c>
      <c r="G885" t="s">
        <v>74</v>
      </c>
      <c r="H885" t="s">
        <v>74</v>
      </c>
      <c r="I885" t="s">
        <v>16843</v>
      </c>
      <c r="J885" t="s">
        <v>16844</v>
      </c>
      <c r="K885" t="s">
        <v>74</v>
      </c>
      <c r="L885" t="s">
        <v>74</v>
      </c>
      <c r="M885" t="s">
        <v>78</v>
      </c>
      <c r="N885" t="s">
        <v>79</v>
      </c>
      <c r="O885" t="s">
        <v>74</v>
      </c>
      <c r="P885" t="s">
        <v>74</v>
      </c>
      <c r="Q885" t="s">
        <v>74</v>
      </c>
      <c r="R885" t="s">
        <v>74</v>
      </c>
      <c r="S885" t="s">
        <v>74</v>
      </c>
      <c r="T885" t="s">
        <v>16845</v>
      </c>
      <c r="U885" t="s">
        <v>16846</v>
      </c>
      <c r="V885" t="s">
        <v>16847</v>
      </c>
      <c r="W885" t="s">
        <v>16848</v>
      </c>
      <c r="X885" t="s">
        <v>16849</v>
      </c>
      <c r="Y885" t="s">
        <v>16850</v>
      </c>
      <c r="Z885" t="s">
        <v>16851</v>
      </c>
      <c r="AA885" t="s">
        <v>16852</v>
      </c>
      <c r="AB885" t="s">
        <v>16853</v>
      </c>
      <c r="AC885" t="s">
        <v>16854</v>
      </c>
      <c r="AD885" t="s">
        <v>16855</v>
      </c>
      <c r="AE885" t="s">
        <v>16856</v>
      </c>
      <c r="AF885" t="s">
        <v>74</v>
      </c>
      <c r="AG885">
        <v>86</v>
      </c>
      <c r="AH885">
        <v>17</v>
      </c>
      <c r="AI885">
        <v>18</v>
      </c>
      <c r="AJ885">
        <v>2</v>
      </c>
      <c r="AK885">
        <v>28</v>
      </c>
      <c r="AL885" t="s">
        <v>758</v>
      </c>
      <c r="AM885" t="s">
        <v>759</v>
      </c>
      <c r="AN885" t="s">
        <v>760</v>
      </c>
      <c r="AO885" t="s">
        <v>16857</v>
      </c>
      <c r="AP885" t="s">
        <v>16858</v>
      </c>
      <c r="AQ885" t="s">
        <v>74</v>
      </c>
      <c r="AR885" t="s">
        <v>16859</v>
      </c>
      <c r="AS885" t="s">
        <v>16860</v>
      </c>
      <c r="AT885" t="s">
        <v>16748</v>
      </c>
      <c r="AU885">
        <v>2018</v>
      </c>
      <c r="AV885">
        <v>43</v>
      </c>
      <c r="AW885">
        <v>7</v>
      </c>
      <c r="AX885" t="s">
        <v>74</v>
      </c>
      <c r="AY885" t="s">
        <v>74</v>
      </c>
      <c r="AZ885" t="s">
        <v>74</v>
      </c>
      <c r="BA885" t="s">
        <v>74</v>
      </c>
      <c r="BB885">
        <v>1390</v>
      </c>
      <c r="BC885">
        <v>1402</v>
      </c>
      <c r="BD885" t="s">
        <v>74</v>
      </c>
      <c r="BE885" t="s">
        <v>16861</v>
      </c>
      <c r="BF885" t="str">
        <f>HYPERLINK("http://dx.doi.org/10.1002/esp.4320","http://dx.doi.org/10.1002/esp.4320")</f>
        <v>http://dx.doi.org/10.1002/esp.4320</v>
      </c>
      <c r="BG885" t="s">
        <v>74</v>
      </c>
      <c r="BH885" t="s">
        <v>74</v>
      </c>
      <c r="BI885">
        <v>13</v>
      </c>
      <c r="BJ885" t="s">
        <v>208</v>
      </c>
      <c r="BK885" t="s">
        <v>101</v>
      </c>
      <c r="BL885" t="s">
        <v>209</v>
      </c>
      <c r="BM885" t="s">
        <v>16862</v>
      </c>
      <c r="BN885" t="s">
        <v>74</v>
      </c>
      <c r="BO885" t="s">
        <v>740</v>
      </c>
      <c r="BP885" t="s">
        <v>74</v>
      </c>
      <c r="BQ885" t="s">
        <v>74</v>
      </c>
      <c r="BR885" t="s">
        <v>104</v>
      </c>
      <c r="BS885" t="s">
        <v>16863</v>
      </c>
      <c r="BT885" t="str">
        <f>HYPERLINK("https%3A%2F%2Fwww.webofscience.com%2Fwos%2Fwoscc%2Ffull-record%2FWOS:000434218800002","View Full Record in Web of Science")</f>
        <v>View Full Record in Web of Science</v>
      </c>
    </row>
    <row r="886" spans="1:72" x14ac:dyDescent="0.15">
      <c r="A886" t="s">
        <v>72</v>
      </c>
      <c r="B886" t="s">
        <v>16864</v>
      </c>
      <c r="C886" t="s">
        <v>74</v>
      </c>
      <c r="D886" t="s">
        <v>74</v>
      </c>
      <c r="E886" t="s">
        <v>74</v>
      </c>
      <c r="F886" t="s">
        <v>16865</v>
      </c>
      <c r="G886" t="s">
        <v>74</v>
      </c>
      <c r="H886" t="s">
        <v>74</v>
      </c>
      <c r="I886" t="s">
        <v>16866</v>
      </c>
      <c r="J886" t="s">
        <v>4011</v>
      </c>
      <c r="K886" t="s">
        <v>74</v>
      </c>
      <c r="L886" t="s">
        <v>74</v>
      </c>
      <c r="M886" t="s">
        <v>78</v>
      </c>
      <c r="N886" t="s">
        <v>79</v>
      </c>
      <c r="O886" t="s">
        <v>74</v>
      </c>
      <c r="P886" t="s">
        <v>74</v>
      </c>
      <c r="Q886" t="s">
        <v>74</v>
      </c>
      <c r="R886" t="s">
        <v>74</v>
      </c>
      <c r="S886" t="s">
        <v>74</v>
      </c>
      <c r="T886" t="s">
        <v>16867</v>
      </c>
      <c r="U886" t="s">
        <v>16868</v>
      </c>
      <c r="V886" t="s">
        <v>16869</v>
      </c>
      <c r="W886" t="s">
        <v>16870</v>
      </c>
      <c r="X886" t="s">
        <v>16871</v>
      </c>
      <c r="Y886" t="s">
        <v>16872</v>
      </c>
      <c r="Z886" t="s">
        <v>16873</v>
      </c>
      <c r="AA886" t="s">
        <v>16874</v>
      </c>
      <c r="AB886" t="s">
        <v>74</v>
      </c>
      <c r="AC886" t="s">
        <v>16875</v>
      </c>
      <c r="AD886" t="s">
        <v>16876</v>
      </c>
      <c r="AE886" t="s">
        <v>16877</v>
      </c>
      <c r="AF886" t="s">
        <v>74</v>
      </c>
      <c r="AG886">
        <v>77</v>
      </c>
      <c r="AH886">
        <v>33</v>
      </c>
      <c r="AI886">
        <v>36</v>
      </c>
      <c r="AJ886">
        <v>6</v>
      </c>
      <c r="AK886">
        <v>72</v>
      </c>
      <c r="AL886" t="s">
        <v>149</v>
      </c>
      <c r="AM886" t="s">
        <v>93</v>
      </c>
      <c r="AN886" t="s">
        <v>150</v>
      </c>
      <c r="AO886" t="s">
        <v>4022</v>
      </c>
      <c r="AP886" t="s">
        <v>4023</v>
      </c>
      <c r="AQ886" t="s">
        <v>74</v>
      </c>
      <c r="AR886" t="s">
        <v>4024</v>
      </c>
      <c r="AS886" t="s">
        <v>4025</v>
      </c>
      <c r="AT886" t="s">
        <v>16748</v>
      </c>
      <c r="AU886">
        <v>2018</v>
      </c>
      <c r="AV886">
        <v>231</v>
      </c>
      <c r="AW886" t="s">
        <v>74</v>
      </c>
      <c r="AX886" t="s">
        <v>74</v>
      </c>
      <c r="AY886" t="s">
        <v>74</v>
      </c>
      <c r="AZ886" t="s">
        <v>74</v>
      </c>
      <c r="BA886" t="s">
        <v>74</v>
      </c>
      <c r="BB886">
        <v>1</v>
      </c>
      <c r="BC886">
        <v>14</v>
      </c>
      <c r="BD886" t="s">
        <v>74</v>
      </c>
      <c r="BE886" t="s">
        <v>16878</v>
      </c>
      <c r="BF886" t="str">
        <f>HYPERLINK("http://dx.doi.org/10.1016/j.gca.2018.03.025","http://dx.doi.org/10.1016/j.gca.2018.03.025")</f>
        <v>http://dx.doi.org/10.1016/j.gca.2018.03.025</v>
      </c>
      <c r="BG886" t="s">
        <v>74</v>
      </c>
      <c r="BH886" t="s">
        <v>74</v>
      </c>
      <c r="BI886">
        <v>14</v>
      </c>
      <c r="BJ886" t="s">
        <v>484</v>
      </c>
      <c r="BK886" t="s">
        <v>101</v>
      </c>
      <c r="BL886" t="s">
        <v>484</v>
      </c>
      <c r="BM886" t="s">
        <v>16879</v>
      </c>
      <c r="BN886" t="s">
        <v>74</v>
      </c>
      <c r="BO886" t="s">
        <v>486</v>
      </c>
      <c r="BP886" t="s">
        <v>74</v>
      </c>
      <c r="BQ886" t="s">
        <v>74</v>
      </c>
      <c r="BR886" t="s">
        <v>104</v>
      </c>
      <c r="BS886" t="s">
        <v>16880</v>
      </c>
      <c r="BT886" t="str">
        <f>HYPERLINK("https%3A%2F%2Fwww.webofscience.com%2Fwos%2Fwoscc%2Ffull-record%2FWOS:000432750300001","View Full Record in Web of Science")</f>
        <v>View Full Record in Web of Science</v>
      </c>
    </row>
    <row r="887" spans="1:72" x14ac:dyDescent="0.15">
      <c r="A887" t="s">
        <v>72</v>
      </c>
      <c r="B887" t="s">
        <v>16881</v>
      </c>
      <c r="C887" t="s">
        <v>74</v>
      </c>
      <c r="D887" t="s">
        <v>74</v>
      </c>
      <c r="E887" t="s">
        <v>74</v>
      </c>
      <c r="F887" t="s">
        <v>16882</v>
      </c>
      <c r="G887" t="s">
        <v>74</v>
      </c>
      <c r="H887" t="s">
        <v>74</v>
      </c>
      <c r="I887" t="s">
        <v>16883</v>
      </c>
      <c r="J887" t="s">
        <v>466</v>
      </c>
      <c r="K887" t="s">
        <v>74</v>
      </c>
      <c r="L887" t="s">
        <v>74</v>
      </c>
      <c r="M887" t="s">
        <v>78</v>
      </c>
      <c r="N887" t="s">
        <v>79</v>
      </c>
      <c r="O887" t="s">
        <v>74</v>
      </c>
      <c r="P887" t="s">
        <v>74</v>
      </c>
      <c r="Q887" t="s">
        <v>74</v>
      </c>
      <c r="R887" t="s">
        <v>74</v>
      </c>
      <c r="S887" t="s">
        <v>74</v>
      </c>
      <c r="T887" t="s">
        <v>16884</v>
      </c>
      <c r="U887" t="s">
        <v>16885</v>
      </c>
      <c r="V887" t="s">
        <v>16886</v>
      </c>
      <c r="W887" t="s">
        <v>16887</v>
      </c>
      <c r="X887" t="s">
        <v>16888</v>
      </c>
      <c r="Y887" t="s">
        <v>16889</v>
      </c>
      <c r="Z887" t="s">
        <v>16890</v>
      </c>
      <c r="AA887" t="s">
        <v>16891</v>
      </c>
      <c r="AB887" t="s">
        <v>16892</v>
      </c>
      <c r="AC887" t="s">
        <v>74</v>
      </c>
      <c r="AD887" t="s">
        <v>74</v>
      </c>
      <c r="AE887" t="s">
        <v>74</v>
      </c>
      <c r="AF887" t="s">
        <v>74</v>
      </c>
      <c r="AG887">
        <v>50</v>
      </c>
      <c r="AH887">
        <v>49</v>
      </c>
      <c r="AI887">
        <v>56</v>
      </c>
      <c r="AJ887">
        <v>2</v>
      </c>
      <c r="AK887">
        <v>55</v>
      </c>
      <c r="AL887" t="s">
        <v>430</v>
      </c>
      <c r="AM887" t="s">
        <v>286</v>
      </c>
      <c r="AN887" t="s">
        <v>431</v>
      </c>
      <c r="AO887" t="s">
        <v>479</v>
      </c>
      <c r="AP887" t="s">
        <v>480</v>
      </c>
      <c r="AQ887" t="s">
        <v>74</v>
      </c>
      <c r="AR887" t="s">
        <v>481</v>
      </c>
      <c r="AS887" t="s">
        <v>482</v>
      </c>
      <c r="AT887" t="s">
        <v>16748</v>
      </c>
      <c r="AU887">
        <v>2018</v>
      </c>
      <c r="AV887">
        <v>492</v>
      </c>
      <c r="AW887" t="s">
        <v>74</v>
      </c>
      <c r="AX887" t="s">
        <v>74</v>
      </c>
      <c r="AY887" t="s">
        <v>74</v>
      </c>
      <c r="AZ887" t="s">
        <v>74</v>
      </c>
      <c r="BA887" t="s">
        <v>74</v>
      </c>
      <c r="BB887">
        <v>1</v>
      </c>
      <c r="BC887">
        <v>11</v>
      </c>
      <c r="BD887" t="s">
        <v>74</v>
      </c>
      <c r="BE887" t="s">
        <v>16893</v>
      </c>
      <c r="BF887" t="str">
        <f>HYPERLINK("http://dx.doi.org/10.1016/j.epsl.2018.03.057","http://dx.doi.org/10.1016/j.epsl.2018.03.057")</f>
        <v>http://dx.doi.org/10.1016/j.epsl.2018.03.057</v>
      </c>
      <c r="BG887" t="s">
        <v>74</v>
      </c>
      <c r="BH887" t="s">
        <v>74</v>
      </c>
      <c r="BI887">
        <v>11</v>
      </c>
      <c r="BJ887" t="s">
        <v>484</v>
      </c>
      <c r="BK887" t="s">
        <v>101</v>
      </c>
      <c r="BL887" t="s">
        <v>484</v>
      </c>
      <c r="BM887" t="s">
        <v>16894</v>
      </c>
      <c r="BN887" t="s">
        <v>74</v>
      </c>
      <c r="BO887" t="s">
        <v>74</v>
      </c>
      <c r="BP887" t="s">
        <v>74</v>
      </c>
      <c r="BQ887" t="s">
        <v>74</v>
      </c>
      <c r="BR887" t="s">
        <v>104</v>
      </c>
      <c r="BS887" t="s">
        <v>16895</v>
      </c>
      <c r="BT887" t="str">
        <f>HYPERLINK("https%3A%2F%2Fwww.webofscience.com%2Fwos%2Fwoscc%2Ffull-record%2FWOS:000432762000001","View Full Record in Web of Science")</f>
        <v>View Full Record in Web of Science</v>
      </c>
    </row>
    <row r="888" spans="1:72" x14ac:dyDescent="0.15">
      <c r="A888" t="s">
        <v>72</v>
      </c>
      <c r="B888" t="s">
        <v>16896</v>
      </c>
      <c r="C888" t="s">
        <v>74</v>
      </c>
      <c r="D888" t="s">
        <v>74</v>
      </c>
      <c r="E888" t="s">
        <v>74</v>
      </c>
      <c r="F888" t="s">
        <v>16897</v>
      </c>
      <c r="G888" t="s">
        <v>74</v>
      </c>
      <c r="H888" t="s">
        <v>74</v>
      </c>
      <c r="I888" t="s">
        <v>16898</v>
      </c>
      <c r="J888" t="s">
        <v>3543</v>
      </c>
      <c r="K888" t="s">
        <v>74</v>
      </c>
      <c r="L888" t="s">
        <v>74</v>
      </c>
      <c r="M888" t="s">
        <v>78</v>
      </c>
      <c r="N888" t="s">
        <v>273</v>
      </c>
      <c r="O888" t="s">
        <v>74</v>
      </c>
      <c r="P888" t="s">
        <v>74</v>
      </c>
      <c r="Q888" t="s">
        <v>74</v>
      </c>
      <c r="R888" t="s">
        <v>74</v>
      </c>
      <c r="S888" t="s">
        <v>74</v>
      </c>
      <c r="T888" t="s">
        <v>74</v>
      </c>
      <c r="U888" t="s">
        <v>16899</v>
      </c>
      <c r="V888" t="s">
        <v>16900</v>
      </c>
      <c r="W888" t="s">
        <v>16901</v>
      </c>
      <c r="X888" t="s">
        <v>16902</v>
      </c>
      <c r="Y888" t="s">
        <v>16903</v>
      </c>
      <c r="Z888" t="s">
        <v>16904</v>
      </c>
      <c r="AA888" t="s">
        <v>16905</v>
      </c>
      <c r="AB888" t="s">
        <v>74</v>
      </c>
      <c r="AC888" t="s">
        <v>16906</v>
      </c>
      <c r="AD888" t="s">
        <v>16907</v>
      </c>
      <c r="AE888" t="s">
        <v>16908</v>
      </c>
      <c r="AF888" t="s">
        <v>74</v>
      </c>
      <c r="AG888">
        <v>119</v>
      </c>
      <c r="AH888">
        <v>68</v>
      </c>
      <c r="AI888">
        <v>77</v>
      </c>
      <c r="AJ888">
        <v>23</v>
      </c>
      <c r="AK888">
        <v>231</v>
      </c>
      <c r="AL888" t="s">
        <v>1159</v>
      </c>
      <c r="AM888" t="s">
        <v>704</v>
      </c>
      <c r="AN888" t="s">
        <v>2728</v>
      </c>
      <c r="AO888" t="s">
        <v>3556</v>
      </c>
      <c r="AP888" t="s">
        <v>3557</v>
      </c>
      <c r="AQ888" t="s">
        <v>74</v>
      </c>
      <c r="AR888" t="s">
        <v>3543</v>
      </c>
      <c r="AS888" t="s">
        <v>3558</v>
      </c>
      <c r="AT888" t="s">
        <v>16909</v>
      </c>
      <c r="AU888">
        <v>2018</v>
      </c>
      <c r="AV888">
        <v>558</v>
      </c>
      <c r="AW888">
        <v>7709</v>
      </c>
      <c r="AX888" t="s">
        <v>74</v>
      </c>
      <c r="AY888" t="s">
        <v>74</v>
      </c>
      <c r="AZ888" t="s">
        <v>74</v>
      </c>
      <c r="BA888" t="s">
        <v>74</v>
      </c>
      <c r="BB888">
        <v>200</v>
      </c>
      <c r="BC888">
        <v>208</v>
      </c>
      <c r="BD888" t="s">
        <v>74</v>
      </c>
      <c r="BE888" t="s">
        <v>16910</v>
      </c>
      <c r="BF888" t="str">
        <f>HYPERLINK("http://dx.doi.org/10.1038/s41586-018-0172-5","http://dx.doi.org/10.1038/s41586-018-0172-5")</f>
        <v>http://dx.doi.org/10.1038/s41586-018-0172-5</v>
      </c>
      <c r="BG888" t="s">
        <v>74</v>
      </c>
      <c r="BH888" t="s">
        <v>74</v>
      </c>
      <c r="BI888">
        <v>9</v>
      </c>
      <c r="BJ888" t="s">
        <v>436</v>
      </c>
      <c r="BK888" t="s">
        <v>101</v>
      </c>
      <c r="BL888" t="s">
        <v>437</v>
      </c>
      <c r="BM888" t="s">
        <v>16911</v>
      </c>
      <c r="BN888">
        <v>29899479</v>
      </c>
      <c r="BO888" t="s">
        <v>74</v>
      </c>
      <c r="BP888" t="s">
        <v>74</v>
      </c>
      <c r="BQ888" t="s">
        <v>74</v>
      </c>
      <c r="BR888" t="s">
        <v>104</v>
      </c>
      <c r="BS888" t="s">
        <v>16912</v>
      </c>
      <c r="BT888" t="str">
        <f>HYPERLINK("https%3A%2F%2Fwww.webofscience.com%2Fwos%2Fwoscc%2Ffull-record%2FWOS:000435071400039","View Full Record in Web of Science")</f>
        <v>View Full Record in Web of Science</v>
      </c>
    </row>
    <row r="889" spans="1:72" x14ac:dyDescent="0.15">
      <c r="A889" t="s">
        <v>72</v>
      </c>
      <c r="B889" t="s">
        <v>16913</v>
      </c>
      <c r="C889" t="s">
        <v>74</v>
      </c>
      <c r="D889" t="s">
        <v>74</v>
      </c>
      <c r="E889" t="s">
        <v>74</v>
      </c>
      <c r="F889" t="s">
        <v>16914</v>
      </c>
      <c r="G889" t="s">
        <v>74</v>
      </c>
      <c r="H889" t="s">
        <v>74</v>
      </c>
      <c r="I889" t="s">
        <v>16915</v>
      </c>
      <c r="J889" t="s">
        <v>3543</v>
      </c>
      <c r="K889" t="s">
        <v>74</v>
      </c>
      <c r="L889" t="s">
        <v>74</v>
      </c>
      <c r="M889" t="s">
        <v>78</v>
      </c>
      <c r="N889" t="s">
        <v>273</v>
      </c>
      <c r="O889" t="s">
        <v>74</v>
      </c>
      <c r="P889" t="s">
        <v>74</v>
      </c>
      <c r="Q889" t="s">
        <v>74</v>
      </c>
      <c r="R889" t="s">
        <v>74</v>
      </c>
      <c r="S889" t="s">
        <v>74</v>
      </c>
      <c r="T889" t="s">
        <v>74</v>
      </c>
      <c r="U889" t="s">
        <v>16916</v>
      </c>
      <c r="V889" t="s">
        <v>16917</v>
      </c>
      <c r="W889" t="s">
        <v>16918</v>
      </c>
      <c r="X889" t="s">
        <v>16919</v>
      </c>
      <c r="Y889" t="s">
        <v>16920</v>
      </c>
      <c r="Z889" t="s">
        <v>16921</v>
      </c>
      <c r="AA889" t="s">
        <v>16922</v>
      </c>
      <c r="AB889" t="s">
        <v>16923</v>
      </c>
      <c r="AC889" t="s">
        <v>16924</v>
      </c>
      <c r="AD889" t="s">
        <v>16925</v>
      </c>
      <c r="AE889" t="s">
        <v>16926</v>
      </c>
      <c r="AF889" t="s">
        <v>74</v>
      </c>
      <c r="AG889">
        <v>111</v>
      </c>
      <c r="AH889">
        <v>171</v>
      </c>
      <c r="AI889">
        <v>188</v>
      </c>
      <c r="AJ889">
        <v>20</v>
      </c>
      <c r="AK889">
        <v>194</v>
      </c>
      <c r="AL889" t="s">
        <v>1159</v>
      </c>
      <c r="AM889" t="s">
        <v>704</v>
      </c>
      <c r="AN889" t="s">
        <v>2728</v>
      </c>
      <c r="AO889" t="s">
        <v>3556</v>
      </c>
      <c r="AP889" t="s">
        <v>3557</v>
      </c>
      <c r="AQ889" t="s">
        <v>74</v>
      </c>
      <c r="AR889" t="s">
        <v>3543</v>
      </c>
      <c r="AS889" t="s">
        <v>3558</v>
      </c>
      <c r="AT889" t="s">
        <v>16909</v>
      </c>
      <c r="AU889">
        <v>2018</v>
      </c>
      <c r="AV889">
        <v>558</v>
      </c>
      <c r="AW889">
        <v>7709</v>
      </c>
      <c r="AX889" t="s">
        <v>74</v>
      </c>
      <c r="AY889" t="s">
        <v>74</v>
      </c>
      <c r="AZ889" t="s">
        <v>74</v>
      </c>
      <c r="BA889" t="s">
        <v>74</v>
      </c>
      <c r="BB889">
        <v>209</v>
      </c>
      <c r="BC889">
        <v>218</v>
      </c>
      <c r="BD889" t="s">
        <v>74</v>
      </c>
      <c r="BE889" t="s">
        <v>16927</v>
      </c>
      <c r="BF889" t="str">
        <f>HYPERLINK("http://dx.doi.org/10.1038/s41586-018-0182-3","http://dx.doi.org/10.1038/s41586-018-0182-3")</f>
        <v>http://dx.doi.org/10.1038/s41586-018-0182-3</v>
      </c>
      <c r="BG889" t="s">
        <v>74</v>
      </c>
      <c r="BH889" t="s">
        <v>74</v>
      </c>
      <c r="BI889">
        <v>10</v>
      </c>
      <c r="BJ889" t="s">
        <v>436</v>
      </c>
      <c r="BK889" t="s">
        <v>101</v>
      </c>
      <c r="BL889" t="s">
        <v>437</v>
      </c>
      <c r="BM889" t="s">
        <v>16911</v>
      </c>
      <c r="BN889">
        <v>29899474</v>
      </c>
      <c r="BO889" t="s">
        <v>74</v>
      </c>
      <c r="BP889" t="s">
        <v>1167</v>
      </c>
      <c r="BQ889" t="s">
        <v>1168</v>
      </c>
      <c r="BR889" t="s">
        <v>104</v>
      </c>
      <c r="BS889" t="s">
        <v>16928</v>
      </c>
      <c r="BT889" t="str">
        <f>HYPERLINK("https%3A%2F%2Fwww.webofscience.com%2Fwos%2Fwoscc%2Ffull-record%2FWOS:000435071400040","View Full Record in Web of Science")</f>
        <v>View Full Record in Web of Science</v>
      </c>
    </row>
    <row r="890" spans="1:72" x14ac:dyDescent="0.15">
      <c r="A890" t="s">
        <v>72</v>
      </c>
      <c r="B890" t="s">
        <v>16929</v>
      </c>
      <c r="C890" t="s">
        <v>74</v>
      </c>
      <c r="D890" t="s">
        <v>74</v>
      </c>
      <c r="E890" t="s">
        <v>74</v>
      </c>
      <c r="F890" t="s">
        <v>16930</v>
      </c>
      <c r="G890" t="s">
        <v>74</v>
      </c>
      <c r="H890" t="s">
        <v>74</v>
      </c>
      <c r="I890" t="s">
        <v>16931</v>
      </c>
      <c r="J890" t="s">
        <v>3543</v>
      </c>
      <c r="K890" t="s">
        <v>74</v>
      </c>
      <c r="L890" t="s">
        <v>74</v>
      </c>
      <c r="M890" t="s">
        <v>78</v>
      </c>
      <c r="N890" t="s">
        <v>273</v>
      </c>
      <c r="O890" t="s">
        <v>74</v>
      </c>
      <c r="P890" t="s">
        <v>74</v>
      </c>
      <c r="Q890" t="s">
        <v>74</v>
      </c>
      <c r="R890" t="s">
        <v>74</v>
      </c>
      <c r="S890" t="s">
        <v>74</v>
      </c>
      <c r="T890" t="s">
        <v>74</v>
      </c>
      <c r="U890" t="s">
        <v>16932</v>
      </c>
      <c r="V890" t="s">
        <v>16933</v>
      </c>
      <c r="W890" t="s">
        <v>16934</v>
      </c>
      <c r="X890" t="s">
        <v>16935</v>
      </c>
      <c r="Y890" t="s">
        <v>16936</v>
      </c>
      <c r="Z890" t="s">
        <v>16937</v>
      </c>
      <c r="AA890" t="s">
        <v>16938</v>
      </c>
      <c r="AB890" t="s">
        <v>16939</v>
      </c>
      <c r="AC890" t="s">
        <v>16940</v>
      </c>
      <c r="AD890" t="s">
        <v>16941</v>
      </c>
      <c r="AE890" t="s">
        <v>16942</v>
      </c>
      <c r="AF890" t="s">
        <v>74</v>
      </c>
      <c r="AG890">
        <v>149</v>
      </c>
      <c r="AH890">
        <v>97</v>
      </c>
      <c r="AI890">
        <v>109</v>
      </c>
      <c r="AJ890">
        <v>11</v>
      </c>
      <c r="AK890">
        <v>96</v>
      </c>
      <c r="AL890" t="s">
        <v>1159</v>
      </c>
      <c r="AM890" t="s">
        <v>704</v>
      </c>
      <c r="AN890" t="s">
        <v>2728</v>
      </c>
      <c r="AO890" t="s">
        <v>3556</v>
      </c>
      <c r="AP890" t="s">
        <v>3557</v>
      </c>
      <c r="AQ890" t="s">
        <v>74</v>
      </c>
      <c r="AR890" t="s">
        <v>3543</v>
      </c>
      <c r="AS890" t="s">
        <v>3558</v>
      </c>
      <c r="AT890" t="s">
        <v>16909</v>
      </c>
      <c r="AU890">
        <v>2018</v>
      </c>
      <c r="AV890">
        <v>558</v>
      </c>
      <c r="AW890">
        <v>7709</v>
      </c>
      <c r="AX890" t="s">
        <v>74</v>
      </c>
      <c r="AY890" t="s">
        <v>74</v>
      </c>
      <c r="AZ890" t="s">
        <v>74</v>
      </c>
      <c r="BA890" t="s">
        <v>74</v>
      </c>
      <c r="BB890">
        <v>223</v>
      </c>
      <c r="BC890">
        <v>232</v>
      </c>
      <c r="BD890" t="s">
        <v>74</v>
      </c>
      <c r="BE890" t="s">
        <v>16943</v>
      </c>
      <c r="BF890" t="str">
        <f>HYPERLINK("http://dx.doi.org/10.1038/s41586-018-0171-6","http://dx.doi.org/10.1038/s41586-018-0171-6")</f>
        <v>http://dx.doi.org/10.1038/s41586-018-0171-6</v>
      </c>
      <c r="BG890" t="s">
        <v>74</v>
      </c>
      <c r="BH890" t="s">
        <v>74</v>
      </c>
      <c r="BI890">
        <v>10</v>
      </c>
      <c r="BJ890" t="s">
        <v>436</v>
      </c>
      <c r="BK890" t="s">
        <v>101</v>
      </c>
      <c r="BL890" t="s">
        <v>437</v>
      </c>
      <c r="BM890" t="s">
        <v>16911</v>
      </c>
      <c r="BN890">
        <v>29899480</v>
      </c>
      <c r="BO890" t="s">
        <v>211</v>
      </c>
      <c r="BP890" t="s">
        <v>74</v>
      </c>
      <c r="BQ890" t="s">
        <v>74</v>
      </c>
      <c r="BR890" t="s">
        <v>104</v>
      </c>
      <c r="BS890" t="s">
        <v>16944</v>
      </c>
      <c r="BT890" t="str">
        <f>HYPERLINK("https%3A%2F%2Fwww.webofscience.com%2Fwos%2Fwoscc%2Ffull-record%2FWOS:000435071400042","View Full Record in Web of Science")</f>
        <v>View Full Record in Web of Science</v>
      </c>
    </row>
    <row r="891" spans="1:72" x14ac:dyDescent="0.15">
      <c r="A891" t="s">
        <v>72</v>
      </c>
      <c r="B891" t="s">
        <v>16945</v>
      </c>
      <c r="C891" t="s">
        <v>74</v>
      </c>
      <c r="D891" t="s">
        <v>74</v>
      </c>
      <c r="E891" t="s">
        <v>74</v>
      </c>
      <c r="F891" t="s">
        <v>16946</v>
      </c>
      <c r="G891" t="s">
        <v>74</v>
      </c>
      <c r="H891" t="s">
        <v>74</v>
      </c>
      <c r="I891" t="s">
        <v>16947</v>
      </c>
      <c r="J891" t="s">
        <v>3543</v>
      </c>
      <c r="K891" t="s">
        <v>74</v>
      </c>
      <c r="L891" t="s">
        <v>74</v>
      </c>
      <c r="M891" t="s">
        <v>78</v>
      </c>
      <c r="N891" t="s">
        <v>79</v>
      </c>
      <c r="O891" t="s">
        <v>74</v>
      </c>
      <c r="P891" t="s">
        <v>74</v>
      </c>
      <c r="Q891" t="s">
        <v>74</v>
      </c>
      <c r="R891" t="s">
        <v>74</v>
      </c>
      <c r="S891" t="s">
        <v>74</v>
      </c>
      <c r="T891" t="s">
        <v>74</v>
      </c>
      <c r="U891" t="s">
        <v>16948</v>
      </c>
      <c r="V891" t="s">
        <v>16949</v>
      </c>
      <c r="W891" t="s">
        <v>16950</v>
      </c>
      <c r="X891" t="s">
        <v>16951</v>
      </c>
      <c r="Y891" t="s">
        <v>16952</v>
      </c>
      <c r="Z891" t="s">
        <v>16953</v>
      </c>
      <c r="AA891" t="s">
        <v>16954</v>
      </c>
      <c r="AB891" t="s">
        <v>16955</v>
      </c>
      <c r="AC891" t="s">
        <v>16956</v>
      </c>
      <c r="AD891" t="s">
        <v>16957</v>
      </c>
      <c r="AE891" t="s">
        <v>16958</v>
      </c>
      <c r="AF891" t="s">
        <v>74</v>
      </c>
      <c r="AG891">
        <v>56</v>
      </c>
      <c r="AH891">
        <v>20</v>
      </c>
      <c r="AI891">
        <v>23</v>
      </c>
      <c r="AJ891">
        <v>4</v>
      </c>
      <c r="AK891">
        <v>50</v>
      </c>
      <c r="AL891" t="s">
        <v>1159</v>
      </c>
      <c r="AM891" t="s">
        <v>704</v>
      </c>
      <c r="AN891" t="s">
        <v>2728</v>
      </c>
      <c r="AO891" t="s">
        <v>3556</v>
      </c>
      <c r="AP891" t="s">
        <v>3557</v>
      </c>
      <c r="AQ891" t="s">
        <v>74</v>
      </c>
      <c r="AR891" t="s">
        <v>3543</v>
      </c>
      <c r="AS891" t="s">
        <v>3558</v>
      </c>
      <c r="AT891" t="s">
        <v>16909</v>
      </c>
      <c r="AU891">
        <v>2018</v>
      </c>
      <c r="AV891">
        <v>558</v>
      </c>
      <c r="AW891">
        <v>7709</v>
      </c>
      <c r="AX891" t="s">
        <v>74</v>
      </c>
      <c r="AY891" t="s">
        <v>74</v>
      </c>
      <c r="AZ891" t="s">
        <v>74</v>
      </c>
      <c r="BA891" t="s">
        <v>74</v>
      </c>
      <c r="BB891">
        <v>284</v>
      </c>
      <c r="BC891" t="s">
        <v>1137</v>
      </c>
      <c r="BD891" t="s">
        <v>74</v>
      </c>
      <c r="BE891" t="s">
        <v>16959</v>
      </c>
      <c r="BF891" t="str">
        <f>HYPERLINK("http://dx.doi.org/10.1038/s41586-018-0155-6","http://dx.doi.org/10.1038/s41586-018-0155-6")</f>
        <v>http://dx.doi.org/10.1038/s41586-018-0155-6</v>
      </c>
      <c r="BG891" t="s">
        <v>74</v>
      </c>
      <c r="BH891" t="s">
        <v>74</v>
      </c>
      <c r="BI891">
        <v>16</v>
      </c>
      <c r="BJ891" t="s">
        <v>436</v>
      </c>
      <c r="BK891" t="s">
        <v>101</v>
      </c>
      <c r="BL891" t="s">
        <v>437</v>
      </c>
      <c r="BM891" t="s">
        <v>16911</v>
      </c>
      <c r="BN891">
        <v>29899483</v>
      </c>
      <c r="BO891" t="s">
        <v>1142</v>
      </c>
      <c r="BP891" t="s">
        <v>74</v>
      </c>
      <c r="BQ891" t="s">
        <v>74</v>
      </c>
      <c r="BR891" t="s">
        <v>104</v>
      </c>
      <c r="BS891" t="s">
        <v>16960</v>
      </c>
      <c r="BT891" t="str">
        <f>HYPERLINK("https%3A%2F%2Fwww.webofscience.com%2Fwos%2Fwoscc%2Ffull-record%2FWOS:000435071400052","View Full Record in Web of Science")</f>
        <v>View Full Record in Web of Science</v>
      </c>
    </row>
    <row r="892" spans="1:72" x14ac:dyDescent="0.15">
      <c r="A892" t="s">
        <v>72</v>
      </c>
      <c r="B892" t="s">
        <v>16961</v>
      </c>
      <c r="C892" t="s">
        <v>74</v>
      </c>
      <c r="D892" t="s">
        <v>74</v>
      </c>
      <c r="E892" t="s">
        <v>74</v>
      </c>
      <c r="F892" t="s">
        <v>16962</v>
      </c>
      <c r="G892" t="s">
        <v>74</v>
      </c>
      <c r="H892" t="s">
        <v>74</v>
      </c>
      <c r="I892" t="s">
        <v>16963</v>
      </c>
      <c r="J892" t="s">
        <v>4109</v>
      </c>
      <c r="K892" t="s">
        <v>74</v>
      </c>
      <c r="L892" t="s">
        <v>74</v>
      </c>
      <c r="M892" t="s">
        <v>78</v>
      </c>
      <c r="N892" t="s">
        <v>79</v>
      </c>
      <c r="O892" t="s">
        <v>74</v>
      </c>
      <c r="P892" t="s">
        <v>74</v>
      </c>
      <c r="Q892" t="s">
        <v>74</v>
      </c>
      <c r="R892" t="s">
        <v>74</v>
      </c>
      <c r="S892" t="s">
        <v>74</v>
      </c>
      <c r="T892" t="s">
        <v>74</v>
      </c>
      <c r="U892" t="s">
        <v>16964</v>
      </c>
      <c r="V892" t="s">
        <v>16965</v>
      </c>
      <c r="W892" t="s">
        <v>16966</v>
      </c>
      <c r="X892" t="s">
        <v>16967</v>
      </c>
      <c r="Y892" t="s">
        <v>16968</v>
      </c>
      <c r="Z892" t="s">
        <v>16969</v>
      </c>
      <c r="AA892" t="s">
        <v>16970</v>
      </c>
      <c r="AB892" t="s">
        <v>16971</v>
      </c>
      <c r="AC892" t="s">
        <v>16972</v>
      </c>
      <c r="AD892" t="s">
        <v>16973</v>
      </c>
      <c r="AE892" t="s">
        <v>16974</v>
      </c>
      <c r="AF892" t="s">
        <v>74</v>
      </c>
      <c r="AG892">
        <v>43</v>
      </c>
      <c r="AH892">
        <v>4</v>
      </c>
      <c r="AI892">
        <v>4</v>
      </c>
      <c r="AJ892">
        <v>1</v>
      </c>
      <c r="AK892">
        <v>10</v>
      </c>
      <c r="AL892" t="s">
        <v>1130</v>
      </c>
      <c r="AM892" t="s">
        <v>1131</v>
      </c>
      <c r="AN892" t="s">
        <v>1132</v>
      </c>
      <c r="AO892" t="s">
        <v>4121</v>
      </c>
      <c r="AP892" t="s">
        <v>74</v>
      </c>
      <c r="AQ892" t="s">
        <v>74</v>
      </c>
      <c r="AR892" t="s">
        <v>4122</v>
      </c>
      <c r="AS892" t="s">
        <v>4123</v>
      </c>
      <c r="AT892" t="s">
        <v>16909</v>
      </c>
      <c r="AU892">
        <v>2018</v>
      </c>
      <c r="AV892">
        <v>8</v>
      </c>
      <c r="AW892" t="s">
        <v>74</v>
      </c>
      <c r="AX892" t="s">
        <v>74</v>
      </c>
      <c r="AY892" t="s">
        <v>74</v>
      </c>
      <c r="AZ892" t="s">
        <v>74</v>
      </c>
      <c r="BA892" t="s">
        <v>74</v>
      </c>
      <c r="BB892" t="s">
        <v>74</v>
      </c>
      <c r="BC892" t="s">
        <v>74</v>
      </c>
      <c r="BD892">
        <v>9154</v>
      </c>
      <c r="BE892" t="s">
        <v>16975</v>
      </c>
      <c r="BF892" t="str">
        <f>HYPERLINK("http://dx.doi.org/10.1038/s41598-018-27375-4","http://dx.doi.org/10.1038/s41598-018-27375-4")</f>
        <v>http://dx.doi.org/10.1038/s41598-018-27375-4</v>
      </c>
      <c r="BG892" t="s">
        <v>74</v>
      </c>
      <c r="BH892" t="s">
        <v>74</v>
      </c>
      <c r="BI892">
        <v>7</v>
      </c>
      <c r="BJ892" t="s">
        <v>436</v>
      </c>
      <c r="BK892" t="s">
        <v>101</v>
      </c>
      <c r="BL892" t="s">
        <v>437</v>
      </c>
      <c r="BM892" t="s">
        <v>16976</v>
      </c>
      <c r="BN892">
        <v>29904115</v>
      </c>
      <c r="BO892" t="s">
        <v>439</v>
      </c>
      <c r="BP892" t="s">
        <v>74</v>
      </c>
      <c r="BQ892" t="s">
        <v>74</v>
      </c>
      <c r="BR892" t="s">
        <v>104</v>
      </c>
      <c r="BS892" t="s">
        <v>16977</v>
      </c>
      <c r="BT892" t="str">
        <f>HYPERLINK("https%3A%2F%2Fwww.webofscience.com%2Fwos%2Fwoscc%2Ffull-record%2FWOS:000435338100069","View Full Record in Web of Science")</f>
        <v>View Full Record in Web of Science</v>
      </c>
    </row>
    <row r="893" spans="1:72" x14ac:dyDescent="0.15">
      <c r="A893" t="s">
        <v>72</v>
      </c>
      <c r="B893" t="s">
        <v>9690</v>
      </c>
      <c r="C893" t="s">
        <v>74</v>
      </c>
      <c r="D893" t="s">
        <v>74</v>
      </c>
      <c r="E893" t="s">
        <v>74</v>
      </c>
      <c r="F893" t="s">
        <v>9690</v>
      </c>
      <c r="G893" t="s">
        <v>74</v>
      </c>
      <c r="H893" t="s">
        <v>74</v>
      </c>
      <c r="I893" t="s">
        <v>16978</v>
      </c>
      <c r="J893" t="s">
        <v>3543</v>
      </c>
      <c r="K893" t="s">
        <v>74</v>
      </c>
      <c r="L893" t="s">
        <v>74</v>
      </c>
      <c r="M893" t="s">
        <v>78</v>
      </c>
      <c r="N893" t="s">
        <v>2499</v>
      </c>
      <c r="O893" t="s">
        <v>74</v>
      </c>
      <c r="P893" t="s">
        <v>74</v>
      </c>
      <c r="Q893" t="s">
        <v>74</v>
      </c>
      <c r="R893" t="s">
        <v>74</v>
      </c>
      <c r="S893" t="s">
        <v>74</v>
      </c>
      <c r="T893" t="s">
        <v>74</v>
      </c>
      <c r="U893" t="s">
        <v>74</v>
      </c>
      <c r="V893" t="s">
        <v>74</v>
      </c>
      <c r="W893" t="s">
        <v>74</v>
      </c>
      <c r="X893" t="s">
        <v>74</v>
      </c>
      <c r="Y893" t="s">
        <v>74</v>
      </c>
      <c r="Z893" t="s">
        <v>74</v>
      </c>
      <c r="AA893" t="s">
        <v>74</v>
      </c>
      <c r="AB893" t="s">
        <v>74</v>
      </c>
      <c r="AC893" t="s">
        <v>74</v>
      </c>
      <c r="AD893" t="s">
        <v>74</v>
      </c>
      <c r="AE893" t="s">
        <v>74</v>
      </c>
      <c r="AF893" t="s">
        <v>74</v>
      </c>
      <c r="AG893">
        <v>0</v>
      </c>
      <c r="AH893">
        <v>7</v>
      </c>
      <c r="AI893">
        <v>7</v>
      </c>
      <c r="AJ893">
        <v>0</v>
      </c>
      <c r="AK893">
        <v>6</v>
      </c>
      <c r="AL893" t="s">
        <v>1159</v>
      </c>
      <c r="AM893" t="s">
        <v>704</v>
      </c>
      <c r="AN893" t="s">
        <v>2728</v>
      </c>
      <c r="AO893" t="s">
        <v>3556</v>
      </c>
      <c r="AP893" t="s">
        <v>3557</v>
      </c>
      <c r="AQ893" t="s">
        <v>74</v>
      </c>
      <c r="AR893" t="s">
        <v>3543</v>
      </c>
      <c r="AS893" t="s">
        <v>3558</v>
      </c>
      <c r="AT893" t="s">
        <v>16909</v>
      </c>
      <c r="AU893">
        <v>2018</v>
      </c>
      <c r="AV893">
        <v>558</v>
      </c>
      <c r="AW893">
        <v>7709</v>
      </c>
      <c r="AX893" t="s">
        <v>74</v>
      </c>
      <c r="AY893" t="s">
        <v>74</v>
      </c>
      <c r="AZ893" t="s">
        <v>74</v>
      </c>
      <c r="BA893" t="s">
        <v>74</v>
      </c>
      <c r="BB893">
        <v>161</v>
      </c>
      <c r="BC893">
        <v>161</v>
      </c>
      <c r="BD893" t="s">
        <v>74</v>
      </c>
      <c r="BE893" t="s">
        <v>16979</v>
      </c>
      <c r="BF893" t="str">
        <f>HYPERLINK("http://dx.doi.org/10.1038/d41586-018-05368-7","http://dx.doi.org/10.1038/d41586-018-05368-7")</f>
        <v>http://dx.doi.org/10.1038/d41586-018-05368-7</v>
      </c>
      <c r="BG893" t="s">
        <v>74</v>
      </c>
      <c r="BH893" t="s">
        <v>74</v>
      </c>
      <c r="BI893">
        <v>1</v>
      </c>
      <c r="BJ893" t="s">
        <v>436</v>
      </c>
      <c r="BK893" t="s">
        <v>1140</v>
      </c>
      <c r="BL893" t="s">
        <v>437</v>
      </c>
      <c r="BM893" t="s">
        <v>16911</v>
      </c>
      <c r="BN893">
        <v>29899494</v>
      </c>
      <c r="BO893" t="s">
        <v>712</v>
      </c>
      <c r="BP893" t="s">
        <v>74</v>
      </c>
      <c r="BQ893" t="s">
        <v>74</v>
      </c>
      <c r="BR893" t="s">
        <v>104</v>
      </c>
      <c r="BS893" t="s">
        <v>16980</v>
      </c>
      <c r="BT893" t="str">
        <f>HYPERLINK("https%3A%2F%2Fwww.webofscience.com%2Fwos%2Fwoscc%2Ffull-record%2FWOS:000435071400011","View Full Record in Web of Science")</f>
        <v>View Full Record in Web of Science</v>
      </c>
    </row>
    <row r="894" spans="1:72" x14ac:dyDescent="0.15">
      <c r="A894" t="s">
        <v>72</v>
      </c>
      <c r="B894" t="s">
        <v>16981</v>
      </c>
      <c r="C894" t="s">
        <v>74</v>
      </c>
      <c r="D894" t="s">
        <v>74</v>
      </c>
      <c r="E894" t="s">
        <v>74</v>
      </c>
      <c r="F894" t="s">
        <v>16982</v>
      </c>
      <c r="G894" t="s">
        <v>74</v>
      </c>
      <c r="H894" t="s">
        <v>74</v>
      </c>
      <c r="I894" t="s">
        <v>16983</v>
      </c>
      <c r="J894" t="s">
        <v>3543</v>
      </c>
      <c r="K894" t="s">
        <v>74</v>
      </c>
      <c r="L894" t="s">
        <v>74</v>
      </c>
      <c r="M894" t="s">
        <v>78</v>
      </c>
      <c r="N894" t="s">
        <v>2499</v>
      </c>
      <c r="O894" t="s">
        <v>74</v>
      </c>
      <c r="P894" t="s">
        <v>74</v>
      </c>
      <c r="Q894" t="s">
        <v>74</v>
      </c>
      <c r="R894" t="s">
        <v>74</v>
      </c>
      <c r="S894" t="s">
        <v>74</v>
      </c>
      <c r="T894" t="s">
        <v>74</v>
      </c>
      <c r="U894" t="s">
        <v>16984</v>
      </c>
      <c r="V894" t="s">
        <v>74</v>
      </c>
      <c r="W894" t="s">
        <v>16985</v>
      </c>
      <c r="X894" t="s">
        <v>16986</v>
      </c>
      <c r="Y894" t="s">
        <v>16987</v>
      </c>
      <c r="Z894" t="s">
        <v>16988</v>
      </c>
      <c r="AA894" t="s">
        <v>16989</v>
      </c>
      <c r="AB894" t="s">
        <v>16990</v>
      </c>
      <c r="AC894" t="s">
        <v>74</v>
      </c>
      <c r="AD894" t="s">
        <v>74</v>
      </c>
      <c r="AE894" t="s">
        <v>74</v>
      </c>
      <c r="AF894" t="s">
        <v>74</v>
      </c>
      <c r="AG894">
        <v>13</v>
      </c>
      <c r="AH894">
        <v>29</v>
      </c>
      <c r="AI894">
        <v>29</v>
      </c>
      <c r="AJ894">
        <v>0</v>
      </c>
      <c r="AK894">
        <v>12</v>
      </c>
      <c r="AL894" t="s">
        <v>1159</v>
      </c>
      <c r="AM894" t="s">
        <v>704</v>
      </c>
      <c r="AN894" t="s">
        <v>2728</v>
      </c>
      <c r="AO894" t="s">
        <v>3556</v>
      </c>
      <c r="AP894" t="s">
        <v>3557</v>
      </c>
      <c r="AQ894" t="s">
        <v>74</v>
      </c>
      <c r="AR894" t="s">
        <v>3543</v>
      </c>
      <c r="AS894" t="s">
        <v>3558</v>
      </c>
      <c r="AT894" t="s">
        <v>16909</v>
      </c>
      <c r="AU894">
        <v>2018</v>
      </c>
      <c r="AV894">
        <v>558</v>
      </c>
      <c r="AW894">
        <v>7709</v>
      </c>
      <c r="AX894" t="s">
        <v>74</v>
      </c>
      <c r="AY894" t="s">
        <v>74</v>
      </c>
      <c r="AZ894" t="s">
        <v>74</v>
      </c>
      <c r="BA894" t="s">
        <v>74</v>
      </c>
      <c r="BB894">
        <v>177</v>
      </c>
      <c r="BC894">
        <v>180</v>
      </c>
      <c r="BD894" t="s">
        <v>74</v>
      </c>
      <c r="BE894" t="s">
        <v>16991</v>
      </c>
      <c r="BF894" t="str">
        <f>HYPERLINK("http://dx.doi.org/10.1038/d41586-018-05372-x","http://dx.doi.org/10.1038/d41586-018-05372-x")</f>
        <v>http://dx.doi.org/10.1038/d41586-018-05372-x</v>
      </c>
      <c r="BG894" t="s">
        <v>74</v>
      </c>
      <c r="BH894" t="s">
        <v>74</v>
      </c>
      <c r="BI894">
        <v>4</v>
      </c>
      <c r="BJ894" t="s">
        <v>436</v>
      </c>
      <c r="BK894" t="s">
        <v>1140</v>
      </c>
      <c r="BL894" t="s">
        <v>437</v>
      </c>
      <c r="BM894" t="s">
        <v>16911</v>
      </c>
      <c r="BN894">
        <v>29899493</v>
      </c>
      <c r="BO894" t="s">
        <v>712</v>
      </c>
      <c r="BP894" t="s">
        <v>74</v>
      </c>
      <c r="BQ894" t="s">
        <v>74</v>
      </c>
      <c r="BR894" t="s">
        <v>104</v>
      </c>
      <c r="BS894" t="s">
        <v>16992</v>
      </c>
      <c r="BT894" t="str">
        <f>HYPERLINK("https%3A%2F%2Fwww.webofscience.com%2Fwos%2Fwoscc%2Ffull-record%2FWOS:000435071400021","View Full Record in Web of Science")</f>
        <v>View Full Record in Web of Science</v>
      </c>
    </row>
    <row r="895" spans="1:72" x14ac:dyDescent="0.15">
      <c r="A895" t="s">
        <v>72</v>
      </c>
      <c r="B895" t="s">
        <v>16993</v>
      </c>
      <c r="C895" t="s">
        <v>74</v>
      </c>
      <c r="D895" t="s">
        <v>74</v>
      </c>
      <c r="E895" t="s">
        <v>74</v>
      </c>
      <c r="F895" t="s">
        <v>16994</v>
      </c>
      <c r="G895" t="s">
        <v>74</v>
      </c>
      <c r="H895" t="s">
        <v>16995</v>
      </c>
      <c r="I895" t="s">
        <v>16996</v>
      </c>
      <c r="J895" t="s">
        <v>3543</v>
      </c>
      <c r="K895" t="s">
        <v>74</v>
      </c>
      <c r="L895" t="s">
        <v>74</v>
      </c>
      <c r="M895" t="s">
        <v>78</v>
      </c>
      <c r="N895" t="s">
        <v>79</v>
      </c>
      <c r="O895" t="s">
        <v>74</v>
      </c>
      <c r="P895" t="s">
        <v>74</v>
      </c>
      <c r="Q895" t="s">
        <v>74</v>
      </c>
      <c r="R895" t="s">
        <v>74</v>
      </c>
      <c r="S895" t="s">
        <v>74</v>
      </c>
      <c r="T895" t="s">
        <v>74</v>
      </c>
      <c r="U895" t="s">
        <v>16997</v>
      </c>
      <c r="V895" t="s">
        <v>16998</v>
      </c>
      <c r="W895" t="s">
        <v>16999</v>
      </c>
      <c r="X895" t="s">
        <v>17000</v>
      </c>
      <c r="Y895" t="s">
        <v>16936</v>
      </c>
      <c r="Z895" t="s">
        <v>16937</v>
      </c>
      <c r="AA895" t="s">
        <v>17001</v>
      </c>
      <c r="AB895" t="s">
        <v>17002</v>
      </c>
      <c r="AC895" t="s">
        <v>17003</v>
      </c>
      <c r="AD895" t="s">
        <v>17004</v>
      </c>
      <c r="AE895" t="s">
        <v>17005</v>
      </c>
      <c r="AF895" t="s">
        <v>74</v>
      </c>
      <c r="AG895">
        <v>88</v>
      </c>
      <c r="AH895">
        <v>667</v>
      </c>
      <c r="AI895">
        <v>724</v>
      </c>
      <c r="AJ895">
        <v>17</v>
      </c>
      <c r="AK895">
        <v>439</v>
      </c>
      <c r="AL895" t="s">
        <v>1159</v>
      </c>
      <c r="AM895" t="s">
        <v>704</v>
      </c>
      <c r="AN895" t="s">
        <v>2728</v>
      </c>
      <c r="AO895" t="s">
        <v>3556</v>
      </c>
      <c r="AP895" t="s">
        <v>3557</v>
      </c>
      <c r="AQ895" t="s">
        <v>74</v>
      </c>
      <c r="AR895" t="s">
        <v>3543</v>
      </c>
      <c r="AS895" t="s">
        <v>3558</v>
      </c>
      <c r="AT895" t="s">
        <v>16909</v>
      </c>
      <c r="AU895">
        <v>2018</v>
      </c>
      <c r="AV895">
        <v>558</v>
      </c>
      <c r="AW895">
        <v>7709</v>
      </c>
      <c r="AX895" t="s">
        <v>74</v>
      </c>
      <c r="AY895" t="s">
        <v>74</v>
      </c>
      <c r="AZ895" t="s">
        <v>74</v>
      </c>
      <c r="BA895" t="s">
        <v>74</v>
      </c>
      <c r="BB895">
        <v>219</v>
      </c>
      <c r="BC895" t="s">
        <v>1137</v>
      </c>
      <c r="BD895" t="s">
        <v>74</v>
      </c>
      <c r="BE895" t="s">
        <v>17006</v>
      </c>
      <c r="BF895" t="str">
        <f>HYPERLINK("http://dx.doi.org/10.1038/s41586-018-0179-y","http://dx.doi.org/10.1038/s41586-018-0179-y")</f>
        <v>http://dx.doi.org/10.1038/s41586-018-0179-y</v>
      </c>
      <c r="BG895" t="s">
        <v>74</v>
      </c>
      <c r="BH895" t="s">
        <v>74</v>
      </c>
      <c r="BI895">
        <v>17</v>
      </c>
      <c r="BJ895" t="s">
        <v>436</v>
      </c>
      <c r="BK895" t="s">
        <v>101</v>
      </c>
      <c r="BL895" t="s">
        <v>437</v>
      </c>
      <c r="BM895" t="s">
        <v>16911</v>
      </c>
      <c r="BN895">
        <v>29899482</v>
      </c>
      <c r="BO895" t="s">
        <v>17007</v>
      </c>
      <c r="BP895" t="s">
        <v>1167</v>
      </c>
      <c r="BQ895" t="s">
        <v>1168</v>
      </c>
      <c r="BR895" t="s">
        <v>104</v>
      </c>
      <c r="BS895" t="s">
        <v>17008</v>
      </c>
      <c r="BT895" t="str">
        <f>HYPERLINK("https%3A%2F%2Fwww.webofscience.com%2Fwos%2Fwoscc%2Ffull-record%2FWOS:000435071400041","View Full Record in Web of Science")</f>
        <v>View Full Record in Web of Science</v>
      </c>
    </row>
    <row r="896" spans="1:72" x14ac:dyDescent="0.15">
      <c r="A896" t="s">
        <v>72</v>
      </c>
      <c r="B896" t="s">
        <v>17009</v>
      </c>
      <c r="C896" t="s">
        <v>74</v>
      </c>
      <c r="D896" t="s">
        <v>74</v>
      </c>
      <c r="E896" t="s">
        <v>74</v>
      </c>
      <c r="F896" t="s">
        <v>17010</v>
      </c>
      <c r="G896" t="s">
        <v>74</v>
      </c>
      <c r="H896" t="s">
        <v>74</v>
      </c>
      <c r="I896" t="s">
        <v>17011</v>
      </c>
      <c r="J896" t="s">
        <v>3543</v>
      </c>
      <c r="K896" t="s">
        <v>74</v>
      </c>
      <c r="L896" t="s">
        <v>74</v>
      </c>
      <c r="M896" t="s">
        <v>78</v>
      </c>
      <c r="N896" t="s">
        <v>79</v>
      </c>
      <c r="O896" t="s">
        <v>74</v>
      </c>
      <c r="P896" t="s">
        <v>74</v>
      </c>
      <c r="Q896" t="s">
        <v>74</v>
      </c>
      <c r="R896" t="s">
        <v>74</v>
      </c>
      <c r="S896" t="s">
        <v>74</v>
      </c>
      <c r="T896" t="s">
        <v>74</v>
      </c>
      <c r="U896" t="s">
        <v>17012</v>
      </c>
      <c r="V896" t="s">
        <v>17013</v>
      </c>
      <c r="W896" t="s">
        <v>17014</v>
      </c>
      <c r="X896" t="s">
        <v>17015</v>
      </c>
      <c r="Y896" t="s">
        <v>17016</v>
      </c>
      <c r="Z896" t="s">
        <v>17017</v>
      </c>
      <c r="AA896" t="s">
        <v>17018</v>
      </c>
      <c r="AB896" t="s">
        <v>17019</v>
      </c>
      <c r="AC896" t="s">
        <v>17020</v>
      </c>
      <c r="AD896" t="s">
        <v>17021</v>
      </c>
      <c r="AE896" t="s">
        <v>17022</v>
      </c>
      <c r="AF896" t="s">
        <v>74</v>
      </c>
      <c r="AG896">
        <v>112</v>
      </c>
      <c r="AH896">
        <v>136</v>
      </c>
      <c r="AI896">
        <v>142</v>
      </c>
      <c r="AJ896">
        <v>9</v>
      </c>
      <c r="AK896">
        <v>178</v>
      </c>
      <c r="AL896" t="s">
        <v>1130</v>
      </c>
      <c r="AM896" t="s">
        <v>1131</v>
      </c>
      <c r="AN896" t="s">
        <v>1132</v>
      </c>
      <c r="AO896" t="s">
        <v>3556</v>
      </c>
      <c r="AP896" t="s">
        <v>3557</v>
      </c>
      <c r="AQ896" t="s">
        <v>74</v>
      </c>
      <c r="AR896" t="s">
        <v>3543</v>
      </c>
      <c r="AS896" t="s">
        <v>3558</v>
      </c>
      <c r="AT896" t="s">
        <v>16909</v>
      </c>
      <c r="AU896">
        <v>2018</v>
      </c>
      <c r="AV896">
        <v>558</v>
      </c>
      <c r="AW896">
        <v>7709</v>
      </c>
      <c r="AX896" t="s">
        <v>74</v>
      </c>
      <c r="AY896" t="s">
        <v>74</v>
      </c>
      <c r="AZ896" t="s">
        <v>74</v>
      </c>
      <c r="BA896" t="s">
        <v>74</v>
      </c>
      <c r="BB896">
        <v>233</v>
      </c>
      <c r="BC896">
        <v>241</v>
      </c>
      <c r="BD896" t="s">
        <v>74</v>
      </c>
      <c r="BE896" t="s">
        <v>17023</v>
      </c>
      <c r="BF896" t="str">
        <f>HYPERLINK("http://dx.doi.org/10.1038/s41586-018-0173-4","http://dx.doi.org/10.1038/s41586-018-0173-4")</f>
        <v>http://dx.doi.org/10.1038/s41586-018-0173-4</v>
      </c>
      <c r="BG896" t="s">
        <v>74</v>
      </c>
      <c r="BH896" t="s">
        <v>74</v>
      </c>
      <c r="BI896">
        <v>9</v>
      </c>
      <c r="BJ896" t="s">
        <v>436</v>
      </c>
      <c r="BK896" t="s">
        <v>101</v>
      </c>
      <c r="BL896" t="s">
        <v>437</v>
      </c>
      <c r="BM896" t="s">
        <v>16911</v>
      </c>
      <c r="BN896">
        <v>29899481</v>
      </c>
      <c r="BO896" t="s">
        <v>74</v>
      </c>
      <c r="BP896" t="s">
        <v>74</v>
      </c>
      <c r="BQ896" t="s">
        <v>74</v>
      </c>
      <c r="BR896" t="s">
        <v>104</v>
      </c>
      <c r="BS896" t="s">
        <v>17024</v>
      </c>
      <c r="BT896" t="str">
        <f>HYPERLINK("https%3A%2F%2Fwww.webofscience.com%2Fwos%2Fwoscc%2Ffull-record%2FWOS:000435071400043","View Full Record in Web of Science")</f>
        <v>View Full Record in Web of Science</v>
      </c>
    </row>
    <row r="897" spans="1:72" x14ac:dyDescent="0.15">
      <c r="A897" t="s">
        <v>72</v>
      </c>
      <c r="B897" t="s">
        <v>17025</v>
      </c>
      <c r="C897" t="s">
        <v>74</v>
      </c>
      <c r="D897" t="s">
        <v>74</v>
      </c>
      <c r="E897" t="s">
        <v>74</v>
      </c>
      <c r="F897" t="s">
        <v>17026</v>
      </c>
      <c r="G897" t="s">
        <v>74</v>
      </c>
      <c r="H897" t="s">
        <v>74</v>
      </c>
      <c r="I897" t="s">
        <v>17027</v>
      </c>
      <c r="J897" t="s">
        <v>4340</v>
      </c>
      <c r="K897" t="s">
        <v>74</v>
      </c>
      <c r="L897" t="s">
        <v>74</v>
      </c>
      <c r="M897" t="s">
        <v>78</v>
      </c>
      <c r="N897" t="s">
        <v>79</v>
      </c>
      <c r="O897" t="s">
        <v>74</v>
      </c>
      <c r="P897" t="s">
        <v>74</v>
      </c>
      <c r="Q897" t="s">
        <v>74</v>
      </c>
      <c r="R897" t="s">
        <v>74</v>
      </c>
      <c r="S897" t="s">
        <v>74</v>
      </c>
      <c r="T897" t="s">
        <v>17028</v>
      </c>
      <c r="U897" t="s">
        <v>17029</v>
      </c>
      <c r="V897" t="s">
        <v>17030</v>
      </c>
      <c r="W897" t="s">
        <v>17031</v>
      </c>
      <c r="X897" t="s">
        <v>17032</v>
      </c>
      <c r="Y897" t="s">
        <v>17033</v>
      </c>
      <c r="Z897" t="s">
        <v>17034</v>
      </c>
      <c r="AA897" t="s">
        <v>17035</v>
      </c>
      <c r="AB897" t="s">
        <v>17036</v>
      </c>
      <c r="AC897" t="s">
        <v>17037</v>
      </c>
      <c r="AD897" t="s">
        <v>17038</v>
      </c>
      <c r="AE897" t="s">
        <v>17039</v>
      </c>
      <c r="AF897" t="s">
        <v>74</v>
      </c>
      <c r="AG897">
        <v>30</v>
      </c>
      <c r="AH897">
        <v>26</v>
      </c>
      <c r="AI897">
        <v>29</v>
      </c>
      <c r="AJ897">
        <v>0</v>
      </c>
      <c r="AK897">
        <v>9</v>
      </c>
      <c r="AL897" t="s">
        <v>3326</v>
      </c>
      <c r="AM897" t="s">
        <v>3327</v>
      </c>
      <c r="AN897" t="s">
        <v>3328</v>
      </c>
      <c r="AO897" t="s">
        <v>4344</v>
      </c>
      <c r="AP897" t="s">
        <v>4345</v>
      </c>
      <c r="AQ897" t="s">
        <v>74</v>
      </c>
      <c r="AR897" t="s">
        <v>4346</v>
      </c>
      <c r="AS897" t="s">
        <v>4347</v>
      </c>
      <c r="AT897" t="s">
        <v>17040</v>
      </c>
      <c r="AU897">
        <v>2018</v>
      </c>
      <c r="AV897">
        <v>50</v>
      </c>
      <c r="AW897">
        <v>1</v>
      </c>
      <c r="AX897" t="s">
        <v>74</v>
      </c>
      <c r="AY897" t="s">
        <v>74</v>
      </c>
      <c r="AZ897" t="s">
        <v>74</v>
      </c>
      <c r="BA897" t="s">
        <v>74</v>
      </c>
      <c r="BB897" t="s">
        <v>74</v>
      </c>
      <c r="BC897" t="s">
        <v>74</v>
      </c>
      <c r="BD897" t="s">
        <v>17041</v>
      </c>
      <c r="BE897" t="s">
        <v>17042</v>
      </c>
      <c r="BF897" t="str">
        <f>HYPERLINK("http://dx.doi.org/10.1080/15230430.2018.1433799","http://dx.doi.org/10.1080/15230430.2018.1433799")</f>
        <v>http://dx.doi.org/10.1080/15230430.2018.1433799</v>
      </c>
      <c r="BG897" t="s">
        <v>74</v>
      </c>
      <c r="BH897" t="s">
        <v>74</v>
      </c>
      <c r="BI897">
        <v>10</v>
      </c>
      <c r="BJ897" t="s">
        <v>4350</v>
      </c>
      <c r="BK897" t="s">
        <v>101</v>
      </c>
      <c r="BL897" t="s">
        <v>767</v>
      </c>
      <c r="BM897" t="s">
        <v>17043</v>
      </c>
      <c r="BN897" t="s">
        <v>74</v>
      </c>
      <c r="BO897" t="s">
        <v>1566</v>
      </c>
      <c r="BP897" t="s">
        <v>74</v>
      </c>
      <c r="BQ897" t="s">
        <v>74</v>
      </c>
      <c r="BR897" t="s">
        <v>104</v>
      </c>
      <c r="BS897" t="s">
        <v>17044</v>
      </c>
      <c r="BT897" t="str">
        <f>HYPERLINK("https%3A%2F%2Fwww.webofscience.com%2Fwos%2Fwoscc%2Ffull-record%2FWOS:000438744900001","View Full Record in Web of Science")</f>
        <v>View Full Record in Web of Science</v>
      </c>
    </row>
    <row r="898" spans="1:72" x14ac:dyDescent="0.15">
      <c r="A898" t="s">
        <v>72</v>
      </c>
      <c r="B898" t="s">
        <v>17045</v>
      </c>
      <c r="C898" t="s">
        <v>74</v>
      </c>
      <c r="D898" t="s">
        <v>74</v>
      </c>
      <c r="E898" t="s">
        <v>74</v>
      </c>
      <c r="F898" t="s">
        <v>17046</v>
      </c>
      <c r="G898" t="s">
        <v>74</v>
      </c>
      <c r="H898" t="s">
        <v>74</v>
      </c>
      <c r="I898" t="s">
        <v>17047</v>
      </c>
      <c r="J898" t="s">
        <v>4340</v>
      </c>
      <c r="K898" t="s">
        <v>74</v>
      </c>
      <c r="L898" t="s">
        <v>74</v>
      </c>
      <c r="M898" t="s">
        <v>78</v>
      </c>
      <c r="N898" t="s">
        <v>79</v>
      </c>
      <c r="O898" t="s">
        <v>74</v>
      </c>
      <c r="P898" t="s">
        <v>74</v>
      </c>
      <c r="Q898" t="s">
        <v>74</v>
      </c>
      <c r="R898" t="s">
        <v>74</v>
      </c>
      <c r="S898" t="s">
        <v>74</v>
      </c>
      <c r="T898" t="s">
        <v>17048</v>
      </c>
      <c r="U898" t="s">
        <v>17049</v>
      </c>
      <c r="V898" t="s">
        <v>17050</v>
      </c>
      <c r="W898" t="s">
        <v>17051</v>
      </c>
      <c r="X898" t="s">
        <v>17052</v>
      </c>
      <c r="Y898" t="s">
        <v>17053</v>
      </c>
      <c r="Z898" t="s">
        <v>17054</v>
      </c>
      <c r="AA898" t="s">
        <v>17055</v>
      </c>
      <c r="AB898" t="s">
        <v>17056</v>
      </c>
      <c r="AC898" t="s">
        <v>17057</v>
      </c>
      <c r="AD898" t="s">
        <v>17057</v>
      </c>
      <c r="AE898" t="s">
        <v>17058</v>
      </c>
      <c r="AF898" t="s">
        <v>74</v>
      </c>
      <c r="AG898">
        <v>30</v>
      </c>
      <c r="AH898">
        <v>2</v>
      </c>
      <c r="AI898">
        <v>3</v>
      </c>
      <c r="AJ898">
        <v>0</v>
      </c>
      <c r="AK898">
        <v>5</v>
      </c>
      <c r="AL898" t="s">
        <v>3326</v>
      </c>
      <c r="AM898" t="s">
        <v>3327</v>
      </c>
      <c r="AN898" t="s">
        <v>3328</v>
      </c>
      <c r="AO898" t="s">
        <v>4344</v>
      </c>
      <c r="AP898" t="s">
        <v>4345</v>
      </c>
      <c r="AQ898" t="s">
        <v>74</v>
      </c>
      <c r="AR898" t="s">
        <v>4346</v>
      </c>
      <c r="AS898" t="s">
        <v>4347</v>
      </c>
      <c r="AT898" t="s">
        <v>17040</v>
      </c>
      <c r="AU898">
        <v>2018</v>
      </c>
      <c r="AV898">
        <v>50</v>
      </c>
      <c r="AW898">
        <v>1</v>
      </c>
      <c r="AX898" t="s">
        <v>74</v>
      </c>
      <c r="AY898" t="s">
        <v>74</v>
      </c>
      <c r="AZ898" t="s">
        <v>74</v>
      </c>
      <c r="BA898" t="s">
        <v>74</v>
      </c>
      <c r="BB898" t="s">
        <v>74</v>
      </c>
      <c r="BC898" t="s">
        <v>74</v>
      </c>
      <c r="BD898" t="s">
        <v>17059</v>
      </c>
      <c r="BE898" t="s">
        <v>17060</v>
      </c>
      <c r="BF898" t="str">
        <f>HYPERLINK("http://dx.doi.org/10.1080/15230430.2018.1448643","http://dx.doi.org/10.1080/15230430.2018.1448643")</f>
        <v>http://dx.doi.org/10.1080/15230430.2018.1448643</v>
      </c>
      <c r="BG898" t="s">
        <v>74</v>
      </c>
      <c r="BH898" t="s">
        <v>74</v>
      </c>
      <c r="BI898">
        <v>7</v>
      </c>
      <c r="BJ898" t="s">
        <v>4350</v>
      </c>
      <c r="BK898" t="s">
        <v>101</v>
      </c>
      <c r="BL898" t="s">
        <v>767</v>
      </c>
      <c r="BM898" t="s">
        <v>17061</v>
      </c>
      <c r="BN898" t="s">
        <v>74</v>
      </c>
      <c r="BO898" t="s">
        <v>1584</v>
      </c>
      <c r="BP898" t="s">
        <v>74</v>
      </c>
      <c r="BQ898" t="s">
        <v>74</v>
      </c>
      <c r="BR898" t="s">
        <v>104</v>
      </c>
      <c r="BS898" t="s">
        <v>17062</v>
      </c>
      <c r="BT898" t="str">
        <f>HYPERLINK("https%3A%2F%2Fwww.webofscience.com%2Fwos%2Fwoscc%2Ffull-record%2FWOS:000438738400001","View Full Record in Web of Science")</f>
        <v>View Full Record in Web of Science</v>
      </c>
    </row>
    <row r="899" spans="1:72" x14ac:dyDescent="0.15">
      <c r="A899" t="s">
        <v>72</v>
      </c>
      <c r="B899" t="s">
        <v>17063</v>
      </c>
      <c r="C899" t="s">
        <v>74</v>
      </c>
      <c r="D899" t="s">
        <v>74</v>
      </c>
      <c r="E899" t="s">
        <v>74</v>
      </c>
      <c r="F899" t="s">
        <v>17064</v>
      </c>
      <c r="G899" t="s">
        <v>74</v>
      </c>
      <c r="H899" t="s">
        <v>74</v>
      </c>
      <c r="I899" t="s">
        <v>17065</v>
      </c>
      <c r="J899" t="s">
        <v>3387</v>
      </c>
      <c r="K899" t="s">
        <v>74</v>
      </c>
      <c r="L899" t="s">
        <v>74</v>
      </c>
      <c r="M899" t="s">
        <v>78</v>
      </c>
      <c r="N899" t="s">
        <v>79</v>
      </c>
      <c r="O899" t="s">
        <v>74</v>
      </c>
      <c r="P899" t="s">
        <v>74</v>
      </c>
      <c r="Q899" t="s">
        <v>74</v>
      </c>
      <c r="R899" t="s">
        <v>74</v>
      </c>
      <c r="S899" t="s">
        <v>74</v>
      </c>
      <c r="T899" t="s">
        <v>74</v>
      </c>
      <c r="U899" t="s">
        <v>17066</v>
      </c>
      <c r="V899" t="s">
        <v>17067</v>
      </c>
      <c r="W899" t="s">
        <v>17068</v>
      </c>
      <c r="X899" t="s">
        <v>17069</v>
      </c>
      <c r="Y899" t="s">
        <v>17070</v>
      </c>
      <c r="Z899" t="s">
        <v>17071</v>
      </c>
      <c r="AA899" t="s">
        <v>17072</v>
      </c>
      <c r="AB899" t="s">
        <v>17073</v>
      </c>
      <c r="AC899" t="s">
        <v>17074</v>
      </c>
      <c r="AD899" t="s">
        <v>17075</v>
      </c>
      <c r="AE899" t="s">
        <v>17076</v>
      </c>
      <c r="AF899" t="s">
        <v>74</v>
      </c>
      <c r="AG899">
        <v>73</v>
      </c>
      <c r="AH899">
        <v>103</v>
      </c>
      <c r="AI899">
        <v>108</v>
      </c>
      <c r="AJ899">
        <v>3</v>
      </c>
      <c r="AK899">
        <v>38</v>
      </c>
      <c r="AL899" t="s">
        <v>3353</v>
      </c>
      <c r="AM899" t="s">
        <v>3354</v>
      </c>
      <c r="AN899" t="s">
        <v>3355</v>
      </c>
      <c r="AO899" t="s">
        <v>3399</v>
      </c>
      <c r="AP899" t="s">
        <v>3400</v>
      </c>
      <c r="AQ899" t="s">
        <v>74</v>
      </c>
      <c r="AR899" t="s">
        <v>3401</v>
      </c>
      <c r="AS899" t="s">
        <v>3402</v>
      </c>
      <c r="AT899" t="s">
        <v>17040</v>
      </c>
      <c r="AU899">
        <v>2018</v>
      </c>
      <c r="AV899">
        <v>18</v>
      </c>
      <c r="AW899">
        <v>11</v>
      </c>
      <c r="AX899" t="s">
        <v>74</v>
      </c>
      <c r="AY899" t="s">
        <v>74</v>
      </c>
      <c r="AZ899" t="s">
        <v>74</v>
      </c>
      <c r="BA899" t="s">
        <v>74</v>
      </c>
      <c r="BB899">
        <v>8227</v>
      </c>
      <c r="BC899">
        <v>8247</v>
      </c>
      <c r="BD899" t="s">
        <v>74</v>
      </c>
      <c r="BE899" t="s">
        <v>17077</v>
      </c>
      <c r="BF899" t="str">
        <f>HYPERLINK("http://dx.doi.org/10.5194/acp-18-8227-2018","http://dx.doi.org/10.5194/acp-18-8227-2018")</f>
        <v>http://dx.doi.org/10.5194/acp-18-8227-2018</v>
      </c>
      <c r="BG899" t="s">
        <v>74</v>
      </c>
      <c r="BH899" t="s">
        <v>74</v>
      </c>
      <c r="BI899">
        <v>21</v>
      </c>
      <c r="BJ899" t="s">
        <v>317</v>
      </c>
      <c r="BK899" t="s">
        <v>101</v>
      </c>
      <c r="BL899" t="s">
        <v>318</v>
      </c>
      <c r="BM899" t="s">
        <v>17078</v>
      </c>
      <c r="BN899" t="s">
        <v>74</v>
      </c>
      <c r="BO899" t="s">
        <v>3406</v>
      </c>
      <c r="BP899" t="s">
        <v>74</v>
      </c>
      <c r="BQ899" t="s">
        <v>74</v>
      </c>
      <c r="BR899" t="s">
        <v>104</v>
      </c>
      <c r="BS899" t="s">
        <v>17079</v>
      </c>
      <c r="BT899" t="str">
        <f>HYPERLINK("https%3A%2F%2Fwww.webofscience.com%2Fwos%2Fwoscc%2Ffull-record%2FWOS:000435181500004","View Full Record in Web of Science")</f>
        <v>View Full Record in Web of Science</v>
      </c>
    </row>
    <row r="900" spans="1:72" x14ac:dyDescent="0.15">
      <c r="A900" t="s">
        <v>72</v>
      </c>
      <c r="B900" t="s">
        <v>17080</v>
      </c>
      <c r="C900" t="s">
        <v>74</v>
      </c>
      <c r="D900" t="s">
        <v>74</v>
      </c>
      <c r="E900" t="s">
        <v>74</v>
      </c>
      <c r="F900" t="s">
        <v>17081</v>
      </c>
      <c r="G900" t="s">
        <v>74</v>
      </c>
      <c r="H900" t="s">
        <v>74</v>
      </c>
      <c r="I900" t="s">
        <v>17082</v>
      </c>
      <c r="J900" t="s">
        <v>3565</v>
      </c>
      <c r="K900" t="s">
        <v>74</v>
      </c>
      <c r="L900" t="s">
        <v>74</v>
      </c>
      <c r="M900" t="s">
        <v>78</v>
      </c>
      <c r="N900" t="s">
        <v>79</v>
      </c>
      <c r="O900" t="s">
        <v>74</v>
      </c>
      <c r="P900" t="s">
        <v>74</v>
      </c>
      <c r="Q900" t="s">
        <v>74</v>
      </c>
      <c r="R900" t="s">
        <v>74</v>
      </c>
      <c r="S900" t="s">
        <v>74</v>
      </c>
      <c r="T900" t="s">
        <v>17083</v>
      </c>
      <c r="U900" t="s">
        <v>17084</v>
      </c>
      <c r="V900" t="s">
        <v>17085</v>
      </c>
      <c r="W900" t="s">
        <v>17086</v>
      </c>
      <c r="X900" t="s">
        <v>17087</v>
      </c>
      <c r="Y900" t="s">
        <v>17088</v>
      </c>
      <c r="Z900" t="s">
        <v>15465</v>
      </c>
      <c r="AA900" t="s">
        <v>17089</v>
      </c>
      <c r="AB900" t="s">
        <v>17090</v>
      </c>
      <c r="AC900" t="s">
        <v>17091</v>
      </c>
      <c r="AD900" t="s">
        <v>17092</v>
      </c>
      <c r="AE900" t="s">
        <v>17093</v>
      </c>
      <c r="AF900" t="s">
        <v>74</v>
      </c>
      <c r="AG900">
        <v>100</v>
      </c>
      <c r="AH900">
        <v>6</v>
      </c>
      <c r="AI900">
        <v>8</v>
      </c>
      <c r="AJ900">
        <v>0</v>
      </c>
      <c r="AK900">
        <v>30</v>
      </c>
      <c r="AL900" t="s">
        <v>17094</v>
      </c>
      <c r="AM900" t="s">
        <v>704</v>
      </c>
      <c r="AN900" t="s">
        <v>17095</v>
      </c>
      <c r="AO900" t="s">
        <v>3578</v>
      </c>
      <c r="AP900" t="s">
        <v>74</v>
      </c>
      <c r="AQ900" t="s">
        <v>74</v>
      </c>
      <c r="AR900" t="s">
        <v>3579</v>
      </c>
      <c r="AS900" t="s">
        <v>3580</v>
      </c>
      <c r="AT900" t="s">
        <v>17040</v>
      </c>
      <c r="AU900">
        <v>2018</v>
      </c>
      <c r="AV900">
        <v>18</v>
      </c>
      <c r="AW900" t="s">
        <v>74</v>
      </c>
      <c r="AX900" t="s">
        <v>74</v>
      </c>
      <c r="AY900" t="s">
        <v>74</v>
      </c>
      <c r="AZ900" t="s">
        <v>74</v>
      </c>
      <c r="BA900" t="s">
        <v>74</v>
      </c>
      <c r="BB900" t="s">
        <v>74</v>
      </c>
      <c r="BC900" t="s">
        <v>74</v>
      </c>
      <c r="BD900">
        <v>90</v>
      </c>
      <c r="BE900" t="s">
        <v>17096</v>
      </c>
      <c r="BF900" t="str">
        <f>HYPERLINK("http://dx.doi.org/10.1186/s12862-018-1207-0","http://dx.doi.org/10.1186/s12862-018-1207-0")</f>
        <v>http://dx.doi.org/10.1186/s12862-018-1207-0</v>
      </c>
      <c r="BG900" t="s">
        <v>74</v>
      </c>
      <c r="BH900" t="s">
        <v>74</v>
      </c>
      <c r="BI900">
        <v>12</v>
      </c>
      <c r="BJ900" t="s">
        <v>100</v>
      </c>
      <c r="BK900" t="s">
        <v>101</v>
      </c>
      <c r="BL900" t="s">
        <v>100</v>
      </c>
      <c r="BM900" t="s">
        <v>17097</v>
      </c>
      <c r="BN900">
        <v>29898661</v>
      </c>
      <c r="BO900" t="s">
        <v>439</v>
      </c>
      <c r="BP900" t="s">
        <v>74</v>
      </c>
      <c r="BQ900" t="s">
        <v>74</v>
      </c>
      <c r="BR900" t="s">
        <v>104</v>
      </c>
      <c r="BS900" t="s">
        <v>17098</v>
      </c>
      <c r="BT900" t="str">
        <f>HYPERLINK("https%3A%2F%2Fwww.webofscience.com%2Fwos%2Fwoscc%2Ffull-record%2FWOS:000435130300001","View Full Record in Web of Science")</f>
        <v>View Full Record in Web of Science</v>
      </c>
    </row>
    <row r="901" spans="1:72" x14ac:dyDescent="0.15">
      <c r="A901" t="s">
        <v>72</v>
      </c>
      <c r="B901" t="s">
        <v>17099</v>
      </c>
      <c r="C901" t="s">
        <v>74</v>
      </c>
      <c r="D901" t="s">
        <v>74</v>
      </c>
      <c r="E901" t="s">
        <v>74</v>
      </c>
      <c r="F901" t="s">
        <v>17100</v>
      </c>
      <c r="G901" t="s">
        <v>74</v>
      </c>
      <c r="H901" t="s">
        <v>74</v>
      </c>
      <c r="I901" t="s">
        <v>17101</v>
      </c>
      <c r="J901" t="s">
        <v>4453</v>
      </c>
      <c r="K901" t="s">
        <v>74</v>
      </c>
      <c r="L901" t="s">
        <v>74</v>
      </c>
      <c r="M901" t="s">
        <v>78</v>
      </c>
      <c r="N901" t="s">
        <v>79</v>
      </c>
      <c r="O901" t="s">
        <v>74</v>
      </c>
      <c r="P901" t="s">
        <v>74</v>
      </c>
      <c r="Q901" t="s">
        <v>74</v>
      </c>
      <c r="R901" t="s">
        <v>74</v>
      </c>
      <c r="S901" t="s">
        <v>74</v>
      </c>
      <c r="T901" t="s">
        <v>74</v>
      </c>
      <c r="U901" t="s">
        <v>17102</v>
      </c>
      <c r="V901" t="s">
        <v>17103</v>
      </c>
      <c r="W901" t="s">
        <v>17104</v>
      </c>
      <c r="X901" t="s">
        <v>17105</v>
      </c>
      <c r="Y901" t="s">
        <v>17106</v>
      </c>
      <c r="Z901" t="s">
        <v>17107</v>
      </c>
      <c r="AA901" t="s">
        <v>17108</v>
      </c>
      <c r="AB901" t="s">
        <v>17109</v>
      </c>
      <c r="AC901" t="s">
        <v>17110</v>
      </c>
      <c r="AD901" t="s">
        <v>17111</v>
      </c>
      <c r="AE901" t="s">
        <v>17112</v>
      </c>
      <c r="AF901" t="s">
        <v>74</v>
      </c>
      <c r="AG901">
        <v>104</v>
      </c>
      <c r="AH901">
        <v>43</v>
      </c>
      <c r="AI901">
        <v>44</v>
      </c>
      <c r="AJ901">
        <v>0</v>
      </c>
      <c r="AK901">
        <v>13</v>
      </c>
      <c r="AL901" t="s">
        <v>3353</v>
      </c>
      <c r="AM901" t="s">
        <v>3354</v>
      </c>
      <c r="AN901" t="s">
        <v>3355</v>
      </c>
      <c r="AO901" t="s">
        <v>4465</v>
      </c>
      <c r="AP901" t="s">
        <v>4466</v>
      </c>
      <c r="AQ901" t="s">
        <v>74</v>
      </c>
      <c r="AR901" t="s">
        <v>4467</v>
      </c>
      <c r="AS901" t="s">
        <v>4468</v>
      </c>
      <c r="AT901" t="s">
        <v>17040</v>
      </c>
      <c r="AU901">
        <v>2018</v>
      </c>
      <c r="AV901">
        <v>14</v>
      </c>
      <c r="AW901">
        <v>6</v>
      </c>
      <c r="AX901" t="s">
        <v>74</v>
      </c>
      <c r="AY901" t="s">
        <v>74</v>
      </c>
      <c r="AZ901" t="s">
        <v>74</v>
      </c>
      <c r="BA901" t="s">
        <v>74</v>
      </c>
      <c r="BB901">
        <v>789</v>
      </c>
      <c r="BC901">
        <v>810</v>
      </c>
      <c r="BD901" t="s">
        <v>74</v>
      </c>
      <c r="BE901" t="s">
        <v>17113</v>
      </c>
      <c r="BF901" t="str">
        <f>HYPERLINK("http://dx.doi.org/10.5194/cp-14-789-2018","http://dx.doi.org/10.5194/cp-14-789-2018")</f>
        <v>http://dx.doi.org/10.5194/cp-14-789-2018</v>
      </c>
      <c r="BG901" t="s">
        <v>74</v>
      </c>
      <c r="BH901" t="s">
        <v>74</v>
      </c>
      <c r="BI901">
        <v>22</v>
      </c>
      <c r="BJ901" t="s">
        <v>4148</v>
      </c>
      <c r="BK901" t="s">
        <v>101</v>
      </c>
      <c r="BL901" t="s">
        <v>4149</v>
      </c>
      <c r="BM901" t="s">
        <v>17114</v>
      </c>
      <c r="BN901" t="s">
        <v>74</v>
      </c>
      <c r="BO901" t="s">
        <v>1524</v>
      </c>
      <c r="BP901" t="s">
        <v>74</v>
      </c>
      <c r="BQ901" t="s">
        <v>74</v>
      </c>
      <c r="BR901" t="s">
        <v>104</v>
      </c>
      <c r="BS901" t="s">
        <v>17115</v>
      </c>
      <c r="BT901" t="str">
        <f>HYPERLINK("https%3A%2F%2Fwww.webofscience.com%2Fwos%2Fwoscc%2Ffull-record%2FWOS:000435187700001","View Full Record in Web of Science")</f>
        <v>View Full Record in Web of Science</v>
      </c>
    </row>
    <row r="902" spans="1:72" x14ac:dyDescent="0.15">
      <c r="A902" t="s">
        <v>72</v>
      </c>
      <c r="B902" t="s">
        <v>17116</v>
      </c>
      <c r="C902" t="s">
        <v>74</v>
      </c>
      <c r="D902" t="s">
        <v>74</v>
      </c>
      <c r="E902" t="s">
        <v>74</v>
      </c>
      <c r="F902" t="s">
        <v>17117</v>
      </c>
      <c r="G902" t="s">
        <v>74</v>
      </c>
      <c r="H902" t="s">
        <v>74</v>
      </c>
      <c r="I902" t="s">
        <v>17118</v>
      </c>
      <c r="J902" t="s">
        <v>3366</v>
      </c>
      <c r="K902" t="s">
        <v>74</v>
      </c>
      <c r="L902" t="s">
        <v>74</v>
      </c>
      <c r="M902" t="s">
        <v>78</v>
      </c>
      <c r="N902" t="s">
        <v>79</v>
      </c>
      <c r="O902" t="s">
        <v>74</v>
      </c>
      <c r="P902" t="s">
        <v>74</v>
      </c>
      <c r="Q902" t="s">
        <v>74</v>
      </c>
      <c r="R902" t="s">
        <v>74</v>
      </c>
      <c r="S902" t="s">
        <v>74</v>
      </c>
      <c r="T902" t="s">
        <v>74</v>
      </c>
      <c r="U902" t="s">
        <v>17119</v>
      </c>
      <c r="V902" t="s">
        <v>17120</v>
      </c>
      <c r="W902" t="s">
        <v>17121</v>
      </c>
      <c r="X902" t="s">
        <v>17122</v>
      </c>
      <c r="Y902" t="s">
        <v>17123</v>
      </c>
      <c r="Z902" t="s">
        <v>17124</v>
      </c>
      <c r="AA902" t="s">
        <v>74</v>
      </c>
      <c r="AB902" t="s">
        <v>17125</v>
      </c>
      <c r="AC902" t="s">
        <v>17126</v>
      </c>
      <c r="AD902" t="s">
        <v>8123</v>
      </c>
      <c r="AE902" t="s">
        <v>17127</v>
      </c>
      <c r="AF902" t="s">
        <v>74</v>
      </c>
      <c r="AG902">
        <v>43</v>
      </c>
      <c r="AH902">
        <v>6</v>
      </c>
      <c r="AI902">
        <v>6</v>
      </c>
      <c r="AJ902">
        <v>1</v>
      </c>
      <c r="AK902">
        <v>11</v>
      </c>
      <c r="AL902" t="s">
        <v>3353</v>
      </c>
      <c r="AM902" t="s">
        <v>3354</v>
      </c>
      <c r="AN902" t="s">
        <v>3355</v>
      </c>
      <c r="AO902" t="s">
        <v>3377</v>
      </c>
      <c r="AP902" t="s">
        <v>3378</v>
      </c>
      <c r="AQ902" t="s">
        <v>74</v>
      </c>
      <c r="AR902" t="s">
        <v>3366</v>
      </c>
      <c r="AS902" t="s">
        <v>3379</v>
      </c>
      <c r="AT902" t="s">
        <v>17040</v>
      </c>
      <c r="AU902">
        <v>2018</v>
      </c>
      <c r="AV902">
        <v>12</v>
      </c>
      <c r="AW902">
        <v>6</v>
      </c>
      <c r="AX902" t="s">
        <v>74</v>
      </c>
      <c r="AY902" t="s">
        <v>74</v>
      </c>
      <c r="AZ902" t="s">
        <v>74</v>
      </c>
      <c r="BA902" t="s">
        <v>74</v>
      </c>
      <c r="BB902">
        <v>2021</v>
      </c>
      <c r="BC902">
        <v>2037</v>
      </c>
      <c r="BD902" t="s">
        <v>74</v>
      </c>
      <c r="BE902" t="s">
        <v>17128</v>
      </c>
      <c r="BF902" t="str">
        <f>HYPERLINK("http://dx.doi.org/10.5194/tc-12-2021-2018","http://dx.doi.org/10.5194/tc-12-2021-2018")</f>
        <v>http://dx.doi.org/10.5194/tc-12-2021-2018</v>
      </c>
      <c r="BG902" t="s">
        <v>74</v>
      </c>
      <c r="BH902" t="s">
        <v>74</v>
      </c>
      <c r="BI902">
        <v>17</v>
      </c>
      <c r="BJ902" t="s">
        <v>208</v>
      </c>
      <c r="BK902" t="s">
        <v>101</v>
      </c>
      <c r="BL902" t="s">
        <v>209</v>
      </c>
      <c r="BM902" t="s">
        <v>17129</v>
      </c>
      <c r="BN902" t="s">
        <v>74</v>
      </c>
      <c r="BO902" t="s">
        <v>1524</v>
      </c>
      <c r="BP902" t="s">
        <v>74</v>
      </c>
      <c r="BQ902" t="s">
        <v>74</v>
      </c>
      <c r="BR902" t="s">
        <v>104</v>
      </c>
      <c r="BS902" t="s">
        <v>17130</v>
      </c>
      <c r="BT902" t="str">
        <f>HYPERLINK("https%3A%2F%2Fwww.webofscience.com%2Fwos%2Fwoscc%2Ffull-record%2FWOS:000435154900002","View Full Record in Web of Science")</f>
        <v>View Full Record in Web of Science</v>
      </c>
    </row>
    <row r="903" spans="1:72" x14ac:dyDescent="0.15">
      <c r="A903" t="s">
        <v>72</v>
      </c>
      <c r="B903" t="s">
        <v>17131</v>
      </c>
      <c r="C903" t="s">
        <v>74</v>
      </c>
      <c r="D903" t="s">
        <v>74</v>
      </c>
      <c r="E903" t="s">
        <v>74</v>
      </c>
      <c r="F903" t="s">
        <v>17132</v>
      </c>
      <c r="G903" t="s">
        <v>74</v>
      </c>
      <c r="H903" t="s">
        <v>74</v>
      </c>
      <c r="I903" t="s">
        <v>17133</v>
      </c>
      <c r="J903" t="s">
        <v>3366</v>
      </c>
      <c r="K903" t="s">
        <v>74</v>
      </c>
      <c r="L903" t="s">
        <v>74</v>
      </c>
      <c r="M903" t="s">
        <v>78</v>
      </c>
      <c r="N903" t="s">
        <v>79</v>
      </c>
      <c r="O903" t="s">
        <v>74</v>
      </c>
      <c r="P903" t="s">
        <v>74</v>
      </c>
      <c r="Q903" t="s">
        <v>74</v>
      </c>
      <c r="R903" t="s">
        <v>74</v>
      </c>
      <c r="S903" t="s">
        <v>74</v>
      </c>
      <c r="T903" t="s">
        <v>74</v>
      </c>
      <c r="U903" t="s">
        <v>17134</v>
      </c>
      <c r="V903" t="s">
        <v>17135</v>
      </c>
      <c r="W903" t="s">
        <v>17136</v>
      </c>
      <c r="X903" t="s">
        <v>17137</v>
      </c>
      <c r="Y903" t="s">
        <v>17138</v>
      </c>
      <c r="Z903" t="s">
        <v>17139</v>
      </c>
      <c r="AA903" t="s">
        <v>17140</v>
      </c>
      <c r="AB903" t="s">
        <v>17141</v>
      </c>
      <c r="AC903" t="s">
        <v>17142</v>
      </c>
      <c r="AD903" t="s">
        <v>17143</v>
      </c>
      <c r="AE903" t="s">
        <v>17144</v>
      </c>
      <c r="AF903" t="s">
        <v>74</v>
      </c>
      <c r="AG903">
        <v>101</v>
      </c>
      <c r="AH903">
        <v>28</v>
      </c>
      <c r="AI903">
        <v>29</v>
      </c>
      <c r="AJ903">
        <v>1</v>
      </c>
      <c r="AK903">
        <v>17</v>
      </c>
      <c r="AL903" t="s">
        <v>3353</v>
      </c>
      <c r="AM903" t="s">
        <v>3354</v>
      </c>
      <c r="AN903" t="s">
        <v>3355</v>
      </c>
      <c r="AO903" t="s">
        <v>3377</v>
      </c>
      <c r="AP903" t="s">
        <v>3378</v>
      </c>
      <c r="AQ903" t="s">
        <v>74</v>
      </c>
      <c r="AR903" t="s">
        <v>3366</v>
      </c>
      <c r="AS903" t="s">
        <v>3379</v>
      </c>
      <c r="AT903" t="s">
        <v>17145</v>
      </c>
      <c r="AU903">
        <v>2018</v>
      </c>
      <c r="AV903">
        <v>12</v>
      </c>
      <c r="AW903">
        <v>6</v>
      </c>
      <c r="AX903" t="s">
        <v>74</v>
      </c>
      <c r="AY903" t="s">
        <v>74</v>
      </c>
      <c r="AZ903" t="s">
        <v>74</v>
      </c>
      <c r="BA903" t="s">
        <v>74</v>
      </c>
      <c r="BB903">
        <v>1987</v>
      </c>
      <c r="BC903">
        <v>2003</v>
      </c>
      <c r="BD903" t="s">
        <v>74</v>
      </c>
      <c r="BE903" t="s">
        <v>17146</v>
      </c>
      <c r="BF903" t="str">
        <f>HYPERLINK("http://dx.doi.org/10.5194/tc-12-1987-2018","http://dx.doi.org/10.5194/tc-12-1987-2018")</f>
        <v>http://dx.doi.org/10.5194/tc-12-1987-2018</v>
      </c>
      <c r="BG903" t="s">
        <v>74</v>
      </c>
      <c r="BH903" t="s">
        <v>74</v>
      </c>
      <c r="BI903">
        <v>17</v>
      </c>
      <c r="BJ903" t="s">
        <v>208</v>
      </c>
      <c r="BK903" t="s">
        <v>101</v>
      </c>
      <c r="BL903" t="s">
        <v>209</v>
      </c>
      <c r="BM903" t="s">
        <v>17147</v>
      </c>
      <c r="BN903" t="s">
        <v>74</v>
      </c>
      <c r="BO903" t="s">
        <v>16088</v>
      </c>
      <c r="BP903" t="s">
        <v>74</v>
      </c>
      <c r="BQ903" t="s">
        <v>74</v>
      </c>
      <c r="BR903" t="s">
        <v>104</v>
      </c>
      <c r="BS903" t="s">
        <v>17148</v>
      </c>
      <c r="BT903" t="str">
        <f>HYPERLINK("https%3A%2F%2Fwww.webofscience.com%2Fwos%2Fwoscc%2Ffull-record%2FWOS:000434946800002","View Full Record in Web of Science")</f>
        <v>View Full Record in Web of Science</v>
      </c>
    </row>
    <row r="904" spans="1:72" x14ac:dyDescent="0.15">
      <c r="A904" t="s">
        <v>72</v>
      </c>
      <c r="B904" t="s">
        <v>17149</v>
      </c>
      <c r="C904" t="s">
        <v>74</v>
      </c>
      <c r="D904" t="s">
        <v>74</v>
      </c>
      <c r="E904" t="s">
        <v>74</v>
      </c>
      <c r="F904" t="s">
        <v>17150</v>
      </c>
      <c r="G904" t="s">
        <v>74</v>
      </c>
      <c r="H904" t="s">
        <v>74</v>
      </c>
      <c r="I904" t="s">
        <v>17151</v>
      </c>
      <c r="J904" t="s">
        <v>4340</v>
      </c>
      <c r="K904" t="s">
        <v>74</v>
      </c>
      <c r="L904" t="s">
        <v>74</v>
      </c>
      <c r="M904" t="s">
        <v>78</v>
      </c>
      <c r="N904" t="s">
        <v>17152</v>
      </c>
      <c r="O904" t="s">
        <v>74</v>
      </c>
      <c r="P904" t="s">
        <v>74</v>
      </c>
      <c r="Q904" t="s">
        <v>74</v>
      </c>
      <c r="R904" t="s">
        <v>74</v>
      </c>
      <c r="S904" t="s">
        <v>74</v>
      </c>
      <c r="T904" t="s">
        <v>74</v>
      </c>
      <c r="U904" t="s">
        <v>74</v>
      </c>
      <c r="V904" t="s">
        <v>74</v>
      </c>
      <c r="W904" t="s">
        <v>17153</v>
      </c>
      <c r="X904" t="s">
        <v>17154</v>
      </c>
      <c r="Y904" t="s">
        <v>17155</v>
      </c>
      <c r="Z904" t="s">
        <v>17156</v>
      </c>
      <c r="AA904" t="s">
        <v>74</v>
      </c>
      <c r="AB904" t="s">
        <v>74</v>
      </c>
      <c r="AC904" t="s">
        <v>74</v>
      </c>
      <c r="AD904" t="s">
        <v>74</v>
      </c>
      <c r="AE904" t="s">
        <v>74</v>
      </c>
      <c r="AF904" t="s">
        <v>74</v>
      </c>
      <c r="AG904">
        <v>1</v>
      </c>
      <c r="AH904">
        <v>1</v>
      </c>
      <c r="AI904">
        <v>2</v>
      </c>
      <c r="AJ904">
        <v>0</v>
      </c>
      <c r="AK904">
        <v>0</v>
      </c>
      <c r="AL904" t="s">
        <v>17157</v>
      </c>
      <c r="AM904" t="s">
        <v>2394</v>
      </c>
      <c r="AN904" t="s">
        <v>17158</v>
      </c>
      <c r="AO904" t="s">
        <v>4344</v>
      </c>
      <c r="AP904" t="s">
        <v>4345</v>
      </c>
      <c r="AQ904" t="s">
        <v>74</v>
      </c>
      <c r="AR904" t="s">
        <v>4346</v>
      </c>
      <c r="AS904" t="s">
        <v>4347</v>
      </c>
      <c r="AT904" t="s">
        <v>17145</v>
      </c>
      <c r="AU904">
        <v>2018</v>
      </c>
      <c r="AV904">
        <v>50</v>
      </c>
      <c r="AW904">
        <v>1</v>
      </c>
      <c r="AX904" t="s">
        <v>74</v>
      </c>
      <c r="AY904" t="s">
        <v>74</v>
      </c>
      <c r="AZ904" t="s">
        <v>74</v>
      </c>
      <c r="BA904" t="s">
        <v>74</v>
      </c>
      <c r="BB904" t="s">
        <v>74</v>
      </c>
      <c r="BC904" t="s">
        <v>74</v>
      </c>
      <c r="BD904" t="s">
        <v>17159</v>
      </c>
      <c r="BE904" t="s">
        <v>17160</v>
      </c>
      <c r="BF904" t="str">
        <f>HYPERLINK("http://dx.doi.org/10.1080/15230430.2018.1475949","http://dx.doi.org/10.1080/15230430.2018.1475949")</f>
        <v>http://dx.doi.org/10.1080/15230430.2018.1475949</v>
      </c>
      <c r="BG904" t="s">
        <v>74</v>
      </c>
      <c r="BH904" t="s">
        <v>74</v>
      </c>
      <c r="BI904">
        <v>2</v>
      </c>
      <c r="BJ904" t="s">
        <v>4350</v>
      </c>
      <c r="BK904" t="s">
        <v>101</v>
      </c>
      <c r="BL904" t="s">
        <v>767</v>
      </c>
      <c r="BM904" t="s">
        <v>17161</v>
      </c>
      <c r="BN904" t="s">
        <v>74</v>
      </c>
      <c r="BO904" t="s">
        <v>1584</v>
      </c>
      <c r="BP904" t="s">
        <v>74</v>
      </c>
      <c r="BQ904" t="s">
        <v>74</v>
      </c>
      <c r="BR904" t="s">
        <v>104</v>
      </c>
      <c r="BS904" t="s">
        <v>17162</v>
      </c>
      <c r="BT904" t="str">
        <f>HYPERLINK("https%3A%2F%2Fwww.webofscience.com%2Fwos%2Fwoscc%2Ffull-record%2FWOS:000438741900001","View Full Record in Web of Science")</f>
        <v>View Full Record in Web of Science</v>
      </c>
    </row>
    <row r="905" spans="1:72" x14ac:dyDescent="0.15">
      <c r="A905" t="s">
        <v>72</v>
      </c>
      <c r="B905" t="s">
        <v>17163</v>
      </c>
      <c r="C905" t="s">
        <v>74</v>
      </c>
      <c r="D905" t="s">
        <v>74</v>
      </c>
      <c r="E905" t="s">
        <v>74</v>
      </c>
      <c r="F905" t="s">
        <v>17164</v>
      </c>
      <c r="G905" t="s">
        <v>74</v>
      </c>
      <c r="H905" t="s">
        <v>74</v>
      </c>
      <c r="I905" t="s">
        <v>17165</v>
      </c>
      <c r="J905" t="s">
        <v>3366</v>
      </c>
      <c r="K905" t="s">
        <v>74</v>
      </c>
      <c r="L905" t="s">
        <v>74</v>
      </c>
      <c r="M905" t="s">
        <v>78</v>
      </c>
      <c r="N905" t="s">
        <v>79</v>
      </c>
      <c r="O905" t="s">
        <v>74</v>
      </c>
      <c r="P905" t="s">
        <v>74</v>
      </c>
      <c r="Q905" t="s">
        <v>74</v>
      </c>
      <c r="R905" t="s">
        <v>74</v>
      </c>
      <c r="S905" t="s">
        <v>74</v>
      </c>
      <c r="T905" t="s">
        <v>74</v>
      </c>
      <c r="U905" t="s">
        <v>17166</v>
      </c>
      <c r="V905" t="s">
        <v>17167</v>
      </c>
      <c r="W905" t="s">
        <v>17168</v>
      </c>
      <c r="X905" t="s">
        <v>17169</v>
      </c>
      <c r="Y905" t="s">
        <v>17170</v>
      </c>
      <c r="Z905" t="s">
        <v>17171</v>
      </c>
      <c r="AA905" t="s">
        <v>17172</v>
      </c>
      <c r="AB905" t="s">
        <v>17173</v>
      </c>
      <c r="AC905" t="s">
        <v>17174</v>
      </c>
      <c r="AD905" t="s">
        <v>17175</v>
      </c>
      <c r="AE905" t="s">
        <v>17176</v>
      </c>
      <c r="AF905" t="s">
        <v>74</v>
      </c>
      <c r="AG905">
        <v>62</v>
      </c>
      <c r="AH905">
        <v>67</v>
      </c>
      <c r="AI905">
        <v>71</v>
      </c>
      <c r="AJ905">
        <v>0</v>
      </c>
      <c r="AK905">
        <v>13</v>
      </c>
      <c r="AL905" t="s">
        <v>3353</v>
      </c>
      <c r="AM905" t="s">
        <v>3354</v>
      </c>
      <c r="AN905" t="s">
        <v>3355</v>
      </c>
      <c r="AO905" t="s">
        <v>3377</v>
      </c>
      <c r="AP905" t="s">
        <v>3378</v>
      </c>
      <c r="AQ905" t="s">
        <v>74</v>
      </c>
      <c r="AR905" t="s">
        <v>3366</v>
      </c>
      <c r="AS905" t="s">
        <v>3379</v>
      </c>
      <c r="AT905" t="s">
        <v>17145</v>
      </c>
      <c r="AU905">
        <v>2018</v>
      </c>
      <c r="AV905">
        <v>12</v>
      </c>
      <c r="AW905">
        <v>6</v>
      </c>
      <c r="AX905" t="s">
        <v>74</v>
      </c>
      <c r="AY905" t="s">
        <v>74</v>
      </c>
      <c r="AZ905" t="s">
        <v>74</v>
      </c>
      <c r="BA905" t="s">
        <v>74</v>
      </c>
      <c r="BB905">
        <v>1969</v>
      </c>
      <c r="BC905">
        <v>1985</v>
      </c>
      <c r="BD905" t="s">
        <v>74</v>
      </c>
      <c r="BE905" t="s">
        <v>17177</v>
      </c>
      <c r="BF905" t="str">
        <f>HYPERLINK("http://dx.doi.org/10.5194/tc-12-1969-2018","http://dx.doi.org/10.5194/tc-12-1969-2018")</f>
        <v>http://dx.doi.org/10.5194/tc-12-1969-2018</v>
      </c>
      <c r="BG905" t="s">
        <v>74</v>
      </c>
      <c r="BH905" t="s">
        <v>74</v>
      </c>
      <c r="BI905">
        <v>17</v>
      </c>
      <c r="BJ905" t="s">
        <v>208</v>
      </c>
      <c r="BK905" t="s">
        <v>101</v>
      </c>
      <c r="BL905" t="s">
        <v>209</v>
      </c>
      <c r="BM905" t="s">
        <v>17147</v>
      </c>
      <c r="BN905" t="s">
        <v>74</v>
      </c>
      <c r="BO905" t="s">
        <v>3406</v>
      </c>
      <c r="BP905" t="s">
        <v>74</v>
      </c>
      <c r="BQ905" t="s">
        <v>74</v>
      </c>
      <c r="BR905" t="s">
        <v>104</v>
      </c>
      <c r="BS905" t="s">
        <v>17178</v>
      </c>
      <c r="BT905" t="str">
        <f>HYPERLINK("https%3A%2F%2Fwww.webofscience.com%2Fwos%2Fwoscc%2Ffull-record%2FWOS:000434946800001","View Full Record in Web of Science")</f>
        <v>View Full Record in Web of Science</v>
      </c>
    </row>
    <row r="906" spans="1:72" x14ac:dyDescent="0.15">
      <c r="A906" t="s">
        <v>72</v>
      </c>
      <c r="B906" t="s">
        <v>17179</v>
      </c>
      <c r="C906" t="s">
        <v>74</v>
      </c>
      <c r="D906" t="s">
        <v>74</v>
      </c>
      <c r="E906" t="s">
        <v>74</v>
      </c>
      <c r="F906" t="s">
        <v>17180</v>
      </c>
      <c r="G906" t="s">
        <v>74</v>
      </c>
      <c r="H906" t="s">
        <v>74</v>
      </c>
      <c r="I906" t="s">
        <v>17181</v>
      </c>
      <c r="J906" t="s">
        <v>4340</v>
      </c>
      <c r="K906" t="s">
        <v>74</v>
      </c>
      <c r="L906" t="s">
        <v>74</v>
      </c>
      <c r="M906" t="s">
        <v>78</v>
      </c>
      <c r="N906" t="s">
        <v>79</v>
      </c>
      <c r="O906" t="s">
        <v>74</v>
      </c>
      <c r="P906" t="s">
        <v>74</v>
      </c>
      <c r="Q906" t="s">
        <v>74</v>
      </c>
      <c r="R906" t="s">
        <v>74</v>
      </c>
      <c r="S906" t="s">
        <v>74</v>
      </c>
      <c r="T906" t="s">
        <v>17182</v>
      </c>
      <c r="U906" t="s">
        <v>17183</v>
      </c>
      <c r="V906" t="s">
        <v>17184</v>
      </c>
      <c r="W906" t="s">
        <v>17185</v>
      </c>
      <c r="X906" t="s">
        <v>17186</v>
      </c>
      <c r="Y906" t="s">
        <v>17187</v>
      </c>
      <c r="Z906" t="s">
        <v>17188</v>
      </c>
      <c r="AA906" t="s">
        <v>74</v>
      </c>
      <c r="AB906" t="s">
        <v>74</v>
      </c>
      <c r="AC906" t="s">
        <v>17189</v>
      </c>
      <c r="AD906" t="s">
        <v>17190</v>
      </c>
      <c r="AE906" t="s">
        <v>17191</v>
      </c>
      <c r="AF906" t="s">
        <v>74</v>
      </c>
      <c r="AG906">
        <v>59</v>
      </c>
      <c r="AH906">
        <v>12</v>
      </c>
      <c r="AI906">
        <v>15</v>
      </c>
      <c r="AJ906">
        <v>2</v>
      </c>
      <c r="AK906">
        <v>50</v>
      </c>
      <c r="AL906" t="s">
        <v>3326</v>
      </c>
      <c r="AM906" t="s">
        <v>3327</v>
      </c>
      <c r="AN906" t="s">
        <v>3328</v>
      </c>
      <c r="AO906" t="s">
        <v>4344</v>
      </c>
      <c r="AP906" t="s">
        <v>4345</v>
      </c>
      <c r="AQ906" t="s">
        <v>74</v>
      </c>
      <c r="AR906" t="s">
        <v>4346</v>
      </c>
      <c r="AS906" t="s">
        <v>4347</v>
      </c>
      <c r="AT906" t="s">
        <v>17192</v>
      </c>
      <c r="AU906">
        <v>2018</v>
      </c>
      <c r="AV906">
        <v>50</v>
      </c>
      <c r="AW906">
        <v>1</v>
      </c>
      <c r="AX906" t="s">
        <v>74</v>
      </c>
      <c r="AY906" t="s">
        <v>74</v>
      </c>
      <c r="AZ906" t="s">
        <v>74</v>
      </c>
      <c r="BA906" t="s">
        <v>74</v>
      </c>
      <c r="BB906" t="s">
        <v>74</v>
      </c>
      <c r="BC906" t="s">
        <v>74</v>
      </c>
      <c r="BD906" t="s">
        <v>17193</v>
      </c>
      <c r="BE906" t="s">
        <v>17194</v>
      </c>
      <c r="BF906" t="str">
        <f>HYPERLINK("http://dx.doi.org/10.1080/15230430.2017.1420283","http://dx.doi.org/10.1080/15230430.2017.1420283")</f>
        <v>http://dx.doi.org/10.1080/15230430.2017.1420283</v>
      </c>
      <c r="BG906" t="s">
        <v>74</v>
      </c>
      <c r="BH906" t="s">
        <v>74</v>
      </c>
      <c r="BI906">
        <v>17</v>
      </c>
      <c r="BJ906" t="s">
        <v>4350</v>
      </c>
      <c r="BK906" t="s">
        <v>101</v>
      </c>
      <c r="BL906" t="s">
        <v>767</v>
      </c>
      <c r="BM906" t="s">
        <v>17195</v>
      </c>
      <c r="BN906" t="s">
        <v>74</v>
      </c>
      <c r="BO906" t="s">
        <v>1584</v>
      </c>
      <c r="BP906" t="s">
        <v>74</v>
      </c>
      <c r="BQ906" t="s">
        <v>74</v>
      </c>
      <c r="BR906" t="s">
        <v>104</v>
      </c>
      <c r="BS906" t="s">
        <v>17196</v>
      </c>
      <c r="BT906" t="str">
        <f>HYPERLINK("https%3A%2F%2Fwww.webofscience.com%2Fwos%2Fwoscc%2Ffull-record%2FWOS:000438749100001","View Full Record in Web of Science")</f>
        <v>View Full Record in Web of Science</v>
      </c>
    </row>
    <row r="907" spans="1:72" x14ac:dyDescent="0.15">
      <c r="A907" t="s">
        <v>72</v>
      </c>
      <c r="B907" t="s">
        <v>17197</v>
      </c>
      <c r="C907" t="s">
        <v>74</v>
      </c>
      <c r="D907" t="s">
        <v>74</v>
      </c>
      <c r="E907" t="s">
        <v>74</v>
      </c>
      <c r="F907" t="s">
        <v>17198</v>
      </c>
      <c r="G907" t="s">
        <v>74</v>
      </c>
      <c r="H907" t="s">
        <v>74</v>
      </c>
      <c r="I907" t="s">
        <v>17199</v>
      </c>
      <c r="J907" t="s">
        <v>3387</v>
      </c>
      <c r="K907" t="s">
        <v>74</v>
      </c>
      <c r="L907" t="s">
        <v>74</v>
      </c>
      <c r="M907" t="s">
        <v>78</v>
      </c>
      <c r="N907" t="s">
        <v>79</v>
      </c>
      <c r="O907" t="s">
        <v>74</v>
      </c>
      <c r="P907" t="s">
        <v>74</v>
      </c>
      <c r="Q907" t="s">
        <v>74</v>
      </c>
      <c r="R907" t="s">
        <v>74</v>
      </c>
      <c r="S907" t="s">
        <v>74</v>
      </c>
      <c r="T907" t="s">
        <v>74</v>
      </c>
      <c r="U907" t="s">
        <v>17200</v>
      </c>
      <c r="V907" t="s">
        <v>17201</v>
      </c>
      <c r="W907" t="s">
        <v>17202</v>
      </c>
      <c r="X907" t="s">
        <v>74</v>
      </c>
      <c r="Y907" t="s">
        <v>17203</v>
      </c>
      <c r="Z907" t="s">
        <v>17204</v>
      </c>
      <c r="AA907" t="s">
        <v>17205</v>
      </c>
      <c r="AB907" t="s">
        <v>17206</v>
      </c>
      <c r="AC907" t="s">
        <v>17207</v>
      </c>
      <c r="AD907" t="s">
        <v>17208</v>
      </c>
      <c r="AE907" t="s">
        <v>17209</v>
      </c>
      <c r="AF907" t="s">
        <v>74</v>
      </c>
      <c r="AG907">
        <v>30</v>
      </c>
      <c r="AH907">
        <v>5</v>
      </c>
      <c r="AI907">
        <v>5</v>
      </c>
      <c r="AJ907">
        <v>0</v>
      </c>
      <c r="AK907">
        <v>7</v>
      </c>
      <c r="AL907" t="s">
        <v>3353</v>
      </c>
      <c r="AM907" t="s">
        <v>3354</v>
      </c>
      <c r="AN907" t="s">
        <v>3355</v>
      </c>
      <c r="AO907" t="s">
        <v>3399</v>
      </c>
      <c r="AP907" t="s">
        <v>3400</v>
      </c>
      <c r="AQ907" t="s">
        <v>74</v>
      </c>
      <c r="AR907" t="s">
        <v>3401</v>
      </c>
      <c r="AS907" t="s">
        <v>3402</v>
      </c>
      <c r="AT907" t="s">
        <v>17210</v>
      </c>
      <c r="AU907">
        <v>2018</v>
      </c>
      <c r="AV907">
        <v>18</v>
      </c>
      <c r="AW907">
        <v>11</v>
      </c>
      <c r="AX907" t="s">
        <v>74</v>
      </c>
      <c r="AY907" t="s">
        <v>74</v>
      </c>
      <c r="AZ907" t="s">
        <v>74</v>
      </c>
      <c r="BA907" t="s">
        <v>74</v>
      </c>
      <c r="BB907">
        <v>8065</v>
      </c>
      <c r="BC907">
        <v>8077</v>
      </c>
      <c r="BD907" t="s">
        <v>74</v>
      </c>
      <c r="BE907" t="s">
        <v>17211</v>
      </c>
      <c r="BF907" t="str">
        <f>HYPERLINK("http://dx.doi.org/10.5194/acp-18-8065-2018","http://dx.doi.org/10.5194/acp-18-8065-2018")</f>
        <v>http://dx.doi.org/10.5194/acp-18-8065-2018</v>
      </c>
      <c r="BG907" t="s">
        <v>74</v>
      </c>
      <c r="BH907" t="s">
        <v>74</v>
      </c>
      <c r="BI907">
        <v>13</v>
      </c>
      <c r="BJ907" t="s">
        <v>317</v>
      </c>
      <c r="BK907" t="s">
        <v>101</v>
      </c>
      <c r="BL907" t="s">
        <v>318</v>
      </c>
      <c r="BM907" t="s">
        <v>17212</v>
      </c>
      <c r="BN907" t="s">
        <v>74</v>
      </c>
      <c r="BO907" t="s">
        <v>1584</v>
      </c>
      <c r="BP907" t="s">
        <v>74</v>
      </c>
      <c r="BQ907" t="s">
        <v>74</v>
      </c>
      <c r="BR907" t="s">
        <v>104</v>
      </c>
      <c r="BS907" t="s">
        <v>17213</v>
      </c>
      <c r="BT907" t="str">
        <f>HYPERLINK("https%3A%2F%2Fwww.webofscience.com%2Fwos%2Fwoscc%2Ffull-record%2FWOS:000434687100001","View Full Record in Web of Science")</f>
        <v>View Full Record in Web of Science</v>
      </c>
    </row>
    <row r="908" spans="1:72" x14ac:dyDescent="0.15">
      <c r="A908" t="s">
        <v>72</v>
      </c>
      <c r="B908" t="s">
        <v>17214</v>
      </c>
      <c r="C908" t="s">
        <v>74</v>
      </c>
      <c r="D908" t="s">
        <v>74</v>
      </c>
      <c r="E908" t="s">
        <v>74</v>
      </c>
      <c r="F908" t="s">
        <v>17215</v>
      </c>
      <c r="G908" t="s">
        <v>74</v>
      </c>
      <c r="H908" t="s">
        <v>74</v>
      </c>
      <c r="I908" t="s">
        <v>17216</v>
      </c>
      <c r="J908" t="s">
        <v>11795</v>
      </c>
      <c r="K908" t="s">
        <v>74</v>
      </c>
      <c r="L908" t="s">
        <v>74</v>
      </c>
      <c r="M908" t="s">
        <v>78</v>
      </c>
      <c r="N908" t="s">
        <v>79</v>
      </c>
      <c r="O908" t="s">
        <v>74</v>
      </c>
      <c r="P908" t="s">
        <v>74</v>
      </c>
      <c r="Q908" t="s">
        <v>74</v>
      </c>
      <c r="R908" t="s">
        <v>74</v>
      </c>
      <c r="S908" t="s">
        <v>74</v>
      </c>
      <c r="T908" t="s">
        <v>74</v>
      </c>
      <c r="U908" t="s">
        <v>17217</v>
      </c>
      <c r="V908" t="s">
        <v>17218</v>
      </c>
      <c r="W908" t="s">
        <v>17219</v>
      </c>
      <c r="X908" t="s">
        <v>17220</v>
      </c>
      <c r="Y908" t="s">
        <v>17221</v>
      </c>
      <c r="Z908" t="s">
        <v>17222</v>
      </c>
      <c r="AA908" t="s">
        <v>17223</v>
      </c>
      <c r="AB908" t="s">
        <v>17224</v>
      </c>
      <c r="AC908" t="s">
        <v>17225</v>
      </c>
      <c r="AD908" t="s">
        <v>17226</v>
      </c>
      <c r="AE908" t="s">
        <v>17227</v>
      </c>
      <c r="AF908" t="s">
        <v>74</v>
      </c>
      <c r="AG908">
        <v>25</v>
      </c>
      <c r="AH908">
        <v>15</v>
      </c>
      <c r="AI908">
        <v>16</v>
      </c>
      <c r="AJ908">
        <v>2</v>
      </c>
      <c r="AK908">
        <v>25</v>
      </c>
      <c r="AL908" t="s">
        <v>1270</v>
      </c>
      <c r="AM908" t="s">
        <v>504</v>
      </c>
      <c r="AN908" t="s">
        <v>1271</v>
      </c>
      <c r="AO908" t="s">
        <v>11797</v>
      </c>
      <c r="AP908" t="s">
        <v>11798</v>
      </c>
      <c r="AQ908" t="s">
        <v>74</v>
      </c>
      <c r="AR908" t="s">
        <v>11795</v>
      </c>
      <c r="AS908" t="s">
        <v>11799</v>
      </c>
      <c r="AT908" t="s">
        <v>17210</v>
      </c>
      <c r="AU908">
        <v>2018</v>
      </c>
      <c r="AV908">
        <v>360</v>
      </c>
      <c r="AW908">
        <v>6393</v>
      </c>
      <c r="AX908" t="s">
        <v>74</v>
      </c>
      <c r="AY908" t="s">
        <v>74</v>
      </c>
      <c r="AZ908" t="s">
        <v>74</v>
      </c>
      <c r="BA908" t="s">
        <v>74</v>
      </c>
      <c r="BB908">
        <v>1120</v>
      </c>
      <c r="BC908" t="s">
        <v>1137</v>
      </c>
      <c r="BD908" t="s">
        <v>74</v>
      </c>
      <c r="BE908" t="s">
        <v>17228</v>
      </c>
      <c r="BF908" t="str">
        <f>HYPERLINK("http://dx.doi.org/10.1126/science.aaq1645","http://dx.doi.org/10.1126/science.aaq1645")</f>
        <v>http://dx.doi.org/10.1126/science.aaq1645</v>
      </c>
      <c r="BG908" t="s">
        <v>74</v>
      </c>
      <c r="BH908" t="s">
        <v>74</v>
      </c>
      <c r="BI908">
        <v>5</v>
      </c>
      <c r="BJ908" t="s">
        <v>436</v>
      </c>
      <c r="BK908" t="s">
        <v>101</v>
      </c>
      <c r="BL908" t="s">
        <v>437</v>
      </c>
      <c r="BM908" t="s">
        <v>17229</v>
      </c>
      <c r="BN908">
        <v>29880689</v>
      </c>
      <c r="BO908" t="s">
        <v>712</v>
      </c>
      <c r="BP908" t="s">
        <v>74</v>
      </c>
      <c r="BQ908" t="s">
        <v>74</v>
      </c>
      <c r="BR908" t="s">
        <v>104</v>
      </c>
      <c r="BS908" t="s">
        <v>17230</v>
      </c>
      <c r="BT908" t="str">
        <f>HYPERLINK("https%3A%2F%2Fwww.webofscience.com%2Fwos%2Fwoscc%2Ffull-record%2FWOS:000434635500046","View Full Record in Web of Science")</f>
        <v>View Full Record in Web of Science</v>
      </c>
    </row>
    <row r="909" spans="1:72" x14ac:dyDescent="0.15">
      <c r="A909" t="s">
        <v>72</v>
      </c>
      <c r="B909" t="s">
        <v>17231</v>
      </c>
      <c r="C909" t="s">
        <v>74</v>
      </c>
      <c r="D909" t="s">
        <v>74</v>
      </c>
      <c r="E909" t="s">
        <v>74</v>
      </c>
      <c r="F909" t="s">
        <v>17232</v>
      </c>
      <c r="G909" t="s">
        <v>74</v>
      </c>
      <c r="H909" t="s">
        <v>74</v>
      </c>
      <c r="I909" t="s">
        <v>17233</v>
      </c>
      <c r="J909" t="s">
        <v>4219</v>
      </c>
      <c r="K909" t="s">
        <v>74</v>
      </c>
      <c r="L909" t="s">
        <v>74</v>
      </c>
      <c r="M909" t="s">
        <v>78</v>
      </c>
      <c r="N909" t="s">
        <v>79</v>
      </c>
      <c r="O909" t="s">
        <v>74</v>
      </c>
      <c r="P909" t="s">
        <v>74</v>
      </c>
      <c r="Q909" t="s">
        <v>74</v>
      </c>
      <c r="R909" t="s">
        <v>74</v>
      </c>
      <c r="S909" t="s">
        <v>74</v>
      </c>
      <c r="T909" t="s">
        <v>17234</v>
      </c>
      <c r="U909" t="s">
        <v>17235</v>
      </c>
      <c r="V909" t="s">
        <v>17236</v>
      </c>
      <c r="W909" t="s">
        <v>17237</v>
      </c>
      <c r="X909" t="s">
        <v>17238</v>
      </c>
      <c r="Y909" t="s">
        <v>17239</v>
      </c>
      <c r="Z909" t="s">
        <v>17240</v>
      </c>
      <c r="AA909" t="s">
        <v>17241</v>
      </c>
      <c r="AB909" t="s">
        <v>17242</v>
      </c>
      <c r="AC909" t="s">
        <v>17243</v>
      </c>
      <c r="AD909" t="s">
        <v>17244</v>
      </c>
      <c r="AE909" t="s">
        <v>17245</v>
      </c>
      <c r="AF909" t="s">
        <v>74</v>
      </c>
      <c r="AG909">
        <v>76</v>
      </c>
      <c r="AH909">
        <v>28</v>
      </c>
      <c r="AI909">
        <v>28</v>
      </c>
      <c r="AJ909">
        <v>1</v>
      </c>
      <c r="AK909">
        <v>10</v>
      </c>
      <c r="AL909" t="s">
        <v>4232</v>
      </c>
      <c r="AM909" t="s">
        <v>704</v>
      </c>
      <c r="AN909" t="s">
        <v>4233</v>
      </c>
      <c r="AO909" t="s">
        <v>4234</v>
      </c>
      <c r="AP909" t="s">
        <v>74</v>
      </c>
      <c r="AQ909" t="s">
        <v>74</v>
      </c>
      <c r="AR909" t="s">
        <v>4219</v>
      </c>
      <c r="AS909" t="s">
        <v>4235</v>
      </c>
      <c r="AT909" t="s">
        <v>17246</v>
      </c>
      <c r="AU909">
        <v>2018</v>
      </c>
      <c r="AV909">
        <v>6</v>
      </c>
      <c r="AW909" t="s">
        <v>74</v>
      </c>
      <c r="AX909" t="s">
        <v>74</v>
      </c>
      <c r="AY909" t="s">
        <v>74</v>
      </c>
      <c r="AZ909" t="s">
        <v>74</v>
      </c>
      <c r="BA909" t="s">
        <v>74</v>
      </c>
      <c r="BB909" t="s">
        <v>74</v>
      </c>
      <c r="BC909" t="s">
        <v>74</v>
      </c>
      <c r="BD909" t="s">
        <v>17247</v>
      </c>
      <c r="BE909" t="s">
        <v>17248</v>
      </c>
      <c r="BF909" t="str">
        <f>HYPERLINK("http://dx.doi.org/10.7717/peerj.4935","http://dx.doi.org/10.7717/peerj.4935")</f>
        <v>http://dx.doi.org/10.7717/peerj.4935</v>
      </c>
      <c r="BG909" t="s">
        <v>74</v>
      </c>
      <c r="BH909" t="s">
        <v>74</v>
      </c>
      <c r="BI909">
        <v>23</v>
      </c>
      <c r="BJ909" t="s">
        <v>436</v>
      </c>
      <c r="BK909" t="s">
        <v>101</v>
      </c>
      <c r="BL909" t="s">
        <v>437</v>
      </c>
      <c r="BM909" t="s">
        <v>17249</v>
      </c>
      <c r="BN909">
        <v>29892508</v>
      </c>
      <c r="BO909" t="s">
        <v>1063</v>
      </c>
      <c r="BP909" t="s">
        <v>74</v>
      </c>
      <c r="BQ909" t="s">
        <v>74</v>
      </c>
      <c r="BR909" t="s">
        <v>104</v>
      </c>
      <c r="BS909" t="s">
        <v>17250</v>
      </c>
      <c r="BT909" t="str">
        <f>HYPERLINK("https%3A%2F%2Fwww.webofscience.com%2Fwos%2Fwoscc%2Ffull-record%2FWOS:000434707000007","View Full Record in Web of Science")</f>
        <v>View Full Record in Web of Science</v>
      </c>
    </row>
    <row r="910" spans="1:72" x14ac:dyDescent="0.15">
      <c r="A910" t="s">
        <v>72</v>
      </c>
      <c r="B910" t="s">
        <v>17251</v>
      </c>
      <c r="C910" t="s">
        <v>74</v>
      </c>
      <c r="D910" t="s">
        <v>74</v>
      </c>
      <c r="E910" t="s">
        <v>74</v>
      </c>
      <c r="F910" t="s">
        <v>17252</v>
      </c>
      <c r="G910" t="s">
        <v>74</v>
      </c>
      <c r="H910" t="s">
        <v>74</v>
      </c>
      <c r="I910" t="s">
        <v>17253</v>
      </c>
      <c r="J910" t="s">
        <v>3588</v>
      </c>
      <c r="K910" t="s">
        <v>74</v>
      </c>
      <c r="L910" t="s">
        <v>74</v>
      </c>
      <c r="M910" t="s">
        <v>78</v>
      </c>
      <c r="N910" t="s">
        <v>79</v>
      </c>
      <c r="O910" t="s">
        <v>74</v>
      </c>
      <c r="P910" t="s">
        <v>74</v>
      </c>
      <c r="Q910" t="s">
        <v>74</v>
      </c>
      <c r="R910" t="s">
        <v>74</v>
      </c>
      <c r="S910" t="s">
        <v>74</v>
      </c>
      <c r="T910" t="s">
        <v>74</v>
      </c>
      <c r="U910" t="s">
        <v>17254</v>
      </c>
      <c r="V910" t="s">
        <v>17255</v>
      </c>
      <c r="W910" t="s">
        <v>17256</v>
      </c>
      <c r="X910" t="s">
        <v>17257</v>
      </c>
      <c r="Y910" t="s">
        <v>17258</v>
      </c>
      <c r="Z910" t="s">
        <v>17259</v>
      </c>
      <c r="AA910" t="s">
        <v>17260</v>
      </c>
      <c r="AB910" t="s">
        <v>17261</v>
      </c>
      <c r="AC910" t="s">
        <v>17262</v>
      </c>
      <c r="AD910" t="s">
        <v>17263</v>
      </c>
      <c r="AE910" t="s">
        <v>17264</v>
      </c>
      <c r="AF910" t="s">
        <v>74</v>
      </c>
      <c r="AG910">
        <v>40</v>
      </c>
      <c r="AH910">
        <v>37</v>
      </c>
      <c r="AI910">
        <v>40</v>
      </c>
      <c r="AJ910">
        <v>2</v>
      </c>
      <c r="AK910">
        <v>9</v>
      </c>
      <c r="AL910" t="s">
        <v>3599</v>
      </c>
      <c r="AM910" t="s">
        <v>3600</v>
      </c>
      <c r="AN910" t="s">
        <v>3601</v>
      </c>
      <c r="AO910" t="s">
        <v>3602</v>
      </c>
      <c r="AP910" t="s">
        <v>74</v>
      </c>
      <c r="AQ910" t="s">
        <v>74</v>
      </c>
      <c r="AR910" t="s">
        <v>3588</v>
      </c>
      <c r="AS910" t="s">
        <v>3603</v>
      </c>
      <c r="AT910" t="s">
        <v>17246</v>
      </c>
      <c r="AU910">
        <v>2018</v>
      </c>
      <c r="AV910">
        <v>13</v>
      </c>
      <c r="AW910">
        <v>6</v>
      </c>
      <c r="AX910" t="s">
        <v>74</v>
      </c>
      <c r="AY910" t="s">
        <v>74</v>
      </c>
      <c r="AZ910" t="s">
        <v>74</v>
      </c>
      <c r="BA910" t="s">
        <v>74</v>
      </c>
      <c r="BB910" t="s">
        <v>74</v>
      </c>
      <c r="BC910" t="s">
        <v>74</v>
      </c>
      <c r="BD910" t="s">
        <v>17265</v>
      </c>
      <c r="BE910" t="s">
        <v>17266</v>
      </c>
      <c r="BF910" t="str">
        <f>HYPERLINK("http://dx.doi.org/10.1371/journal.pone.0198311","http://dx.doi.org/10.1371/journal.pone.0198311")</f>
        <v>http://dx.doi.org/10.1371/journal.pone.0198311</v>
      </c>
      <c r="BG910" t="s">
        <v>74</v>
      </c>
      <c r="BH910" t="s">
        <v>74</v>
      </c>
      <c r="BI910">
        <v>20</v>
      </c>
      <c r="BJ910" t="s">
        <v>436</v>
      </c>
      <c r="BK910" t="s">
        <v>101</v>
      </c>
      <c r="BL910" t="s">
        <v>437</v>
      </c>
      <c r="BM910" t="s">
        <v>17267</v>
      </c>
      <c r="BN910">
        <v>29879149</v>
      </c>
      <c r="BO910" t="s">
        <v>17268</v>
      </c>
      <c r="BP910" t="s">
        <v>74</v>
      </c>
      <c r="BQ910" t="s">
        <v>74</v>
      </c>
      <c r="BR910" t="s">
        <v>104</v>
      </c>
      <c r="BS910" t="s">
        <v>17269</v>
      </c>
      <c r="BT910" t="str">
        <f>HYPERLINK("https%3A%2F%2Fwww.webofscience.com%2Fwos%2Fwoscc%2Ffull-record%2FWOS:000434384900030","View Full Record in Web of Science")</f>
        <v>View Full Record in Web of Science</v>
      </c>
    </row>
    <row r="911" spans="1:72" x14ac:dyDescent="0.15">
      <c r="A911" t="s">
        <v>72</v>
      </c>
      <c r="B911" t="s">
        <v>17270</v>
      </c>
      <c r="C911" t="s">
        <v>74</v>
      </c>
      <c r="D911" t="s">
        <v>74</v>
      </c>
      <c r="E911" t="s">
        <v>74</v>
      </c>
      <c r="F911" t="s">
        <v>17271</v>
      </c>
      <c r="G911" t="s">
        <v>74</v>
      </c>
      <c r="H911" t="s">
        <v>74</v>
      </c>
      <c r="I911" t="s">
        <v>17272</v>
      </c>
      <c r="J911" t="s">
        <v>16453</v>
      </c>
      <c r="K911" t="s">
        <v>74</v>
      </c>
      <c r="L911" t="s">
        <v>74</v>
      </c>
      <c r="M911" t="s">
        <v>78</v>
      </c>
      <c r="N911" t="s">
        <v>79</v>
      </c>
      <c r="O911" t="s">
        <v>74</v>
      </c>
      <c r="P911" t="s">
        <v>74</v>
      </c>
      <c r="Q911" t="s">
        <v>74</v>
      </c>
      <c r="R911" t="s">
        <v>74</v>
      </c>
      <c r="S911" t="s">
        <v>74</v>
      </c>
      <c r="T911" t="s">
        <v>17273</v>
      </c>
      <c r="U911" t="s">
        <v>17274</v>
      </c>
      <c r="V911" t="s">
        <v>17275</v>
      </c>
      <c r="W911" t="s">
        <v>17276</v>
      </c>
      <c r="X911" t="s">
        <v>17277</v>
      </c>
      <c r="Y911" t="s">
        <v>17278</v>
      </c>
      <c r="Z911" t="s">
        <v>17279</v>
      </c>
      <c r="AA911" t="s">
        <v>17280</v>
      </c>
      <c r="AB911" t="s">
        <v>17281</v>
      </c>
      <c r="AC911" t="s">
        <v>17282</v>
      </c>
      <c r="AD911" t="s">
        <v>17283</v>
      </c>
      <c r="AE911" t="s">
        <v>17284</v>
      </c>
      <c r="AF911" t="s">
        <v>74</v>
      </c>
      <c r="AG911">
        <v>55</v>
      </c>
      <c r="AH911">
        <v>33</v>
      </c>
      <c r="AI911">
        <v>34</v>
      </c>
      <c r="AJ911">
        <v>3</v>
      </c>
      <c r="AK911">
        <v>61</v>
      </c>
      <c r="AL911" t="s">
        <v>92</v>
      </c>
      <c r="AM911" t="s">
        <v>93</v>
      </c>
      <c r="AN911" t="s">
        <v>94</v>
      </c>
      <c r="AO911" t="s">
        <v>16466</v>
      </c>
      <c r="AP911" t="s">
        <v>74</v>
      </c>
      <c r="AQ911" t="s">
        <v>74</v>
      </c>
      <c r="AR911" t="s">
        <v>16467</v>
      </c>
      <c r="AS911" t="s">
        <v>16468</v>
      </c>
      <c r="AT911" t="s">
        <v>17285</v>
      </c>
      <c r="AU911">
        <v>2018</v>
      </c>
      <c r="AV911">
        <v>6</v>
      </c>
      <c r="AW911" t="s">
        <v>74</v>
      </c>
      <c r="AX911" t="s">
        <v>74</v>
      </c>
      <c r="AY911" t="s">
        <v>74</v>
      </c>
      <c r="AZ911" t="s">
        <v>74</v>
      </c>
      <c r="BA911" t="s">
        <v>74</v>
      </c>
      <c r="BB911" t="s">
        <v>74</v>
      </c>
      <c r="BC911" t="s">
        <v>74</v>
      </c>
      <c r="BD911" t="s">
        <v>17286</v>
      </c>
      <c r="BE911" t="s">
        <v>17287</v>
      </c>
      <c r="BF911" t="str">
        <f>HYPERLINK("http://dx.doi.org/10.1093/conphys/coy019","http://dx.doi.org/10.1093/conphys/coy019")</f>
        <v>http://dx.doi.org/10.1093/conphys/coy019</v>
      </c>
      <c r="BG911" t="s">
        <v>74</v>
      </c>
      <c r="BH911" t="s">
        <v>74</v>
      </c>
      <c r="BI911">
        <v>10</v>
      </c>
      <c r="BJ911" t="s">
        <v>16471</v>
      </c>
      <c r="BK911" t="s">
        <v>1140</v>
      </c>
      <c r="BL911" t="s">
        <v>16472</v>
      </c>
      <c r="BM911" t="s">
        <v>17288</v>
      </c>
      <c r="BN911">
        <v>29780593</v>
      </c>
      <c r="BO911" t="s">
        <v>439</v>
      </c>
      <c r="BP911" t="s">
        <v>74</v>
      </c>
      <c r="BQ911" t="s">
        <v>74</v>
      </c>
      <c r="BR911" t="s">
        <v>104</v>
      </c>
      <c r="BS911" t="s">
        <v>17289</v>
      </c>
      <c r="BT911" t="str">
        <f>HYPERLINK("https%3A%2F%2Fwww.webofscience.com%2Fwos%2Fwoscc%2Ffull-record%2FWOS:000435462600001","View Full Record in Web of Science")</f>
        <v>View Full Record in Web of Science</v>
      </c>
    </row>
    <row r="912" spans="1:72" x14ac:dyDescent="0.15">
      <c r="A912" t="s">
        <v>72</v>
      </c>
      <c r="B912" t="s">
        <v>17290</v>
      </c>
      <c r="C912" t="s">
        <v>74</v>
      </c>
      <c r="D912" t="s">
        <v>74</v>
      </c>
      <c r="E912" t="s">
        <v>74</v>
      </c>
      <c r="F912" t="s">
        <v>17291</v>
      </c>
      <c r="G912" t="s">
        <v>74</v>
      </c>
      <c r="H912" t="s">
        <v>74</v>
      </c>
      <c r="I912" t="s">
        <v>17292</v>
      </c>
      <c r="J912" t="s">
        <v>3588</v>
      </c>
      <c r="K912" t="s">
        <v>74</v>
      </c>
      <c r="L912" t="s">
        <v>74</v>
      </c>
      <c r="M912" t="s">
        <v>78</v>
      </c>
      <c r="N912" t="s">
        <v>79</v>
      </c>
      <c r="O912" t="s">
        <v>74</v>
      </c>
      <c r="P912" t="s">
        <v>74</v>
      </c>
      <c r="Q912" t="s">
        <v>74</v>
      </c>
      <c r="R912" t="s">
        <v>74</v>
      </c>
      <c r="S912" t="s">
        <v>74</v>
      </c>
      <c r="T912" t="s">
        <v>74</v>
      </c>
      <c r="U912" t="s">
        <v>17293</v>
      </c>
      <c r="V912" t="s">
        <v>17294</v>
      </c>
      <c r="W912" t="s">
        <v>17295</v>
      </c>
      <c r="X912" t="s">
        <v>17296</v>
      </c>
      <c r="Y912" t="s">
        <v>17297</v>
      </c>
      <c r="Z912" t="s">
        <v>17298</v>
      </c>
      <c r="AA912" t="s">
        <v>17299</v>
      </c>
      <c r="AB912" t="s">
        <v>17300</v>
      </c>
      <c r="AC912" t="s">
        <v>17301</v>
      </c>
      <c r="AD912" t="s">
        <v>17302</v>
      </c>
      <c r="AE912" t="s">
        <v>17303</v>
      </c>
      <c r="AF912" t="s">
        <v>74</v>
      </c>
      <c r="AG912">
        <v>132</v>
      </c>
      <c r="AH912">
        <v>17</v>
      </c>
      <c r="AI912">
        <v>19</v>
      </c>
      <c r="AJ912">
        <v>0</v>
      </c>
      <c r="AK912">
        <v>12</v>
      </c>
      <c r="AL912" t="s">
        <v>3599</v>
      </c>
      <c r="AM912" t="s">
        <v>3600</v>
      </c>
      <c r="AN912" t="s">
        <v>3601</v>
      </c>
      <c r="AO912" t="s">
        <v>3602</v>
      </c>
      <c r="AP912" t="s">
        <v>74</v>
      </c>
      <c r="AQ912" t="s">
        <v>74</v>
      </c>
      <c r="AR912" t="s">
        <v>3588</v>
      </c>
      <c r="AS912" t="s">
        <v>3603</v>
      </c>
      <c r="AT912" t="s">
        <v>17285</v>
      </c>
      <c r="AU912">
        <v>2018</v>
      </c>
      <c r="AV912">
        <v>13</v>
      </c>
      <c r="AW912">
        <v>6</v>
      </c>
      <c r="AX912" t="s">
        <v>74</v>
      </c>
      <c r="AY912" t="s">
        <v>74</v>
      </c>
      <c r="AZ912" t="s">
        <v>74</v>
      </c>
      <c r="BA912" t="s">
        <v>74</v>
      </c>
      <c r="BB912" t="s">
        <v>74</v>
      </c>
      <c r="BC912" t="s">
        <v>74</v>
      </c>
      <c r="BD912" t="s">
        <v>17304</v>
      </c>
      <c r="BE912" t="s">
        <v>17305</v>
      </c>
      <c r="BF912" t="str">
        <f>HYPERLINK("http://dx.doi.org/10.1371/journal.pone.0197611","http://dx.doi.org/10.1371/journal.pone.0197611")</f>
        <v>http://dx.doi.org/10.1371/journal.pone.0197611</v>
      </c>
      <c r="BG912" t="s">
        <v>74</v>
      </c>
      <c r="BH912" t="s">
        <v>74</v>
      </c>
      <c r="BI912">
        <v>22</v>
      </c>
      <c r="BJ912" t="s">
        <v>436</v>
      </c>
      <c r="BK912" t="s">
        <v>101</v>
      </c>
      <c r="BL912" t="s">
        <v>437</v>
      </c>
      <c r="BM912" t="s">
        <v>17306</v>
      </c>
      <c r="BN912">
        <v>29874287</v>
      </c>
      <c r="BO912" t="s">
        <v>1063</v>
      </c>
      <c r="BP912" t="s">
        <v>74</v>
      </c>
      <c r="BQ912" t="s">
        <v>74</v>
      </c>
      <c r="BR912" t="s">
        <v>104</v>
      </c>
      <c r="BS912" t="s">
        <v>17307</v>
      </c>
      <c r="BT912" t="str">
        <f>HYPERLINK("https%3A%2F%2Fwww.webofscience.com%2Fwos%2Fwoscc%2Ffull-record%2FWOS:000434369400030","View Full Record in Web of Science")</f>
        <v>View Full Record in Web of Science</v>
      </c>
    </row>
    <row r="913" spans="1:72" x14ac:dyDescent="0.15">
      <c r="A913" t="s">
        <v>72</v>
      </c>
      <c r="B913" t="s">
        <v>17308</v>
      </c>
      <c r="C913" t="s">
        <v>74</v>
      </c>
      <c r="D913" t="s">
        <v>74</v>
      </c>
      <c r="E913" t="s">
        <v>74</v>
      </c>
      <c r="F913" t="s">
        <v>17309</v>
      </c>
      <c r="G913" t="s">
        <v>74</v>
      </c>
      <c r="H913" t="s">
        <v>74</v>
      </c>
      <c r="I913" t="s">
        <v>17310</v>
      </c>
      <c r="J913" t="s">
        <v>3313</v>
      </c>
      <c r="K913" t="s">
        <v>74</v>
      </c>
      <c r="L913" t="s">
        <v>74</v>
      </c>
      <c r="M913" t="s">
        <v>78</v>
      </c>
      <c r="N913" t="s">
        <v>79</v>
      </c>
      <c r="O913" t="s">
        <v>74</v>
      </c>
      <c r="P913" t="s">
        <v>74</v>
      </c>
      <c r="Q913" t="s">
        <v>74</v>
      </c>
      <c r="R913" t="s">
        <v>74</v>
      </c>
      <c r="S913" t="s">
        <v>74</v>
      </c>
      <c r="T913" t="s">
        <v>17311</v>
      </c>
      <c r="U913" t="s">
        <v>17312</v>
      </c>
      <c r="V913" t="s">
        <v>17313</v>
      </c>
      <c r="W913" t="s">
        <v>17314</v>
      </c>
      <c r="X913" t="s">
        <v>5291</v>
      </c>
      <c r="Y913" t="s">
        <v>17315</v>
      </c>
      <c r="Z913" t="s">
        <v>17316</v>
      </c>
      <c r="AA913" t="s">
        <v>74</v>
      </c>
      <c r="AB913" t="s">
        <v>17317</v>
      </c>
      <c r="AC913" t="s">
        <v>74</v>
      </c>
      <c r="AD913" t="s">
        <v>74</v>
      </c>
      <c r="AE913" t="s">
        <v>74</v>
      </c>
      <c r="AF913" t="s">
        <v>74</v>
      </c>
      <c r="AG913">
        <v>58</v>
      </c>
      <c r="AH913">
        <v>1</v>
      </c>
      <c r="AI913">
        <v>1</v>
      </c>
      <c r="AJ913">
        <v>0</v>
      </c>
      <c r="AK913">
        <v>3</v>
      </c>
      <c r="AL913" t="s">
        <v>3326</v>
      </c>
      <c r="AM913" t="s">
        <v>3327</v>
      </c>
      <c r="AN913" t="s">
        <v>3328</v>
      </c>
      <c r="AO913" t="s">
        <v>3329</v>
      </c>
      <c r="AP913" t="s">
        <v>3330</v>
      </c>
      <c r="AQ913" t="s">
        <v>74</v>
      </c>
      <c r="AR913" t="s">
        <v>3331</v>
      </c>
      <c r="AS913" t="s">
        <v>3332</v>
      </c>
      <c r="AT913" t="s">
        <v>17285</v>
      </c>
      <c r="AU913">
        <v>2018</v>
      </c>
      <c r="AV913">
        <v>37</v>
      </c>
      <c r="AW913" t="s">
        <v>74</v>
      </c>
      <c r="AX913" t="s">
        <v>74</v>
      </c>
      <c r="AY913" t="s">
        <v>74</v>
      </c>
      <c r="AZ913" t="s">
        <v>74</v>
      </c>
      <c r="BA913" t="s">
        <v>74</v>
      </c>
      <c r="BB913" t="s">
        <v>74</v>
      </c>
      <c r="BC913" t="s">
        <v>74</v>
      </c>
      <c r="BD913">
        <v>1474695</v>
      </c>
      <c r="BE913" t="s">
        <v>17318</v>
      </c>
      <c r="BF913" t="str">
        <f>HYPERLINK("http://dx.doi.org/10.1080/17518369.2018.1474695","http://dx.doi.org/10.1080/17518369.2018.1474695")</f>
        <v>http://dx.doi.org/10.1080/17518369.2018.1474695</v>
      </c>
      <c r="BG913" t="s">
        <v>74</v>
      </c>
      <c r="BH913" t="s">
        <v>74</v>
      </c>
      <c r="BI913">
        <v>7</v>
      </c>
      <c r="BJ913" t="s">
        <v>3334</v>
      </c>
      <c r="BK913" t="s">
        <v>101</v>
      </c>
      <c r="BL913" t="s">
        <v>3335</v>
      </c>
      <c r="BM913" t="s">
        <v>17319</v>
      </c>
      <c r="BN913" t="s">
        <v>74</v>
      </c>
      <c r="BO913" t="s">
        <v>439</v>
      </c>
      <c r="BP913" t="s">
        <v>74</v>
      </c>
      <c r="BQ913" t="s">
        <v>74</v>
      </c>
      <c r="BR913" t="s">
        <v>104</v>
      </c>
      <c r="BS913" t="s">
        <v>17320</v>
      </c>
      <c r="BT913" t="str">
        <f>HYPERLINK("https%3A%2F%2Fwww.webofscience.com%2Fwos%2Fwoscc%2Ffull-record%2FWOS:000434268400001","View Full Record in Web of Science")</f>
        <v>View Full Record in Web of Science</v>
      </c>
    </row>
    <row r="914" spans="1:72" x14ac:dyDescent="0.15">
      <c r="A914" t="s">
        <v>72</v>
      </c>
      <c r="B914" t="s">
        <v>17321</v>
      </c>
      <c r="C914" t="s">
        <v>74</v>
      </c>
      <c r="D914" t="s">
        <v>74</v>
      </c>
      <c r="E914" t="s">
        <v>74</v>
      </c>
      <c r="F914" t="s">
        <v>17322</v>
      </c>
      <c r="G914" t="s">
        <v>74</v>
      </c>
      <c r="H914" t="s">
        <v>74</v>
      </c>
      <c r="I914" t="s">
        <v>17323</v>
      </c>
      <c r="J914" t="s">
        <v>3161</v>
      </c>
      <c r="K914" t="s">
        <v>74</v>
      </c>
      <c r="L914" t="s">
        <v>74</v>
      </c>
      <c r="M914" t="s">
        <v>78</v>
      </c>
      <c r="N914" t="s">
        <v>79</v>
      </c>
      <c r="O914" t="s">
        <v>74</v>
      </c>
      <c r="P914" t="s">
        <v>74</v>
      </c>
      <c r="Q914" t="s">
        <v>74</v>
      </c>
      <c r="R914" t="s">
        <v>74</v>
      </c>
      <c r="S914" t="s">
        <v>74</v>
      </c>
      <c r="T914" t="s">
        <v>17324</v>
      </c>
      <c r="U914" t="s">
        <v>17325</v>
      </c>
      <c r="V914" t="s">
        <v>17326</v>
      </c>
      <c r="W914" t="s">
        <v>17327</v>
      </c>
      <c r="X914" t="s">
        <v>17328</v>
      </c>
      <c r="Y914" t="s">
        <v>17329</v>
      </c>
      <c r="Z914" t="s">
        <v>17330</v>
      </c>
      <c r="AA914" t="s">
        <v>17331</v>
      </c>
      <c r="AB914" t="s">
        <v>17332</v>
      </c>
      <c r="AC914" t="s">
        <v>17333</v>
      </c>
      <c r="AD914" t="s">
        <v>17334</v>
      </c>
      <c r="AE914" t="s">
        <v>17335</v>
      </c>
      <c r="AF914" t="s">
        <v>74</v>
      </c>
      <c r="AG914">
        <v>52</v>
      </c>
      <c r="AH914">
        <v>28</v>
      </c>
      <c r="AI914">
        <v>29</v>
      </c>
      <c r="AJ914">
        <v>1</v>
      </c>
      <c r="AK914">
        <v>3</v>
      </c>
      <c r="AL914" t="s">
        <v>3174</v>
      </c>
      <c r="AM914" t="s">
        <v>3175</v>
      </c>
      <c r="AN914" t="s">
        <v>3176</v>
      </c>
      <c r="AO914" t="s">
        <v>3177</v>
      </c>
      <c r="AP914" t="s">
        <v>74</v>
      </c>
      <c r="AQ914" t="s">
        <v>74</v>
      </c>
      <c r="AR914" t="s">
        <v>3178</v>
      </c>
      <c r="AS914" t="s">
        <v>3179</v>
      </c>
      <c r="AT914" t="s">
        <v>17336</v>
      </c>
      <c r="AU914">
        <v>2018</v>
      </c>
      <c r="AV914">
        <v>6</v>
      </c>
      <c r="AW914" t="s">
        <v>74</v>
      </c>
      <c r="AX914" t="s">
        <v>74</v>
      </c>
      <c r="AY914" t="s">
        <v>74</v>
      </c>
      <c r="AZ914" t="s">
        <v>74</v>
      </c>
      <c r="BA914" t="s">
        <v>74</v>
      </c>
      <c r="BB914" t="s">
        <v>74</v>
      </c>
      <c r="BC914" t="s">
        <v>74</v>
      </c>
      <c r="BD914">
        <v>77</v>
      </c>
      <c r="BE914" t="s">
        <v>17337</v>
      </c>
      <c r="BF914" t="str">
        <f>HYPERLINK("http://dx.doi.org/10.3389/fevo.2018.00077","http://dx.doi.org/10.3389/fevo.2018.00077")</f>
        <v>http://dx.doi.org/10.3389/fevo.2018.00077</v>
      </c>
      <c r="BG914" t="s">
        <v>74</v>
      </c>
      <c r="BH914" t="s">
        <v>74</v>
      </c>
      <c r="BI914">
        <v>11</v>
      </c>
      <c r="BJ914" t="s">
        <v>2087</v>
      </c>
      <c r="BK914" t="s">
        <v>101</v>
      </c>
      <c r="BL914" t="s">
        <v>559</v>
      </c>
      <c r="BM914" t="s">
        <v>17338</v>
      </c>
      <c r="BN914" t="s">
        <v>74</v>
      </c>
      <c r="BO914" t="s">
        <v>103</v>
      </c>
      <c r="BP914" t="s">
        <v>74</v>
      </c>
      <c r="BQ914" t="s">
        <v>74</v>
      </c>
      <c r="BR914" t="s">
        <v>104</v>
      </c>
      <c r="BS914" t="s">
        <v>17339</v>
      </c>
      <c r="BT914" t="str">
        <f>HYPERLINK("https%3A%2F%2Fwww.webofscience.com%2Fwos%2Fwoscc%2Ffull-record%2FWOS:000451662800001","View Full Record in Web of Science")</f>
        <v>View Full Record in Web of Science</v>
      </c>
    </row>
    <row r="915" spans="1:72" x14ac:dyDescent="0.15">
      <c r="A915" t="s">
        <v>72</v>
      </c>
      <c r="B915" t="s">
        <v>17340</v>
      </c>
      <c r="C915" t="s">
        <v>74</v>
      </c>
      <c r="D915" t="s">
        <v>74</v>
      </c>
      <c r="E915" t="s">
        <v>74</v>
      </c>
      <c r="F915" t="s">
        <v>17341</v>
      </c>
      <c r="G915" t="s">
        <v>74</v>
      </c>
      <c r="H915" t="s">
        <v>74</v>
      </c>
      <c r="I915" t="s">
        <v>17342</v>
      </c>
      <c r="J915" t="s">
        <v>3588</v>
      </c>
      <c r="K915" t="s">
        <v>74</v>
      </c>
      <c r="L915" t="s">
        <v>74</v>
      </c>
      <c r="M915" t="s">
        <v>78</v>
      </c>
      <c r="N915" t="s">
        <v>79</v>
      </c>
      <c r="O915" t="s">
        <v>74</v>
      </c>
      <c r="P915" t="s">
        <v>74</v>
      </c>
      <c r="Q915" t="s">
        <v>74</v>
      </c>
      <c r="R915" t="s">
        <v>74</v>
      </c>
      <c r="S915" t="s">
        <v>74</v>
      </c>
      <c r="T915" t="s">
        <v>74</v>
      </c>
      <c r="U915" t="s">
        <v>17343</v>
      </c>
      <c r="V915" t="s">
        <v>17344</v>
      </c>
      <c r="W915" t="s">
        <v>17345</v>
      </c>
      <c r="X915" t="s">
        <v>1468</v>
      </c>
      <c r="Y915" t="s">
        <v>17346</v>
      </c>
      <c r="Z915" t="s">
        <v>17347</v>
      </c>
      <c r="AA915" t="s">
        <v>17348</v>
      </c>
      <c r="AB915" t="s">
        <v>17349</v>
      </c>
      <c r="AC915" t="s">
        <v>17350</v>
      </c>
      <c r="AD915" t="s">
        <v>17351</v>
      </c>
      <c r="AE915" t="s">
        <v>17352</v>
      </c>
      <c r="AF915" t="s">
        <v>74</v>
      </c>
      <c r="AG915">
        <v>48</v>
      </c>
      <c r="AH915">
        <v>13</v>
      </c>
      <c r="AI915">
        <v>14</v>
      </c>
      <c r="AJ915">
        <v>5</v>
      </c>
      <c r="AK915">
        <v>153</v>
      </c>
      <c r="AL915" t="s">
        <v>3599</v>
      </c>
      <c r="AM915" t="s">
        <v>3600</v>
      </c>
      <c r="AN915" t="s">
        <v>3601</v>
      </c>
      <c r="AO915" t="s">
        <v>3602</v>
      </c>
      <c r="AP915" t="s">
        <v>74</v>
      </c>
      <c r="AQ915" t="s">
        <v>74</v>
      </c>
      <c r="AR915" t="s">
        <v>3588</v>
      </c>
      <c r="AS915" t="s">
        <v>3603</v>
      </c>
      <c r="AT915" t="s">
        <v>17336</v>
      </c>
      <c r="AU915">
        <v>2018</v>
      </c>
      <c r="AV915">
        <v>13</v>
      </c>
      <c r="AW915">
        <v>6</v>
      </c>
      <c r="AX915" t="s">
        <v>74</v>
      </c>
      <c r="AY915" t="s">
        <v>74</v>
      </c>
      <c r="AZ915" t="s">
        <v>74</v>
      </c>
      <c r="BA915" t="s">
        <v>74</v>
      </c>
      <c r="BB915" t="s">
        <v>74</v>
      </c>
      <c r="BC915" t="s">
        <v>74</v>
      </c>
      <c r="BD915" t="s">
        <v>17353</v>
      </c>
      <c r="BE915" t="s">
        <v>17354</v>
      </c>
      <c r="BF915" t="str">
        <f>HYPERLINK("http://dx.doi.org/10.1371/journal.pone.0197767","http://dx.doi.org/10.1371/journal.pone.0197767")</f>
        <v>http://dx.doi.org/10.1371/journal.pone.0197767</v>
      </c>
      <c r="BG915" t="s">
        <v>74</v>
      </c>
      <c r="BH915" t="s">
        <v>74</v>
      </c>
      <c r="BI915">
        <v>18</v>
      </c>
      <c r="BJ915" t="s">
        <v>436</v>
      </c>
      <c r="BK915" t="s">
        <v>101</v>
      </c>
      <c r="BL915" t="s">
        <v>437</v>
      </c>
      <c r="BM915" t="s">
        <v>17355</v>
      </c>
      <c r="BN915">
        <v>29870541</v>
      </c>
      <c r="BO915" t="s">
        <v>1278</v>
      </c>
      <c r="BP915" t="s">
        <v>74</v>
      </c>
      <c r="BQ915" t="s">
        <v>74</v>
      </c>
      <c r="BR915" t="s">
        <v>104</v>
      </c>
      <c r="BS915" t="s">
        <v>17356</v>
      </c>
      <c r="BT915" t="str">
        <f>HYPERLINK("https%3A%2F%2Fwww.webofscience.com%2Fwos%2Fwoscc%2Ffull-record%2FWOS:000434128400007","View Full Record in Web of Science")</f>
        <v>View Full Record in Web of Science</v>
      </c>
    </row>
    <row r="916" spans="1:72" x14ac:dyDescent="0.15">
      <c r="A916" t="s">
        <v>72</v>
      </c>
      <c r="B916" t="s">
        <v>17357</v>
      </c>
      <c r="C916" t="s">
        <v>74</v>
      </c>
      <c r="D916" t="s">
        <v>74</v>
      </c>
      <c r="E916" t="s">
        <v>74</v>
      </c>
      <c r="F916" t="s">
        <v>17358</v>
      </c>
      <c r="G916" t="s">
        <v>74</v>
      </c>
      <c r="H916" t="s">
        <v>74</v>
      </c>
      <c r="I916" t="s">
        <v>17359</v>
      </c>
      <c r="J916" t="s">
        <v>7950</v>
      </c>
      <c r="K916" t="s">
        <v>74</v>
      </c>
      <c r="L916" t="s">
        <v>74</v>
      </c>
      <c r="M916" t="s">
        <v>78</v>
      </c>
      <c r="N916" t="s">
        <v>79</v>
      </c>
      <c r="O916" t="s">
        <v>74</v>
      </c>
      <c r="P916" t="s">
        <v>74</v>
      </c>
      <c r="Q916" t="s">
        <v>74</v>
      </c>
      <c r="R916" t="s">
        <v>74</v>
      </c>
      <c r="S916" t="s">
        <v>74</v>
      </c>
      <c r="T916" t="s">
        <v>17360</v>
      </c>
      <c r="U916" t="s">
        <v>17361</v>
      </c>
      <c r="V916" t="s">
        <v>17362</v>
      </c>
      <c r="W916" t="s">
        <v>17363</v>
      </c>
      <c r="X916" t="s">
        <v>17364</v>
      </c>
      <c r="Y916" t="s">
        <v>17365</v>
      </c>
      <c r="Z916" t="s">
        <v>17366</v>
      </c>
      <c r="AA916" t="s">
        <v>17367</v>
      </c>
      <c r="AB916" t="s">
        <v>17368</v>
      </c>
      <c r="AC916" t="s">
        <v>17369</v>
      </c>
      <c r="AD916" t="s">
        <v>17370</v>
      </c>
      <c r="AE916" t="s">
        <v>17371</v>
      </c>
      <c r="AF916" t="s">
        <v>74</v>
      </c>
      <c r="AG916">
        <v>101</v>
      </c>
      <c r="AH916">
        <v>13</v>
      </c>
      <c r="AI916">
        <v>13</v>
      </c>
      <c r="AJ916">
        <v>3</v>
      </c>
      <c r="AK916">
        <v>18</v>
      </c>
      <c r="AL916" t="s">
        <v>285</v>
      </c>
      <c r="AM916" t="s">
        <v>286</v>
      </c>
      <c r="AN916" t="s">
        <v>287</v>
      </c>
      <c r="AO916" t="s">
        <v>7963</v>
      </c>
      <c r="AP916" t="s">
        <v>7964</v>
      </c>
      <c r="AQ916" t="s">
        <v>74</v>
      </c>
      <c r="AR916" t="s">
        <v>7965</v>
      </c>
      <c r="AS916" t="s">
        <v>7966</v>
      </c>
      <c r="AT916" t="s">
        <v>17336</v>
      </c>
      <c r="AU916">
        <v>2018</v>
      </c>
      <c r="AV916">
        <v>488</v>
      </c>
      <c r="AW916" t="s">
        <v>74</v>
      </c>
      <c r="AX916" t="s">
        <v>74</v>
      </c>
      <c r="AY916" t="s">
        <v>74</v>
      </c>
      <c r="AZ916" t="s">
        <v>74</v>
      </c>
      <c r="BA916" t="s">
        <v>74</v>
      </c>
      <c r="BB916">
        <v>149</v>
      </c>
      <c r="BC916">
        <v>161</v>
      </c>
      <c r="BD916" t="s">
        <v>74</v>
      </c>
      <c r="BE916" t="s">
        <v>17372</v>
      </c>
      <c r="BF916" t="str">
        <f>HYPERLINK("http://dx.doi.org/10.1016/j.chemgeo.2018.04.027","http://dx.doi.org/10.1016/j.chemgeo.2018.04.027")</f>
        <v>http://dx.doi.org/10.1016/j.chemgeo.2018.04.027</v>
      </c>
      <c r="BG916" t="s">
        <v>74</v>
      </c>
      <c r="BH916" t="s">
        <v>74</v>
      </c>
      <c r="BI916">
        <v>13</v>
      </c>
      <c r="BJ916" t="s">
        <v>484</v>
      </c>
      <c r="BK916" t="s">
        <v>101</v>
      </c>
      <c r="BL916" t="s">
        <v>484</v>
      </c>
      <c r="BM916" t="s">
        <v>17373</v>
      </c>
      <c r="BN916" t="s">
        <v>74</v>
      </c>
      <c r="BO916" t="s">
        <v>740</v>
      </c>
      <c r="BP916" t="s">
        <v>74</v>
      </c>
      <c r="BQ916" t="s">
        <v>74</v>
      </c>
      <c r="BR916" t="s">
        <v>104</v>
      </c>
      <c r="BS916" t="s">
        <v>17374</v>
      </c>
      <c r="BT916" t="str">
        <f>HYPERLINK("https%3A%2F%2Fwww.webofscience.com%2Fwos%2Fwoscc%2Ffull-record%2FWOS:000432528200012","View Full Record in Web of Science")</f>
        <v>View Full Record in Web of Science</v>
      </c>
    </row>
    <row r="917" spans="1:72" x14ac:dyDescent="0.15">
      <c r="A917" t="s">
        <v>72</v>
      </c>
      <c r="B917" t="s">
        <v>17375</v>
      </c>
      <c r="C917" t="s">
        <v>74</v>
      </c>
      <c r="D917" t="s">
        <v>74</v>
      </c>
      <c r="E917" t="s">
        <v>74</v>
      </c>
      <c r="F917" t="s">
        <v>17376</v>
      </c>
      <c r="G917" t="s">
        <v>74</v>
      </c>
      <c r="H917" t="s">
        <v>74</v>
      </c>
      <c r="I917" t="s">
        <v>17377</v>
      </c>
      <c r="J917" t="s">
        <v>17378</v>
      </c>
      <c r="K917" t="s">
        <v>74</v>
      </c>
      <c r="L917" t="s">
        <v>74</v>
      </c>
      <c r="M917" t="s">
        <v>78</v>
      </c>
      <c r="N917" t="s">
        <v>79</v>
      </c>
      <c r="O917" t="s">
        <v>74</v>
      </c>
      <c r="P917" t="s">
        <v>74</v>
      </c>
      <c r="Q917" t="s">
        <v>74</v>
      </c>
      <c r="R917" t="s">
        <v>74</v>
      </c>
      <c r="S917" t="s">
        <v>74</v>
      </c>
      <c r="T917" t="s">
        <v>17379</v>
      </c>
      <c r="U917" t="s">
        <v>17380</v>
      </c>
      <c r="V917" t="s">
        <v>17381</v>
      </c>
      <c r="W917" t="s">
        <v>17382</v>
      </c>
      <c r="X917" t="s">
        <v>17383</v>
      </c>
      <c r="Y917" t="s">
        <v>17384</v>
      </c>
      <c r="Z917" t="s">
        <v>17385</v>
      </c>
      <c r="AA917" t="s">
        <v>17386</v>
      </c>
      <c r="AB917" t="s">
        <v>17387</v>
      </c>
      <c r="AC917" t="s">
        <v>17388</v>
      </c>
      <c r="AD917" t="s">
        <v>17389</v>
      </c>
      <c r="AE917" t="s">
        <v>17390</v>
      </c>
      <c r="AF917" t="s">
        <v>74</v>
      </c>
      <c r="AG917">
        <v>78</v>
      </c>
      <c r="AH917">
        <v>18</v>
      </c>
      <c r="AI917">
        <v>20</v>
      </c>
      <c r="AJ917">
        <v>3</v>
      </c>
      <c r="AK917">
        <v>66</v>
      </c>
      <c r="AL917" t="s">
        <v>9162</v>
      </c>
      <c r="AM917" t="s">
        <v>9163</v>
      </c>
      <c r="AN917" t="s">
        <v>9164</v>
      </c>
      <c r="AO917" t="s">
        <v>17391</v>
      </c>
      <c r="AP917" t="s">
        <v>17392</v>
      </c>
      <c r="AQ917" t="s">
        <v>74</v>
      </c>
      <c r="AR917" t="s">
        <v>17393</v>
      </c>
      <c r="AS917" t="s">
        <v>17394</v>
      </c>
      <c r="AT917" t="s">
        <v>17395</v>
      </c>
      <c r="AU917">
        <v>2018</v>
      </c>
      <c r="AV917">
        <v>24</v>
      </c>
      <c r="AW917">
        <v>31</v>
      </c>
      <c r="AX917" t="s">
        <v>74</v>
      </c>
      <c r="AY917" t="s">
        <v>74</v>
      </c>
      <c r="AZ917" t="s">
        <v>74</v>
      </c>
      <c r="BA917" t="s">
        <v>74</v>
      </c>
      <c r="BB917">
        <v>7834</v>
      </c>
      <c r="BC917">
        <v>7839</v>
      </c>
      <c r="BD917" t="s">
        <v>74</v>
      </c>
      <c r="BE917" t="s">
        <v>17396</v>
      </c>
      <c r="BF917" t="str">
        <f>HYPERLINK("http://dx.doi.org/10.1002/chem.201800857","http://dx.doi.org/10.1002/chem.201800857")</f>
        <v>http://dx.doi.org/10.1002/chem.201800857</v>
      </c>
      <c r="BG917" t="s">
        <v>74</v>
      </c>
      <c r="BH917" t="s">
        <v>74</v>
      </c>
      <c r="BI917">
        <v>6</v>
      </c>
      <c r="BJ917" t="s">
        <v>17397</v>
      </c>
      <c r="BK917" t="s">
        <v>4447</v>
      </c>
      <c r="BL917" t="s">
        <v>2879</v>
      </c>
      <c r="BM917" t="s">
        <v>17398</v>
      </c>
      <c r="BN917">
        <v>29644728</v>
      </c>
      <c r="BO917" t="s">
        <v>1142</v>
      </c>
      <c r="BP917" t="s">
        <v>74</v>
      </c>
      <c r="BQ917" t="s">
        <v>74</v>
      </c>
      <c r="BR917" t="s">
        <v>104</v>
      </c>
      <c r="BS917" t="s">
        <v>17399</v>
      </c>
      <c r="BT917" t="str">
        <f>HYPERLINK("https%3A%2F%2Fwww.webofscience.com%2Fwos%2Fwoscc%2Ffull-record%2FWOS:000434216600006","View Full Record in Web of Science")</f>
        <v>View Full Record in Web of Science</v>
      </c>
    </row>
    <row r="918" spans="1:72" x14ac:dyDescent="0.15">
      <c r="A918" t="s">
        <v>72</v>
      </c>
      <c r="B918" t="s">
        <v>17400</v>
      </c>
      <c r="C918" t="s">
        <v>74</v>
      </c>
      <c r="D918" t="s">
        <v>74</v>
      </c>
      <c r="E918" t="s">
        <v>74</v>
      </c>
      <c r="F918" t="s">
        <v>17401</v>
      </c>
      <c r="G918" t="s">
        <v>74</v>
      </c>
      <c r="H918" t="s">
        <v>74</v>
      </c>
      <c r="I918" t="s">
        <v>17402</v>
      </c>
      <c r="J918" t="s">
        <v>17403</v>
      </c>
      <c r="K918" t="s">
        <v>74</v>
      </c>
      <c r="L918" t="s">
        <v>74</v>
      </c>
      <c r="M918" t="s">
        <v>78</v>
      </c>
      <c r="N918" t="s">
        <v>79</v>
      </c>
      <c r="O918" t="s">
        <v>74</v>
      </c>
      <c r="P918" t="s">
        <v>74</v>
      </c>
      <c r="Q918" t="s">
        <v>74</v>
      </c>
      <c r="R918" t="s">
        <v>74</v>
      </c>
      <c r="S918" t="s">
        <v>74</v>
      </c>
      <c r="T918" t="s">
        <v>74</v>
      </c>
      <c r="U918" t="s">
        <v>17404</v>
      </c>
      <c r="V918" t="s">
        <v>17405</v>
      </c>
      <c r="W918" t="s">
        <v>17406</v>
      </c>
      <c r="X918" t="s">
        <v>17407</v>
      </c>
      <c r="Y918" t="s">
        <v>17408</v>
      </c>
      <c r="Z918" t="s">
        <v>17409</v>
      </c>
      <c r="AA918" t="s">
        <v>17410</v>
      </c>
      <c r="AB918" t="s">
        <v>17411</v>
      </c>
      <c r="AC918" t="s">
        <v>17412</v>
      </c>
      <c r="AD918" t="s">
        <v>3898</v>
      </c>
      <c r="AE918" t="s">
        <v>17413</v>
      </c>
      <c r="AF918" t="s">
        <v>74</v>
      </c>
      <c r="AG918">
        <v>40</v>
      </c>
      <c r="AH918">
        <v>15</v>
      </c>
      <c r="AI918">
        <v>16</v>
      </c>
      <c r="AJ918">
        <v>2</v>
      </c>
      <c r="AK918">
        <v>45</v>
      </c>
      <c r="AL918" t="s">
        <v>17414</v>
      </c>
      <c r="AM918" t="s">
        <v>504</v>
      </c>
      <c r="AN918" t="s">
        <v>17415</v>
      </c>
      <c r="AO918" t="s">
        <v>17416</v>
      </c>
      <c r="AP918" t="s">
        <v>74</v>
      </c>
      <c r="AQ918" t="s">
        <v>74</v>
      </c>
      <c r="AR918" t="s">
        <v>17403</v>
      </c>
      <c r="AS918" t="s">
        <v>17417</v>
      </c>
      <c r="AT918" t="s">
        <v>17418</v>
      </c>
      <c r="AU918">
        <v>2018</v>
      </c>
      <c r="AV918">
        <v>3</v>
      </c>
      <c r="AW918">
        <v>6</v>
      </c>
      <c r="AX918" t="s">
        <v>74</v>
      </c>
      <c r="AY918" t="s">
        <v>74</v>
      </c>
      <c r="AZ918" t="s">
        <v>74</v>
      </c>
      <c r="BA918" t="s">
        <v>74</v>
      </c>
      <c r="BB918">
        <v>6595</v>
      </c>
      <c r="BC918">
        <v>6604</v>
      </c>
      <c r="BD918" t="s">
        <v>74</v>
      </c>
      <c r="BE918" t="s">
        <v>17419</v>
      </c>
      <c r="BF918" t="str">
        <f>HYPERLINK("http://dx.doi.org/10.1021/acsomega.8b00440","http://dx.doi.org/10.1021/acsomega.8b00440")</f>
        <v>http://dx.doi.org/10.1021/acsomega.8b00440</v>
      </c>
      <c r="BG918" t="s">
        <v>74</v>
      </c>
      <c r="BH918" t="s">
        <v>74</v>
      </c>
      <c r="BI918">
        <v>10</v>
      </c>
      <c r="BJ918" t="s">
        <v>17397</v>
      </c>
      <c r="BK918" t="s">
        <v>101</v>
      </c>
      <c r="BL918" t="s">
        <v>2879</v>
      </c>
      <c r="BM918" t="s">
        <v>17420</v>
      </c>
      <c r="BN918">
        <v>30023953</v>
      </c>
      <c r="BO918" t="s">
        <v>17421</v>
      </c>
      <c r="BP918" t="s">
        <v>74</v>
      </c>
      <c r="BQ918" t="s">
        <v>74</v>
      </c>
      <c r="BR918" t="s">
        <v>104</v>
      </c>
      <c r="BS918" t="s">
        <v>17422</v>
      </c>
      <c r="BT918" t="str">
        <f>HYPERLINK("https%3A%2F%2Fwww.webofscience.com%2Fwos%2Fwoscc%2Ffull-record%2FWOS:000436340500077","View Full Record in Web of Science")</f>
        <v>View Full Record in Web of Science</v>
      </c>
    </row>
    <row r="919" spans="1:72" x14ac:dyDescent="0.15">
      <c r="A919" t="s">
        <v>72</v>
      </c>
      <c r="B919" t="s">
        <v>17423</v>
      </c>
      <c r="C919" t="s">
        <v>74</v>
      </c>
      <c r="D919" t="s">
        <v>74</v>
      </c>
      <c r="E919" t="s">
        <v>74</v>
      </c>
      <c r="F919" t="s">
        <v>17424</v>
      </c>
      <c r="G919" t="s">
        <v>74</v>
      </c>
      <c r="H919" t="s">
        <v>74</v>
      </c>
      <c r="I919" t="s">
        <v>17425</v>
      </c>
      <c r="J919" t="s">
        <v>17426</v>
      </c>
      <c r="K919" t="s">
        <v>74</v>
      </c>
      <c r="L919" t="s">
        <v>74</v>
      </c>
      <c r="M919" t="s">
        <v>78</v>
      </c>
      <c r="N919" t="s">
        <v>79</v>
      </c>
      <c r="O919" t="s">
        <v>74</v>
      </c>
      <c r="P919" t="s">
        <v>74</v>
      </c>
      <c r="Q919" t="s">
        <v>74</v>
      </c>
      <c r="R919" t="s">
        <v>74</v>
      </c>
      <c r="S919" t="s">
        <v>74</v>
      </c>
      <c r="T919" t="s">
        <v>17427</v>
      </c>
      <c r="U919" t="s">
        <v>17428</v>
      </c>
      <c r="V919" t="s">
        <v>17429</v>
      </c>
      <c r="W919" t="s">
        <v>17430</v>
      </c>
      <c r="X919" t="s">
        <v>8351</v>
      </c>
      <c r="Y919" t="s">
        <v>17431</v>
      </c>
      <c r="Z919" t="s">
        <v>17432</v>
      </c>
      <c r="AA919" t="s">
        <v>17433</v>
      </c>
      <c r="AB919" t="s">
        <v>17434</v>
      </c>
      <c r="AC919" t="s">
        <v>17435</v>
      </c>
      <c r="AD919" t="s">
        <v>17436</v>
      </c>
      <c r="AE919" t="s">
        <v>17437</v>
      </c>
      <c r="AF919" t="s">
        <v>74</v>
      </c>
      <c r="AG919">
        <v>65</v>
      </c>
      <c r="AH919">
        <v>8</v>
      </c>
      <c r="AI919">
        <v>8</v>
      </c>
      <c r="AJ919">
        <v>0</v>
      </c>
      <c r="AK919">
        <v>19</v>
      </c>
      <c r="AL919" t="s">
        <v>2898</v>
      </c>
      <c r="AM919" t="s">
        <v>2899</v>
      </c>
      <c r="AN919" t="s">
        <v>2900</v>
      </c>
      <c r="AO919" t="s">
        <v>17438</v>
      </c>
      <c r="AP919" t="s">
        <v>17439</v>
      </c>
      <c r="AQ919" t="s">
        <v>74</v>
      </c>
      <c r="AR919" t="s">
        <v>17440</v>
      </c>
      <c r="AS919" t="s">
        <v>17441</v>
      </c>
      <c r="AT919" t="s">
        <v>17418</v>
      </c>
      <c r="AU919">
        <v>2018</v>
      </c>
      <c r="AV919">
        <v>234</v>
      </c>
      <c r="AW919">
        <v>3</v>
      </c>
      <c r="AX919" t="s">
        <v>74</v>
      </c>
      <c r="AY919" t="s">
        <v>74</v>
      </c>
      <c r="AZ919" t="s">
        <v>74</v>
      </c>
      <c r="BA919" t="s">
        <v>74</v>
      </c>
      <c r="BB919">
        <v>180</v>
      </c>
      <c r="BC919">
        <v>191</v>
      </c>
      <c r="BD919" t="s">
        <v>74</v>
      </c>
      <c r="BE919" t="s">
        <v>17442</v>
      </c>
      <c r="BF919" t="str">
        <f>HYPERLINK("http://dx.doi.org/10.1086/698691","http://dx.doi.org/10.1086/698691")</f>
        <v>http://dx.doi.org/10.1086/698691</v>
      </c>
      <c r="BG919" t="s">
        <v>74</v>
      </c>
      <c r="BH919" t="s">
        <v>74</v>
      </c>
      <c r="BI919">
        <v>12</v>
      </c>
      <c r="BJ919" t="s">
        <v>17443</v>
      </c>
      <c r="BK919" t="s">
        <v>101</v>
      </c>
      <c r="BL919" t="s">
        <v>17444</v>
      </c>
      <c r="BM919" t="s">
        <v>17445</v>
      </c>
      <c r="BN919">
        <v>29949435</v>
      </c>
      <c r="BO919" t="s">
        <v>74</v>
      </c>
      <c r="BP919" t="s">
        <v>74</v>
      </c>
      <c r="BQ919" t="s">
        <v>74</v>
      </c>
      <c r="BR919" t="s">
        <v>104</v>
      </c>
      <c r="BS919" t="s">
        <v>17446</v>
      </c>
      <c r="BT919" t="str">
        <f>HYPERLINK("https%3A%2F%2Fwww.webofscience.com%2Fwos%2Fwoscc%2Ffull-record%2FWOS:000436450600004","View Full Record in Web of Science")</f>
        <v>View Full Record in Web of Science</v>
      </c>
    </row>
    <row r="920" spans="1:72" x14ac:dyDescent="0.15">
      <c r="A920" t="s">
        <v>72</v>
      </c>
      <c r="B920" t="s">
        <v>17447</v>
      </c>
      <c r="C920" t="s">
        <v>74</v>
      </c>
      <c r="D920" t="s">
        <v>74</v>
      </c>
      <c r="E920" t="s">
        <v>74</v>
      </c>
      <c r="F920" t="s">
        <v>17448</v>
      </c>
      <c r="G920" t="s">
        <v>74</v>
      </c>
      <c r="H920" t="s">
        <v>74</v>
      </c>
      <c r="I920" t="s">
        <v>17449</v>
      </c>
      <c r="J920" t="s">
        <v>7251</v>
      </c>
      <c r="K920" t="s">
        <v>74</v>
      </c>
      <c r="L920" t="s">
        <v>74</v>
      </c>
      <c r="M920" t="s">
        <v>78</v>
      </c>
      <c r="N920" t="s">
        <v>79</v>
      </c>
      <c r="O920" t="s">
        <v>74</v>
      </c>
      <c r="P920" t="s">
        <v>74</v>
      </c>
      <c r="Q920" t="s">
        <v>74</v>
      </c>
      <c r="R920" t="s">
        <v>74</v>
      </c>
      <c r="S920" t="s">
        <v>74</v>
      </c>
      <c r="T920" t="s">
        <v>17450</v>
      </c>
      <c r="U920" t="s">
        <v>17451</v>
      </c>
      <c r="V920" t="s">
        <v>17452</v>
      </c>
      <c r="W920" t="s">
        <v>17453</v>
      </c>
      <c r="X920" t="s">
        <v>17454</v>
      </c>
      <c r="Y920" t="s">
        <v>17455</v>
      </c>
      <c r="Z920" t="s">
        <v>17456</v>
      </c>
      <c r="AA920" t="s">
        <v>17457</v>
      </c>
      <c r="AB920" t="s">
        <v>17458</v>
      </c>
      <c r="AC920" t="s">
        <v>17459</v>
      </c>
      <c r="AD920" t="s">
        <v>17460</v>
      </c>
      <c r="AE920" t="s">
        <v>17461</v>
      </c>
      <c r="AF920" t="s">
        <v>74</v>
      </c>
      <c r="AG920">
        <v>72</v>
      </c>
      <c r="AH920">
        <v>26</v>
      </c>
      <c r="AI920">
        <v>28</v>
      </c>
      <c r="AJ920">
        <v>2</v>
      </c>
      <c r="AK920">
        <v>57</v>
      </c>
      <c r="AL920" t="s">
        <v>337</v>
      </c>
      <c r="AM920" t="s">
        <v>912</v>
      </c>
      <c r="AN920" t="s">
        <v>913</v>
      </c>
      <c r="AO920" t="s">
        <v>7264</v>
      </c>
      <c r="AP920" t="s">
        <v>7265</v>
      </c>
      <c r="AQ920" t="s">
        <v>74</v>
      </c>
      <c r="AR920" t="s">
        <v>7266</v>
      </c>
      <c r="AS920" t="s">
        <v>7267</v>
      </c>
      <c r="AT920" t="s">
        <v>17418</v>
      </c>
      <c r="AU920">
        <v>2018</v>
      </c>
      <c r="AV920">
        <v>20</v>
      </c>
      <c r="AW920">
        <v>6</v>
      </c>
      <c r="AX920" t="s">
        <v>74</v>
      </c>
      <c r="AY920" t="s">
        <v>74</v>
      </c>
      <c r="AZ920" t="s">
        <v>74</v>
      </c>
      <c r="BA920" t="s">
        <v>74</v>
      </c>
      <c r="BB920">
        <v>1597</v>
      </c>
      <c r="BC920">
        <v>1610</v>
      </c>
      <c r="BD920" t="s">
        <v>74</v>
      </c>
      <c r="BE920" t="s">
        <v>17462</v>
      </c>
      <c r="BF920" t="str">
        <f>HYPERLINK("http://dx.doi.org/10.1007/s10530-017-1650-7","http://dx.doi.org/10.1007/s10530-017-1650-7")</f>
        <v>http://dx.doi.org/10.1007/s10530-017-1650-7</v>
      </c>
      <c r="BG920" t="s">
        <v>74</v>
      </c>
      <c r="BH920" t="s">
        <v>74</v>
      </c>
      <c r="BI920">
        <v>14</v>
      </c>
      <c r="BJ920" t="s">
        <v>1209</v>
      </c>
      <c r="BK920" t="s">
        <v>101</v>
      </c>
      <c r="BL920" t="s">
        <v>1210</v>
      </c>
      <c r="BM920" t="s">
        <v>17463</v>
      </c>
      <c r="BN920" t="s">
        <v>74</v>
      </c>
      <c r="BO920" t="s">
        <v>74</v>
      </c>
      <c r="BP920" t="s">
        <v>74</v>
      </c>
      <c r="BQ920" t="s">
        <v>74</v>
      </c>
      <c r="BR920" t="s">
        <v>104</v>
      </c>
      <c r="BS920" t="s">
        <v>17464</v>
      </c>
      <c r="BT920" t="str">
        <f>HYPERLINK("https%3A%2F%2Fwww.webofscience.com%2Fwos%2Fwoscc%2Ffull-record%2FWOS:000432717100018","View Full Record in Web of Science")</f>
        <v>View Full Record in Web of Science</v>
      </c>
    </row>
    <row r="921" spans="1:72" x14ac:dyDescent="0.15">
      <c r="A921" t="s">
        <v>72</v>
      </c>
      <c r="B921" t="s">
        <v>17465</v>
      </c>
      <c r="C921" t="s">
        <v>74</v>
      </c>
      <c r="D921" t="s">
        <v>74</v>
      </c>
      <c r="E921" t="s">
        <v>74</v>
      </c>
      <c r="F921" t="s">
        <v>17466</v>
      </c>
      <c r="G921" t="s">
        <v>74</v>
      </c>
      <c r="H921" t="s">
        <v>74</v>
      </c>
      <c r="I921" t="s">
        <v>17467</v>
      </c>
      <c r="J921" t="s">
        <v>17468</v>
      </c>
      <c r="K921" t="s">
        <v>74</v>
      </c>
      <c r="L921" t="s">
        <v>74</v>
      </c>
      <c r="M921" t="s">
        <v>78</v>
      </c>
      <c r="N921" t="s">
        <v>79</v>
      </c>
      <c r="O921" t="s">
        <v>74</v>
      </c>
      <c r="P921" t="s">
        <v>74</v>
      </c>
      <c r="Q921" t="s">
        <v>74</v>
      </c>
      <c r="R921" t="s">
        <v>74</v>
      </c>
      <c r="S921" t="s">
        <v>74</v>
      </c>
      <c r="T921" t="s">
        <v>74</v>
      </c>
      <c r="U921" t="s">
        <v>17469</v>
      </c>
      <c r="V921" t="s">
        <v>17470</v>
      </c>
      <c r="W921" t="s">
        <v>17471</v>
      </c>
      <c r="X921" t="s">
        <v>17472</v>
      </c>
      <c r="Y921" t="s">
        <v>17473</v>
      </c>
      <c r="Z921" t="s">
        <v>17474</v>
      </c>
      <c r="AA921" t="s">
        <v>17475</v>
      </c>
      <c r="AB921" t="s">
        <v>17476</v>
      </c>
      <c r="AC921" t="s">
        <v>74</v>
      </c>
      <c r="AD921" t="s">
        <v>74</v>
      </c>
      <c r="AE921" t="s">
        <v>74</v>
      </c>
      <c r="AF921" t="s">
        <v>74</v>
      </c>
      <c r="AG921">
        <v>60</v>
      </c>
      <c r="AH921">
        <v>35</v>
      </c>
      <c r="AI921">
        <v>41</v>
      </c>
      <c r="AJ921">
        <v>1</v>
      </c>
      <c r="AK921">
        <v>45</v>
      </c>
      <c r="AL921" t="s">
        <v>758</v>
      </c>
      <c r="AM921" t="s">
        <v>759</v>
      </c>
      <c r="AN921" t="s">
        <v>760</v>
      </c>
      <c r="AO921" t="s">
        <v>17477</v>
      </c>
      <c r="AP921" t="s">
        <v>17478</v>
      </c>
      <c r="AQ921" t="s">
        <v>74</v>
      </c>
      <c r="AR921" t="s">
        <v>17468</v>
      </c>
      <c r="AS921" t="s">
        <v>17479</v>
      </c>
      <c r="AT921" t="s">
        <v>17418</v>
      </c>
      <c r="AU921">
        <v>2018</v>
      </c>
      <c r="AV921">
        <v>41</v>
      </c>
      <c r="AW921">
        <v>6</v>
      </c>
      <c r="AX921" t="s">
        <v>74</v>
      </c>
      <c r="AY921" t="s">
        <v>74</v>
      </c>
      <c r="AZ921" t="s">
        <v>74</v>
      </c>
      <c r="BA921" t="s">
        <v>74</v>
      </c>
      <c r="BB921">
        <v>867</v>
      </c>
      <c r="BC921">
        <v>876</v>
      </c>
      <c r="BD921" t="s">
        <v>74</v>
      </c>
      <c r="BE921" t="s">
        <v>17480</v>
      </c>
      <c r="BF921" t="str">
        <f>HYPERLINK("http://dx.doi.org/10.1111/ecog.02957","http://dx.doi.org/10.1111/ecog.02957")</f>
        <v>http://dx.doi.org/10.1111/ecog.02957</v>
      </c>
      <c r="BG921" t="s">
        <v>74</v>
      </c>
      <c r="BH921" t="s">
        <v>74</v>
      </c>
      <c r="BI921">
        <v>10</v>
      </c>
      <c r="BJ921" t="s">
        <v>1209</v>
      </c>
      <c r="BK921" t="s">
        <v>101</v>
      </c>
      <c r="BL921" t="s">
        <v>1210</v>
      </c>
      <c r="BM921" t="s">
        <v>17481</v>
      </c>
      <c r="BN921" t="s">
        <v>74</v>
      </c>
      <c r="BO921" t="s">
        <v>835</v>
      </c>
      <c r="BP921" t="s">
        <v>74</v>
      </c>
      <c r="BQ921" t="s">
        <v>74</v>
      </c>
      <c r="BR921" t="s">
        <v>104</v>
      </c>
      <c r="BS921" t="s">
        <v>17482</v>
      </c>
      <c r="BT921" t="str">
        <f>HYPERLINK("https%3A%2F%2Fwww.webofscience.com%2Fwos%2Fwoscc%2Ffull-record%2FWOS:000434091800002","View Full Record in Web of Science")</f>
        <v>View Full Record in Web of Science</v>
      </c>
    </row>
    <row r="922" spans="1:72" x14ac:dyDescent="0.15">
      <c r="A922" t="s">
        <v>72</v>
      </c>
      <c r="B922" t="s">
        <v>17483</v>
      </c>
      <c r="C922" t="s">
        <v>74</v>
      </c>
      <c r="D922" t="s">
        <v>74</v>
      </c>
      <c r="E922" t="s">
        <v>74</v>
      </c>
      <c r="F922" t="s">
        <v>17484</v>
      </c>
      <c r="G922" t="s">
        <v>74</v>
      </c>
      <c r="H922" t="s">
        <v>74</v>
      </c>
      <c r="I922" t="s">
        <v>17485</v>
      </c>
      <c r="J922" t="s">
        <v>6436</v>
      </c>
      <c r="K922" t="s">
        <v>74</v>
      </c>
      <c r="L922" t="s">
        <v>74</v>
      </c>
      <c r="M922" t="s">
        <v>78</v>
      </c>
      <c r="N922" t="s">
        <v>79</v>
      </c>
      <c r="O922" t="s">
        <v>74</v>
      </c>
      <c r="P922" t="s">
        <v>74</v>
      </c>
      <c r="Q922" t="s">
        <v>74</v>
      </c>
      <c r="R922" t="s">
        <v>74</v>
      </c>
      <c r="S922" t="s">
        <v>74</v>
      </c>
      <c r="T922" t="s">
        <v>17486</v>
      </c>
      <c r="U922" t="s">
        <v>17487</v>
      </c>
      <c r="V922" t="s">
        <v>17488</v>
      </c>
      <c r="W922" t="s">
        <v>17489</v>
      </c>
      <c r="X922" t="s">
        <v>17490</v>
      </c>
      <c r="Y922" t="s">
        <v>17491</v>
      </c>
      <c r="Z922" t="s">
        <v>17492</v>
      </c>
      <c r="AA922" t="s">
        <v>17493</v>
      </c>
      <c r="AB922" t="s">
        <v>17494</v>
      </c>
      <c r="AC922" t="s">
        <v>17495</v>
      </c>
      <c r="AD922" t="s">
        <v>17496</v>
      </c>
      <c r="AE922" t="s">
        <v>17497</v>
      </c>
      <c r="AF922" t="s">
        <v>74</v>
      </c>
      <c r="AG922">
        <v>39</v>
      </c>
      <c r="AH922">
        <v>44</v>
      </c>
      <c r="AI922">
        <v>51</v>
      </c>
      <c r="AJ922">
        <v>1</v>
      </c>
      <c r="AK922">
        <v>34</v>
      </c>
      <c r="AL922" t="s">
        <v>758</v>
      </c>
      <c r="AM922" t="s">
        <v>759</v>
      </c>
      <c r="AN922" t="s">
        <v>760</v>
      </c>
      <c r="AO922" t="s">
        <v>6449</v>
      </c>
      <c r="AP922" t="s">
        <v>6450</v>
      </c>
      <c r="AQ922" t="s">
        <v>74</v>
      </c>
      <c r="AR922" t="s">
        <v>6451</v>
      </c>
      <c r="AS922" t="s">
        <v>6452</v>
      </c>
      <c r="AT922" t="s">
        <v>17418</v>
      </c>
      <c r="AU922">
        <v>2018</v>
      </c>
      <c r="AV922">
        <v>28</v>
      </c>
      <c r="AW922">
        <v>4</v>
      </c>
      <c r="AX922" t="s">
        <v>74</v>
      </c>
      <c r="AY922" t="s">
        <v>74</v>
      </c>
      <c r="AZ922" t="s">
        <v>74</v>
      </c>
      <c r="BA922" t="s">
        <v>74</v>
      </c>
      <c r="BB922">
        <v>1003</v>
      </c>
      <c r="BC922">
        <v>1010</v>
      </c>
      <c r="BD922" t="s">
        <v>74</v>
      </c>
      <c r="BE922" t="s">
        <v>17498</v>
      </c>
      <c r="BF922" t="str">
        <f>HYPERLINK("http://dx.doi.org/10.1002/eap.1704","http://dx.doi.org/10.1002/eap.1704")</f>
        <v>http://dx.doi.org/10.1002/eap.1704</v>
      </c>
      <c r="BG922" t="s">
        <v>74</v>
      </c>
      <c r="BH922" t="s">
        <v>74</v>
      </c>
      <c r="BI922">
        <v>8</v>
      </c>
      <c r="BJ922" t="s">
        <v>4619</v>
      </c>
      <c r="BK922" t="s">
        <v>101</v>
      </c>
      <c r="BL922" t="s">
        <v>559</v>
      </c>
      <c r="BM922" t="s">
        <v>17499</v>
      </c>
      <c r="BN922">
        <v>29450936</v>
      </c>
      <c r="BO922" t="s">
        <v>74</v>
      </c>
      <c r="BP922" t="s">
        <v>74</v>
      </c>
      <c r="BQ922" t="s">
        <v>74</v>
      </c>
      <c r="BR922" t="s">
        <v>104</v>
      </c>
      <c r="BS922" t="s">
        <v>17500</v>
      </c>
      <c r="BT922" t="str">
        <f>HYPERLINK("https%3A%2F%2Fwww.webofscience.com%2Fwos%2Fwoscc%2Ffull-record%2FWOS:000434092200011","View Full Record in Web of Science")</f>
        <v>View Full Record in Web of Science</v>
      </c>
    </row>
    <row r="923" spans="1:72" x14ac:dyDescent="0.15">
      <c r="A923" t="s">
        <v>72</v>
      </c>
      <c r="B923" t="s">
        <v>17501</v>
      </c>
      <c r="C923" t="s">
        <v>74</v>
      </c>
      <c r="D923" t="s">
        <v>74</v>
      </c>
      <c r="E923" t="s">
        <v>74</v>
      </c>
      <c r="F923" t="s">
        <v>17502</v>
      </c>
      <c r="G923" t="s">
        <v>74</v>
      </c>
      <c r="H923" t="s">
        <v>74</v>
      </c>
      <c r="I923" t="s">
        <v>17503</v>
      </c>
      <c r="J923" t="s">
        <v>9262</v>
      </c>
      <c r="K923" t="s">
        <v>74</v>
      </c>
      <c r="L923" t="s">
        <v>74</v>
      </c>
      <c r="M923" t="s">
        <v>78</v>
      </c>
      <c r="N923" t="s">
        <v>79</v>
      </c>
      <c r="O923" t="s">
        <v>74</v>
      </c>
      <c r="P923" t="s">
        <v>74</v>
      </c>
      <c r="Q923" t="s">
        <v>74</v>
      </c>
      <c r="R923" t="s">
        <v>74</v>
      </c>
      <c r="S923" t="s">
        <v>74</v>
      </c>
      <c r="T923" t="s">
        <v>17504</v>
      </c>
      <c r="U923" t="s">
        <v>17505</v>
      </c>
      <c r="V923" t="s">
        <v>17506</v>
      </c>
      <c r="W923" t="s">
        <v>17507</v>
      </c>
      <c r="X923" t="s">
        <v>17508</v>
      </c>
      <c r="Y923" t="s">
        <v>17509</v>
      </c>
      <c r="Z923" t="s">
        <v>17510</v>
      </c>
      <c r="AA923" t="s">
        <v>17511</v>
      </c>
      <c r="AB923" t="s">
        <v>17512</v>
      </c>
      <c r="AC923" t="s">
        <v>17513</v>
      </c>
      <c r="AD923" t="s">
        <v>17514</v>
      </c>
      <c r="AE923" t="s">
        <v>17515</v>
      </c>
      <c r="AF923" t="s">
        <v>74</v>
      </c>
      <c r="AG923">
        <v>58</v>
      </c>
      <c r="AH923">
        <v>50</v>
      </c>
      <c r="AI923">
        <v>50</v>
      </c>
      <c r="AJ923">
        <v>0</v>
      </c>
      <c r="AK923">
        <v>34</v>
      </c>
      <c r="AL923" t="s">
        <v>430</v>
      </c>
      <c r="AM923" t="s">
        <v>286</v>
      </c>
      <c r="AN923" t="s">
        <v>431</v>
      </c>
      <c r="AO923" t="s">
        <v>9275</v>
      </c>
      <c r="AP923" t="s">
        <v>9276</v>
      </c>
      <c r="AQ923" t="s">
        <v>74</v>
      </c>
      <c r="AR923" t="s">
        <v>9277</v>
      </c>
      <c r="AS923" t="s">
        <v>9278</v>
      </c>
      <c r="AT923" t="s">
        <v>17418</v>
      </c>
      <c r="AU923">
        <v>2018</v>
      </c>
      <c r="AV923">
        <v>89</v>
      </c>
      <c r="AW923" t="s">
        <v>74</v>
      </c>
      <c r="AX923" t="s">
        <v>74</v>
      </c>
      <c r="AY923" t="s">
        <v>74</v>
      </c>
      <c r="AZ923" t="s">
        <v>74</v>
      </c>
      <c r="BA923" t="s">
        <v>74</v>
      </c>
      <c r="BB923">
        <v>317</v>
      </c>
      <c r="BC923">
        <v>326</v>
      </c>
      <c r="BD923" t="s">
        <v>74</v>
      </c>
      <c r="BE923" t="s">
        <v>17516</v>
      </c>
      <c r="BF923" t="str">
        <f>HYPERLINK("http://dx.doi.org/10.1016/j.ecolind.2018.01.010","http://dx.doi.org/10.1016/j.ecolind.2018.01.010")</f>
        <v>http://dx.doi.org/10.1016/j.ecolind.2018.01.010</v>
      </c>
      <c r="BG923" t="s">
        <v>74</v>
      </c>
      <c r="BH923" t="s">
        <v>74</v>
      </c>
      <c r="BI923">
        <v>10</v>
      </c>
      <c r="BJ923" t="s">
        <v>9280</v>
      </c>
      <c r="BK923" t="s">
        <v>101</v>
      </c>
      <c r="BL923" t="s">
        <v>1210</v>
      </c>
      <c r="BM923" t="s">
        <v>17517</v>
      </c>
      <c r="BN923" t="s">
        <v>74</v>
      </c>
      <c r="BO923" t="s">
        <v>74</v>
      </c>
      <c r="BP923" t="s">
        <v>74</v>
      </c>
      <c r="BQ923" t="s">
        <v>74</v>
      </c>
      <c r="BR923" t="s">
        <v>104</v>
      </c>
      <c r="BS923" t="s">
        <v>17518</v>
      </c>
      <c r="BT923" t="str">
        <f>HYPERLINK("https%3A%2F%2Fwww.webofscience.com%2Fwos%2Fwoscc%2Ffull-record%2FWOS:000430760900031","View Full Record in Web of Science")</f>
        <v>View Full Record in Web of Science</v>
      </c>
    </row>
    <row r="924" spans="1:72" x14ac:dyDescent="0.15">
      <c r="A924" t="s">
        <v>72</v>
      </c>
      <c r="B924" t="s">
        <v>17519</v>
      </c>
      <c r="C924" t="s">
        <v>74</v>
      </c>
      <c r="D924" t="s">
        <v>74</v>
      </c>
      <c r="E924" t="s">
        <v>74</v>
      </c>
      <c r="F924" t="s">
        <v>17520</v>
      </c>
      <c r="G924" t="s">
        <v>74</v>
      </c>
      <c r="H924" t="s">
        <v>74</v>
      </c>
      <c r="I924" t="s">
        <v>17521</v>
      </c>
      <c r="J924" t="s">
        <v>540</v>
      </c>
      <c r="K924" t="s">
        <v>74</v>
      </c>
      <c r="L924" t="s">
        <v>74</v>
      </c>
      <c r="M924" t="s">
        <v>78</v>
      </c>
      <c r="N924" t="s">
        <v>79</v>
      </c>
      <c r="O924" t="s">
        <v>74</v>
      </c>
      <c r="P924" t="s">
        <v>74</v>
      </c>
      <c r="Q924" t="s">
        <v>74</v>
      </c>
      <c r="R924" t="s">
        <v>74</v>
      </c>
      <c r="S924" t="s">
        <v>74</v>
      </c>
      <c r="T924" t="s">
        <v>17522</v>
      </c>
      <c r="U924" t="s">
        <v>17523</v>
      </c>
      <c r="V924" t="s">
        <v>17524</v>
      </c>
      <c r="W924" t="s">
        <v>17525</v>
      </c>
      <c r="X924" t="s">
        <v>17526</v>
      </c>
      <c r="Y924" t="s">
        <v>17527</v>
      </c>
      <c r="Z924" t="s">
        <v>9027</v>
      </c>
      <c r="AA924" t="s">
        <v>17528</v>
      </c>
      <c r="AB924" t="s">
        <v>17529</v>
      </c>
      <c r="AC924" t="s">
        <v>10144</v>
      </c>
      <c r="AD924" t="s">
        <v>10144</v>
      </c>
      <c r="AE924" t="s">
        <v>17530</v>
      </c>
      <c r="AF924" t="s">
        <v>74</v>
      </c>
      <c r="AG924">
        <v>42</v>
      </c>
      <c r="AH924">
        <v>7</v>
      </c>
      <c r="AI924">
        <v>7</v>
      </c>
      <c r="AJ924">
        <v>0</v>
      </c>
      <c r="AK924">
        <v>29</v>
      </c>
      <c r="AL924" t="s">
        <v>201</v>
      </c>
      <c r="AM924" t="s">
        <v>93</v>
      </c>
      <c r="AN924" t="s">
        <v>202</v>
      </c>
      <c r="AO924" t="s">
        <v>553</v>
      </c>
      <c r="AP924" t="s">
        <v>554</v>
      </c>
      <c r="AQ924" t="s">
        <v>74</v>
      </c>
      <c r="AR924" t="s">
        <v>555</v>
      </c>
      <c r="AS924" t="s">
        <v>556</v>
      </c>
      <c r="AT924" t="s">
        <v>17418</v>
      </c>
      <c r="AU924">
        <v>2018</v>
      </c>
      <c r="AV924">
        <v>237</v>
      </c>
      <c r="AW924" t="s">
        <v>74</v>
      </c>
      <c r="AX924" t="s">
        <v>74</v>
      </c>
      <c r="AY924" t="s">
        <v>74</v>
      </c>
      <c r="AZ924" t="s">
        <v>74</v>
      </c>
      <c r="BA924" t="s">
        <v>74</v>
      </c>
      <c r="BB924">
        <v>388</v>
      </c>
      <c r="BC924">
        <v>395</v>
      </c>
      <c r="BD924" t="s">
        <v>74</v>
      </c>
      <c r="BE924" t="s">
        <v>17531</v>
      </c>
      <c r="BF924" t="str">
        <f>HYPERLINK("http://dx.doi.org/10.1016/j.envpol.2018.02.061","http://dx.doi.org/10.1016/j.envpol.2018.02.061")</f>
        <v>http://dx.doi.org/10.1016/j.envpol.2018.02.061</v>
      </c>
      <c r="BG924" t="s">
        <v>74</v>
      </c>
      <c r="BH924" t="s">
        <v>74</v>
      </c>
      <c r="BI924">
        <v>8</v>
      </c>
      <c r="BJ924" t="s">
        <v>558</v>
      </c>
      <c r="BK924" t="s">
        <v>101</v>
      </c>
      <c r="BL924" t="s">
        <v>559</v>
      </c>
      <c r="BM924" t="s">
        <v>17532</v>
      </c>
      <c r="BN924">
        <v>29502001</v>
      </c>
      <c r="BO924" t="s">
        <v>74</v>
      </c>
      <c r="BP924" t="s">
        <v>74</v>
      </c>
      <c r="BQ924" t="s">
        <v>74</v>
      </c>
      <c r="BR924" t="s">
        <v>104</v>
      </c>
      <c r="BS924" t="s">
        <v>17533</v>
      </c>
      <c r="BT924" t="str">
        <f>HYPERLINK("https%3A%2F%2Fwww.webofscience.com%2Fwos%2Fwoscc%2Ffull-record%2FWOS:000431158900039","View Full Record in Web of Science")</f>
        <v>View Full Record in Web of Science</v>
      </c>
    </row>
    <row r="925" spans="1:72" x14ac:dyDescent="0.15">
      <c r="A925" t="s">
        <v>72</v>
      </c>
      <c r="B925" t="s">
        <v>17534</v>
      </c>
      <c r="C925" t="s">
        <v>74</v>
      </c>
      <c r="D925" t="s">
        <v>74</v>
      </c>
      <c r="E925" t="s">
        <v>74</v>
      </c>
      <c r="F925" t="s">
        <v>17535</v>
      </c>
      <c r="G925" t="s">
        <v>74</v>
      </c>
      <c r="H925" t="s">
        <v>74</v>
      </c>
      <c r="I925" t="s">
        <v>17536</v>
      </c>
      <c r="J925" t="s">
        <v>10894</v>
      </c>
      <c r="K925" t="s">
        <v>74</v>
      </c>
      <c r="L925" t="s">
        <v>74</v>
      </c>
      <c r="M925" t="s">
        <v>78</v>
      </c>
      <c r="N925" t="s">
        <v>79</v>
      </c>
      <c r="O925" t="s">
        <v>74</v>
      </c>
      <c r="P925" t="s">
        <v>74</v>
      </c>
      <c r="Q925" t="s">
        <v>74</v>
      </c>
      <c r="R925" t="s">
        <v>74</v>
      </c>
      <c r="S925" t="s">
        <v>74</v>
      </c>
      <c r="T925" t="s">
        <v>74</v>
      </c>
      <c r="U925" t="s">
        <v>17537</v>
      </c>
      <c r="V925" t="s">
        <v>17538</v>
      </c>
      <c r="W925" t="s">
        <v>17539</v>
      </c>
      <c r="X925" t="s">
        <v>17540</v>
      </c>
      <c r="Y925" t="s">
        <v>17541</v>
      </c>
      <c r="Z925" t="s">
        <v>17542</v>
      </c>
      <c r="AA925" t="s">
        <v>17543</v>
      </c>
      <c r="AB925" t="s">
        <v>17544</v>
      </c>
      <c r="AC925" t="s">
        <v>74</v>
      </c>
      <c r="AD925" t="s">
        <v>74</v>
      </c>
      <c r="AE925" t="s">
        <v>74</v>
      </c>
      <c r="AF925" t="s">
        <v>74</v>
      </c>
      <c r="AG925">
        <v>267</v>
      </c>
      <c r="AH925">
        <v>49</v>
      </c>
      <c r="AI925">
        <v>54</v>
      </c>
      <c r="AJ925">
        <v>1</v>
      </c>
      <c r="AK925">
        <v>36</v>
      </c>
      <c r="AL925" t="s">
        <v>430</v>
      </c>
      <c r="AM925" t="s">
        <v>286</v>
      </c>
      <c r="AN925" t="s">
        <v>431</v>
      </c>
      <c r="AO925" t="s">
        <v>10907</v>
      </c>
      <c r="AP925" t="s">
        <v>10908</v>
      </c>
      <c r="AQ925" t="s">
        <v>74</v>
      </c>
      <c r="AR925" t="s">
        <v>10909</v>
      </c>
      <c r="AS925" t="s">
        <v>10910</v>
      </c>
      <c r="AT925" t="s">
        <v>17418</v>
      </c>
      <c r="AU925">
        <v>2018</v>
      </c>
      <c r="AV925">
        <v>165</v>
      </c>
      <c r="AW925" t="s">
        <v>74</v>
      </c>
      <c r="AX925" t="s">
        <v>74</v>
      </c>
      <c r="AY925" t="s">
        <v>74</v>
      </c>
      <c r="AZ925" t="s">
        <v>74</v>
      </c>
      <c r="BA925" t="s">
        <v>74</v>
      </c>
      <c r="BB925">
        <v>13</v>
      </c>
      <c r="BC925">
        <v>43</v>
      </c>
      <c r="BD925" t="s">
        <v>74</v>
      </c>
      <c r="BE925" t="s">
        <v>17545</v>
      </c>
      <c r="BF925" t="str">
        <f>HYPERLINK("http://dx.doi.org/10.1016/j.gloplacha.2018.03.001","http://dx.doi.org/10.1016/j.gloplacha.2018.03.001")</f>
        <v>http://dx.doi.org/10.1016/j.gloplacha.2018.03.001</v>
      </c>
      <c r="BG925" t="s">
        <v>74</v>
      </c>
      <c r="BH925" t="s">
        <v>74</v>
      </c>
      <c r="BI925">
        <v>31</v>
      </c>
      <c r="BJ925" t="s">
        <v>208</v>
      </c>
      <c r="BK925" t="s">
        <v>101</v>
      </c>
      <c r="BL925" t="s">
        <v>209</v>
      </c>
      <c r="BM925" t="s">
        <v>17546</v>
      </c>
      <c r="BN925" t="s">
        <v>74</v>
      </c>
      <c r="BO925" t="s">
        <v>211</v>
      </c>
      <c r="BP925" t="s">
        <v>74</v>
      </c>
      <c r="BQ925" t="s">
        <v>74</v>
      </c>
      <c r="BR925" t="s">
        <v>104</v>
      </c>
      <c r="BS925" t="s">
        <v>17547</v>
      </c>
      <c r="BT925" t="str">
        <f>HYPERLINK("https%3A%2F%2Fwww.webofscience.com%2Fwos%2Fwoscc%2Ffull-record%2FWOS:000432760000002","View Full Record in Web of Science")</f>
        <v>View Full Record in Web of Science</v>
      </c>
    </row>
    <row r="926" spans="1:72" x14ac:dyDescent="0.15">
      <c r="A926" t="s">
        <v>72</v>
      </c>
      <c r="B926" t="s">
        <v>17548</v>
      </c>
      <c r="C926" t="s">
        <v>74</v>
      </c>
      <c r="D926" t="s">
        <v>74</v>
      </c>
      <c r="E926" t="s">
        <v>74</v>
      </c>
      <c r="F926" t="s">
        <v>17549</v>
      </c>
      <c r="G926" t="s">
        <v>74</v>
      </c>
      <c r="H926" t="s">
        <v>74</v>
      </c>
      <c r="I926" t="s">
        <v>17550</v>
      </c>
      <c r="J926" t="s">
        <v>17551</v>
      </c>
      <c r="K926" t="s">
        <v>74</v>
      </c>
      <c r="L926" t="s">
        <v>74</v>
      </c>
      <c r="M926" t="s">
        <v>78</v>
      </c>
      <c r="N926" t="s">
        <v>79</v>
      </c>
      <c r="O926" t="s">
        <v>74</v>
      </c>
      <c r="P926" t="s">
        <v>74</v>
      </c>
      <c r="Q926" t="s">
        <v>74</v>
      </c>
      <c r="R926" t="s">
        <v>74</v>
      </c>
      <c r="S926" t="s">
        <v>74</v>
      </c>
      <c r="T926" t="s">
        <v>17552</v>
      </c>
      <c r="U926" t="s">
        <v>17553</v>
      </c>
      <c r="V926" t="s">
        <v>17554</v>
      </c>
      <c r="W926" t="s">
        <v>17555</v>
      </c>
      <c r="X926" t="s">
        <v>17556</v>
      </c>
      <c r="Y926" t="s">
        <v>17557</v>
      </c>
      <c r="Z926" t="s">
        <v>17558</v>
      </c>
      <c r="AA926" t="s">
        <v>17559</v>
      </c>
      <c r="AB926" t="s">
        <v>17560</v>
      </c>
      <c r="AC926" t="s">
        <v>17561</v>
      </c>
      <c r="AD926" t="s">
        <v>17562</v>
      </c>
      <c r="AE926" t="s">
        <v>17563</v>
      </c>
      <c r="AF926" t="s">
        <v>74</v>
      </c>
      <c r="AG926">
        <v>50</v>
      </c>
      <c r="AH926">
        <v>43</v>
      </c>
      <c r="AI926">
        <v>47</v>
      </c>
      <c r="AJ926">
        <v>1</v>
      </c>
      <c r="AK926">
        <v>48</v>
      </c>
      <c r="AL926" t="s">
        <v>285</v>
      </c>
      <c r="AM926" t="s">
        <v>286</v>
      </c>
      <c r="AN926" t="s">
        <v>287</v>
      </c>
      <c r="AO926" t="s">
        <v>17564</v>
      </c>
      <c r="AP926" t="s">
        <v>17565</v>
      </c>
      <c r="AQ926" t="s">
        <v>74</v>
      </c>
      <c r="AR926" t="s">
        <v>17566</v>
      </c>
      <c r="AS926" t="s">
        <v>17567</v>
      </c>
      <c r="AT926" t="s">
        <v>17418</v>
      </c>
      <c r="AU926">
        <v>2018</v>
      </c>
      <c r="AV926">
        <v>68</v>
      </c>
      <c r="AW926" t="s">
        <v>74</v>
      </c>
      <c r="AX926" t="s">
        <v>74</v>
      </c>
      <c r="AY926" t="s">
        <v>74</v>
      </c>
      <c r="AZ926" t="s">
        <v>74</v>
      </c>
      <c r="BA926" t="s">
        <v>74</v>
      </c>
      <c r="BB926">
        <v>168</v>
      </c>
      <c r="BC926">
        <v>179</v>
      </c>
      <c r="BD926" t="s">
        <v>74</v>
      </c>
      <c r="BE926" t="s">
        <v>17568</v>
      </c>
      <c r="BF926" t="str">
        <f>HYPERLINK("http://dx.doi.org/10.1016/j.jag.2018.01.004","http://dx.doi.org/10.1016/j.jag.2018.01.004")</f>
        <v>http://dx.doi.org/10.1016/j.jag.2018.01.004</v>
      </c>
      <c r="BG926" t="s">
        <v>74</v>
      </c>
      <c r="BH926" t="s">
        <v>74</v>
      </c>
      <c r="BI926">
        <v>12</v>
      </c>
      <c r="BJ926" t="s">
        <v>684</v>
      </c>
      <c r="BK926" t="s">
        <v>101</v>
      </c>
      <c r="BL926" t="s">
        <v>684</v>
      </c>
      <c r="BM926" t="s">
        <v>17569</v>
      </c>
      <c r="BN926" t="s">
        <v>74</v>
      </c>
      <c r="BO926" t="s">
        <v>1142</v>
      </c>
      <c r="BP926" t="s">
        <v>74</v>
      </c>
      <c r="BQ926" t="s">
        <v>74</v>
      </c>
      <c r="BR926" t="s">
        <v>104</v>
      </c>
      <c r="BS926" t="s">
        <v>17570</v>
      </c>
      <c r="BT926" t="str">
        <f>HYPERLINK("https%3A%2F%2Fwww.webofscience.com%2Fwos%2Fwoscc%2Ffull-record%2FWOS:000429398500015","View Full Record in Web of Science")</f>
        <v>View Full Record in Web of Science</v>
      </c>
    </row>
    <row r="927" spans="1:72" x14ac:dyDescent="0.15">
      <c r="A927" t="s">
        <v>72</v>
      </c>
      <c r="B927" t="s">
        <v>17571</v>
      </c>
      <c r="C927" t="s">
        <v>74</v>
      </c>
      <c r="D927" t="s">
        <v>74</v>
      </c>
      <c r="E927" t="s">
        <v>74</v>
      </c>
      <c r="F927" t="s">
        <v>17572</v>
      </c>
      <c r="G927" t="s">
        <v>74</v>
      </c>
      <c r="H927" t="s">
        <v>74</v>
      </c>
      <c r="I927" t="s">
        <v>17573</v>
      </c>
      <c r="J927" t="s">
        <v>17574</v>
      </c>
      <c r="K927" t="s">
        <v>74</v>
      </c>
      <c r="L927" t="s">
        <v>74</v>
      </c>
      <c r="M927" t="s">
        <v>78</v>
      </c>
      <c r="N927" t="s">
        <v>79</v>
      </c>
      <c r="O927" t="s">
        <v>74</v>
      </c>
      <c r="P927" t="s">
        <v>74</v>
      </c>
      <c r="Q927" t="s">
        <v>74</v>
      </c>
      <c r="R927" t="s">
        <v>74</v>
      </c>
      <c r="S927" t="s">
        <v>74</v>
      </c>
      <c r="T927" t="s">
        <v>17575</v>
      </c>
      <c r="U927" t="s">
        <v>17576</v>
      </c>
      <c r="V927" t="s">
        <v>17577</v>
      </c>
      <c r="W927" t="s">
        <v>17578</v>
      </c>
      <c r="X927" t="s">
        <v>17579</v>
      </c>
      <c r="Y927" t="s">
        <v>17580</v>
      </c>
      <c r="Z927" t="s">
        <v>17581</v>
      </c>
      <c r="AA927" t="s">
        <v>17582</v>
      </c>
      <c r="AB927" t="s">
        <v>17583</v>
      </c>
      <c r="AC927" t="s">
        <v>17584</v>
      </c>
      <c r="AD927" t="s">
        <v>17585</v>
      </c>
      <c r="AE927" t="s">
        <v>17586</v>
      </c>
      <c r="AF927" t="s">
        <v>74</v>
      </c>
      <c r="AG927">
        <v>22</v>
      </c>
      <c r="AH927">
        <v>14</v>
      </c>
      <c r="AI927">
        <v>15</v>
      </c>
      <c r="AJ927">
        <v>5</v>
      </c>
      <c r="AK927">
        <v>68</v>
      </c>
      <c r="AL927" t="s">
        <v>758</v>
      </c>
      <c r="AM927" t="s">
        <v>759</v>
      </c>
      <c r="AN927" t="s">
        <v>760</v>
      </c>
      <c r="AO927" t="s">
        <v>17587</v>
      </c>
      <c r="AP927" t="s">
        <v>17588</v>
      </c>
      <c r="AQ927" t="s">
        <v>74</v>
      </c>
      <c r="AR927" t="s">
        <v>17589</v>
      </c>
      <c r="AS927" t="s">
        <v>17590</v>
      </c>
      <c r="AT927" t="s">
        <v>17418</v>
      </c>
      <c r="AU927">
        <v>2018</v>
      </c>
      <c r="AV927">
        <v>58</v>
      </c>
      <c r="AW927">
        <v>6</v>
      </c>
      <c r="AX927" t="s">
        <v>74</v>
      </c>
      <c r="AY927" t="s">
        <v>74</v>
      </c>
      <c r="AZ927" t="s">
        <v>74</v>
      </c>
      <c r="BA927" t="s">
        <v>74</v>
      </c>
      <c r="BB927">
        <v>513</v>
      </c>
      <c r="BC927">
        <v>522</v>
      </c>
      <c r="BD927" t="s">
        <v>74</v>
      </c>
      <c r="BE927" t="s">
        <v>17591</v>
      </c>
      <c r="BF927" t="str">
        <f>HYPERLINK("http://dx.doi.org/10.1002/jobm.201700470","http://dx.doi.org/10.1002/jobm.201700470")</f>
        <v>http://dx.doi.org/10.1002/jobm.201700470</v>
      </c>
      <c r="BG927" t="s">
        <v>74</v>
      </c>
      <c r="BH927" t="s">
        <v>74</v>
      </c>
      <c r="BI927">
        <v>10</v>
      </c>
      <c r="BJ927" t="s">
        <v>344</v>
      </c>
      <c r="BK927" t="s">
        <v>101</v>
      </c>
      <c r="BL927" t="s">
        <v>344</v>
      </c>
      <c r="BM927" t="s">
        <v>17592</v>
      </c>
      <c r="BN927">
        <v>29570816</v>
      </c>
      <c r="BO927" t="s">
        <v>74</v>
      </c>
      <c r="BP927" t="s">
        <v>74</v>
      </c>
      <c r="BQ927" t="s">
        <v>74</v>
      </c>
      <c r="BR927" t="s">
        <v>104</v>
      </c>
      <c r="BS927" t="s">
        <v>17593</v>
      </c>
      <c r="BT927" t="str">
        <f>HYPERLINK("https%3A%2F%2Fwww.webofscience.com%2Fwos%2Fwoscc%2Ffull-record%2FWOS:000434223300004","View Full Record in Web of Science")</f>
        <v>View Full Record in Web of Science</v>
      </c>
    </row>
    <row r="928" spans="1:72" x14ac:dyDescent="0.15">
      <c r="A928" t="s">
        <v>72</v>
      </c>
      <c r="B928" t="s">
        <v>17594</v>
      </c>
      <c r="C928" t="s">
        <v>74</v>
      </c>
      <c r="D928" t="s">
        <v>74</v>
      </c>
      <c r="E928" t="s">
        <v>74</v>
      </c>
      <c r="F928" t="s">
        <v>17595</v>
      </c>
      <c r="G928" t="s">
        <v>74</v>
      </c>
      <c r="H928" t="s">
        <v>74</v>
      </c>
      <c r="I928" t="s">
        <v>17596</v>
      </c>
      <c r="J928" t="s">
        <v>17597</v>
      </c>
      <c r="K928" t="s">
        <v>74</v>
      </c>
      <c r="L928" t="s">
        <v>74</v>
      </c>
      <c r="M928" t="s">
        <v>78</v>
      </c>
      <c r="N928" t="s">
        <v>79</v>
      </c>
      <c r="O928" t="s">
        <v>74</v>
      </c>
      <c r="P928" t="s">
        <v>74</v>
      </c>
      <c r="Q928" t="s">
        <v>74</v>
      </c>
      <c r="R928" t="s">
        <v>74</v>
      </c>
      <c r="S928" t="s">
        <v>74</v>
      </c>
      <c r="T928" t="s">
        <v>17598</v>
      </c>
      <c r="U928" t="s">
        <v>17599</v>
      </c>
      <c r="V928" t="s">
        <v>17600</v>
      </c>
      <c r="W928" t="s">
        <v>17601</v>
      </c>
      <c r="X928" t="s">
        <v>17602</v>
      </c>
      <c r="Y928" t="s">
        <v>17603</v>
      </c>
      <c r="Z928" t="s">
        <v>17604</v>
      </c>
      <c r="AA928" t="s">
        <v>17605</v>
      </c>
      <c r="AB928" t="s">
        <v>17606</v>
      </c>
      <c r="AC928" t="s">
        <v>17607</v>
      </c>
      <c r="AD928" t="s">
        <v>17608</v>
      </c>
      <c r="AE928" t="s">
        <v>17609</v>
      </c>
      <c r="AF928" t="s">
        <v>74</v>
      </c>
      <c r="AG928">
        <v>41</v>
      </c>
      <c r="AH928">
        <v>1</v>
      </c>
      <c r="AI928">
        <v>2</v>
      </c>
      <c r="AJ928">
        <v>0</v>
      </c>
      <c r="AK928">
        <v>14</v>
      </c>
      <c r="AL928" t="s">
        <v>6323</v>
      </c>
      <c r="AM928" t="s">
        <v>6324</v>
      </c>
      <c r="AN928" t="s">
        <v>6325</v>
      </c>
      <c r="AO928" t="s">
        <v>17610</v>
      </c>
      <c r="AP928" t="s">
        <v>17611</v>
      </c>
      <c r="AQ928" t="s">
        <v>74</v>
      </c>
      <c r="AR928" t="s">
        <v>17612</v>
      </c>
      <c r="AS928" t="s">
        <v>17613</v>
      </c>
      <c r="AT928" t="s">
        <v>17418</v>
      </c>
      <c r="AU928">
        <v>2018</v>
      </c>
      <c r="AV928">
        <v>127</v>
      </c>
      <c r="AW928">
        <v>4</v>
      </c>
      <c r="AX928" t="s">
        <v>74</v>
      </c>
      <c r="AY928" t="s">
        <v>74</v>
      </c>
      <c r="AZ928" t="s">
        <v>74</v>
      </c>
      <c r="BA928" t="s">
        <v>74</v>
      </c>
      <c r="BB928" t="s">
        <v>74</v>
      </c>
      <c r="BC928" t="s">
        <v>74</v>
      </c>
      <c r="BD928">
        <v>60</v>
      </c>
      <c r="BE928" t="s">
        <v>17614</v>
      </c>
      <c r="BF928" t="str">
        <f>HYPERLINK("http://dx.doi.org/10.1007/s12040-018-0960-1","http://dx.doi.org/10.1007/s12040-018-0960-1")</f>
        <v>http://dx.doi.org/10.1007/s12040-018-0960-1</v>
      </c>
      <c r="BG928" t="s">
        <v>74</v>
      </c>
      <c r="BH928" t="s">
        <v>74</v>
      </c>
      <c r="BI928">
        <v>14</v>
      </c>
      <c r="BJ928" t="s">
        <v>17615</v>
      </c>
      <c r="BK928" t="s">
        <v>101</v>
      </c>
      <c r="BL928" t="s">
        <v>17616</v>
      </c>
      <c r="BM928" t="s">
        <v>17617</v>
      </c>
      <c r="BN928" t="s">
        <v>74</v>
      </c>
      <c r="BO928" t="s">
        <v>712</v>
      </c>
      <c r="BP928" t="s">
        <v>74</v>
      </c>
      <c r="BQ928" t="s">
        <v>74</v>
      </c>
      <c r="BR928" t="s">
        <v>104</v>
      </c>
      <c r="BS928" t="s">
        <v>17618</v>
      </c>
      <c r="BT928" t="str">
        <f>HYPERLINK("https%3A%2F%2Fwww.webofscience.com%2Fwos%2Fwoscc%2Ffull-record%2FWOS:000434220000001","View Full Record in Web of Science")</f>
        <v>View Full Record in Web of Science</v>
      </c>
    </row>
    <row r="929" spans="1:72" x14ac:dyDescent="0.15">
      <c r="A929" t="s">
        <v>72</v>
      </c>
      <c r="B929" t="s">
        <v>17619</v>
      </c>
      <c r="C929" t="s">
        <v>74</v>
      </c>
      <c r="D929" t="s">
        <v>74</v>
      </c>
      <c r="E929" t="s">
        <v>74</v>
      </c>
      <c r="F929" t="s">
        <v>17620</v>
      </c>
      <c r="G929" t="s">
        <v>74</v>
      </c>
      <c r="H929" t="s">
        <v>74</v>
      </c>
      <c r="I929" t="s">
        <v>17621</v>
      </c>
      <c r="J929" t="s">
        <v>5180</v>
      </c>
      <c r="K929" t="s">
        <v>74</v>
      </c>
      <c r="L929" t="s">
        <v>74</v>
      </c>
      <c r="M929" t="s">
        <v>78</v>
      </c>
      <c r="N929" t="s">
        <v>133</v>
      </c>
      <c r="O929" t="s">
        <v>17622</v>
      </c>
      <c r="P929" t="s">
        <v>17623</v>
      </c>
      <c r="Q929" t="s">
        <v>17624</v>
      </c>
      <c r="R929" t="s">
        <v>74</v>
      </c>
      <c r="S929" t="s">
        <v>74</v>
      </c>
      <c r="T929" t="s">
        <v>17625</v>
      </c>
      <c r="U929" t="s">
        <v>17626</v>
      </c>
      <c r="V929" t="s">
        <v>17627</v>
      </c>
      <c r="W929" t="s">
        <v>17628</v>
      </c>
      <c r="X929" t="s">
        <v>17629</v>
      </c>
      <c r="Y929" t="s">
        <v>17630</v>
      </c>
      <c r="Z929" t="s">
        <v>17631</v>
      </c>
      <c r="AA929" t="s">
        <v>17632</v>
      </c>
      <c r="AB929" t="s">
        <v>17633</v>
      </c>
      <c r="AC929" t="s">
        <v>17634</v>
      </c>
      <c r="AD929" t="s">
        <v>17635</v>
      </c>
      <c r="AE929" t="s">
        <v>17636</v>
      </c>
      <c r="AF929" t="s">
        <v>74</v>
      </c>
      <c r="AG929">
        <v>80</v>
      </c>
      <c r="AH929">
        <v>23</v>
      </c>
      <c r="AI929">
        <v>25</v>
      </c>
      <c r="AJ929">
        <v>0</v>
      </c>
      <c r="AK929">
        <v>15</v>
      </c>
      <c r="AL929" t="s">
        <v>758</v>
      </c>
      <c r="AM929" t="s">
        <v>759</v>
      </c>
      <c r="AN929" t="s">
        <v>760</v>
      </c>
      <c r="AO929" t="s">
        <v>5193</v>
      </c>
      <c r="AP929" t="s">
        <v>5194</v>
      </c>
      <c r="AQ929" t="s">
        <v>74</v>
      </c>
      <c r="AR929" t="s">
        <v>5195</v>
      </c>
      <c r="AS929" t="s">
        <v>5196</v>
      </c>
      <c r="AT929" t="s">
        <v>17418</v>
      </c>
      <c r="AU929">
        <v>2018</v>
      </c>
      <c r="AV929">
        <v>41</v>
      </c>
      <c r="AW929">
        <v>6</v>
      </c>
      <c r="AX929" t="s">
        <v>74</v>
      </c>
      <c r="AY929" t="s">
        <v>74</v>
      </c>
      <c r="AZ929" t="s">
        <v>155</v>
      </c>
      <c r="BA929" t="s">
        <v>74</v>
      </c>
      <c r="BB929">
        <v>901</v>
      </c>
      <c r="BC929">
        <v>919</v>
      </c>
      <c r="BD929" t="s">
        <v>74</v>
      </c>
      <c r="BE929" t="s">
        <v>17637</v>
      </c>
      <c r="BF929" t="str">
        <f>HYPERLINK("http://dx.doi.org/10.1111/jfd.12693","http://dx.doi.org/10.1111/jfd.12693")</f>
        <v>http://dx.doi.org/10.1111/jfd.12693</v>
      </c>
      <c r="BG929" t="s">
        <v>74</v>
      </c>
      <c r="BH929" t="s">
        <v>74</v>
      </c>
      <c r="BI929">
        <v>19</v>
      </c>
      <c r="BJ929" t="s">
        <v>5198</v>
      </c>
      <c r="BK929" t="s">
        <v>158</v>
      </c>
      <c r="BL929" t="s">
        <v>5198</v>
      </c>
      <c r="BM929" t="s">
        <v>17638</v>
      </c>
      <c r="BN929">
        <v>28782801</v>
      </c>
      <c r="BO929" t="s">
        <v>74</v>
      </c>
      <c r="BP929" t="s">
        <v>74</v>
      </c>
      <c r="BQ929" t="s">
        <v>74</v>
      </c>
      <c r="BR929" t="s">
        <v>104</v>
      </c>
      <c r="BS929" t="s">
        <v>17639</v>
      </c>
      <c r="BT929" t="str">
        <f>HYPERLINK("https%3A%2F%2Fwww.webofscience.com%2Fwos%2Fwoscc%2Ffull-record%2FWOS:000433581500005","View Full Record in Web of Science")</f>
        <v>View Full Record in Web of Science</v>
      </c>
    </row>
    <row r="930" spans="1:72" x14ac:dyDescent="0.15">
      <c r="A930" t="s">
        <v>72</v>
      </c>
      <c r="B930" t="s">
        <v>17640</v>
      </c>
      <c r="C930" t="s">
        <v>74</v>
      </c>
      <c r="D930" t="s">
        <v>74</v>
      </c>
      <c r="E930" t="s">
        <v>74</v>
      </c>
      <c r="F930" t="s">
        <v>17641</v>
      </c>
      <c r="G930" t="s">
        <v>74</v>
      </c>
      <c r="H930" t="s">
        <v>74</v>
      </c>
      <c r="I930" t="s">
        <v>17642</v>
      </c>
      <c r="J930" t="s">
        <v>798</v>
      </c>
      <c r="K930" t="s">
        <v>74</v>
      </c>
      <c r="L930" t="s">
        <v>74</v>
      </c>
      <c r="M930" t="s">
        <v>78</v>
      </c>
      <c r="N930" t="s">
        <v>79</v>
      </c>
      <c r="O930" t="s">
        <v>74</v>
      </c>
      <c r="P930" t="s">
        <v>74</v>
      </c>
      <c r="Q930" t="s">
        <v>74</v>
      </c>
      <c r="R930" t="s">
        <v>74</v>
      </c>
      <c r="S930" t="s">
        <v>74</v>
      </c>
      <c r="T930" t="s">
        <v>17643</v>
      </c>
      <c r="U930" t="s">
        <v>17644</v>
      </c>
      <c r="V930" t="s">
        <v>17645</v>
      </c>
      <c r="W930" t="s">
        <v>17646</v>
      </c>
      <c r="X930" t="s">
        <v>17647</v>
      </c>
      <c r="Y930" t="s">
        <v>17648</v>
      </c>
      <c r="Z930" t="s">
        <v>17649</v>
      </c>
      <c r="AA930" t="s">
        <v>17650</v>
      </c>
      <c r="AB930" t="s">
        <v>17651</v>
      </c>
      <c r="AC930" t="s">
        <v>17652</v>
      </c>
      <c r="AD930" t="s">
        <v>17653</v>
      </c>
      <c r="AE930" t="s">
        <v>17654</v>
      </c>
      <c r="AF930" t="s">
        <v>74</v>
      </c>
      <c r="AG930">
        <v>59</v>
      </c>
      <c r="AH930">
        <v>8</v>
      </c>
      <c r="AI930">
        <v>10</v>
      </c>
      <c r="AJ930">
        <v>3</v>
      </c>
      <c r="AK930">
        <v>36</v>
      </c>
      <c r="AL930" t="s">
        <v>503</v>
      </c>
      <c r="AM930" t="s">
        <v>504</v>
      </c>
      <c r="AN930" t="s">
        <v>505</v>
      </c>
      <c r="AO930" t="s">
        <v>811</v>
      </c>
      <c r="AP930" t="s">
        <v>812</v>
      </c>
      <c r="AQ930" t="s">
        <v>74</v>
      </c>
      <c r="AR930" t="s">
        <v>813</v>
      </c>
      <c r="AS930" t="s">
        <v>814</v>
      </c>
      <c r="AT930" t="s">
        <v>17418</v>
      </c>
      <c r="AU930">
        <v>2018</v>
      </c>
      <c r="AV930">
        <v>123</v>
      </c>
      <c r="AW930">
        <v>6</v>
      </c>
      <c r="AX930" t="s">
        <v>74</v>
      </c>
      <c r="AY930" t="s">
        <v>74</v>
      </c>
      <c r="AZ930" t="s">
        <v>74</v>
      </c>
      <c r="BA930" t="s">
        <v>74</v>
      </c>
      <c r="BB930">
        <v>4423</v>
      </c>
      <c r="BC930">
        <v>4446</v>
      </c>
      <c r="BD930" t="s">
        <v>74</v>
      </c>
      <c r="BE930" t="s">
        <v>17655</v>
      </c>
      <c r="BF930" t="str">
        <f>HYPERLINK("http://dx.doi.org/10.1029/2018JC013831","http://dx.doi.org/10.1029/2018JC013831")</f>
        <v>http://dx.doi.org/10.1029/2018JC013831</v>
      </c>
      <c r="BG930" t="s">
        <v>74</v>
      </c>
      <c r="BH930" t="s">
        <v>74</v>
      </c>
      <c r="BI930">
        <v>24</v>
      </c>
      <c r="BJ930" t="s">
        <v>157</v>
      </c>
      <c r="BK930" t="s">
        <v>101</v>
      </c>
      <c r="BL930" t="s">
        <v>157</v>
      </c>
      <c r="BM930" t="s">
        <v>17656</v>
      </c>
      <c r="BN930" t="s">
        <v>74</v>
      </c>
      <c r="BO930" t="s">
        <v>712</v>
      </c>
      <c r="BP930" t="s">
        <v>74</v>
      </c>
      <c r="BQ930" t="s">
        <v>74</v>
      </c>
      <c r="BR930" t="s">
        <v>104</v>
      </c>
      <c r="BS930" t="s">
        <v>17657</v>
      </c>
      <c r="BT930" t="str">
        <f>HYPERLINK("https%3A%2F%2Fwww.webofscience.com%2Fwos%2Fwoscc%2Ffull-record%2FWOS:000440834100027","View Full Record in Web of Science")</f>
        <v>View Full Record in Web of Science</v>
      </c>
    </row>
    <row r="931" spans="1:72" x14ac:dyDescent="0.15">
      <c r="A931" t="s">
        <v>72</v>
      </c>
      <c r="B931" t="s">
        <v>17658</v>
      </c>
      <c r="C931" t="s">
        <v>74</v>
      </c>
      <c r="D931" t="s">
        <v>74</v>
      </c>
      <c r="E931" t="s">
        <v>74</v>
      </c>
      <c r="F931" t="s">
        <v>17659</v>
      </c>
      <c r="G931" t="s">
        <v>74</v>
      </c>
      <c r="H931" t="s">
        <v>74</v>
      </c>
      <c r="I931" t="s">
        <v>17660</v>
      </c>
      <c r="J931" t="s">
        <v>1546</v>
      </c>
      <c r="K931" t="s">
        <v>74</v>
      </c>
      <c r="L931" t="s">
        <v>74</v>
      </c>
      <c r="M931" t="s">
        <v>78</v>
      </c>
      <c r="N931" t="s">
        <v>4510</v>
      </c>
      <c r="O931" t="s">
        <v>74</v>
      </c>
      <c r="P931" t="s">
        <v>74</v>
      </c>
      <c r="Q931" t="s">
        <v>74</v>
      </c>
      <c r="R931" t="s">
        <v>74</v>
      </c>
      <c r="S931" t="s">
        <v>74</v>
      </c>
      <c r="T931" t="s">
        <v>74</v>
      </c>
      <c r="U931" t="s">
        <v>17661</v>
      </c>
      <c r="V931" t="s">
        <v>74</v>
      </c>
      <c r="W931" t="s">
        <v>17662</v>
      </c>
      <c r="X931" t="s">
        <v>17663</v>
      </c>
      <c r="Y931" t="s">
        <v>17664</v>
      </c>
      <c r="Z931" t="s">
        <v>17665</v>
      </c>
      <c r="AA931" t="s">
        <v>74</v>
      </c>
      <c r="AB931" t="s">
        <v>17666</v>
      </c>
      <c r="AC931" t="s">
        <v>17667</v>
      </c>
      <c r="AD931" t="s">
        <v>17668</v>
      </c>
      <c r="AE931" t="s">
        <v>17669</v>
      </c>
      <c r="AF931" t="s">
        <v>74</v>
      </c>
      <c r="AG931">
        <v>17</v>
      </c>
      <c r="AH931">
        <v>13</v>
      </c>
      <c r="AI931">
        <v>15</v>
      </c>
      <c r="AJ931">
        <v>0</v>
      </c>
      <c r="AK931">
        <v>1</v>
      </c>
      <c r="AL931" t="s">
        <v>257</v>
      </c>
      <c r="AM931" t="s">
        <v>730</v>
      </c>
      <c r="AN931" t="s">
        <v>1559</v>
      </c>
      <c r="AO931" t="s">
        <v>1560</v>
      </c>
      <c r="AP931" t="s">
        <v>1561</v>
      </c>
      <c r="AQ931" t="s">
        <v>74</v>
      </c>
      <c r="AR931" t="s">
        <v>1562</v>
      </c>
      <c r="AS931" t="s">
        <v>1563</v>
      </c>
      <c r="AT931" t="s">
        <v>17418</v>
      </c>
      <c r="AU931">
        <v>2018</v>
      </c>
      <c r="AV931">
        <v>64</v>
      </c>
      <c r="AW931">
        <v>245</v>
      </c>
      <c r="AX931" t="s">
        <v>74</v>
      </c>
      <c r="AY931" t="s">
        <v>74</v>
      </c>
      <c r="AZ931" t="s">
        <v>74</v>
      </c>
      <c r="BA931" t="s">
        <v>74</v>
      </c>
      <c r="BB931">
        <v>517</v>
      </c>
      <c r="BC931">
        <v>521</v>
      </c>
      <c r="BD931" t="s">
        <v>74</v>
      </c>
      <c r="BE931" t="s">
        <v>17670</v>
      </c>
      <c r="BF931" t="str">
        <f>HYPERLINK("http://dx.doi.org/10.1017/jog.2018.36","http://dx.doi.org/10.1017/jog.2018.36")</f>
        <v>http://dx.doi.org/10.1017/jog.2018.36</v>
      </c>
      <c r="BG931" t="s">
        <v>74</v>
      </c>
      <c r="BH931" t="s">
        <v>74</v>
      </c>
      <c r="BI931">
        <v>5</v>
      </c>
      <c r="BJ931" t="s">
        <v>208</v>
      </c>
      <c r="BK931" t="s">
        <v>101</v>
      </c>
      <c r="BL931" t="s">
        <v>209</v>
      </c>
      <c r="BM931" t="s">
        <v>17671</v>
      </c>
      <c r="BN931" t="s">
        <v>74</v>
      </c>
      <c r="BO931" t="s">
        <v>439</v>
      </c>
      <c r="BP931" t="s">
        <v>74</v>
      </c>
      <c r="BQ931" t="s">
        <v>74</v>
      </c>
      <c r="BR931" t="s">
        <v>104</v>
      </c>
      <c r="BS931" t="s">
        <v>17672</v>
      </c>
      <c r="BT931" t="str">
        <f>HYPERLINK("https%3A%2F%2Fwww.webofscience.com%2Fwos%2Fwoscc%2Ffull-record%2FWOS:000434777300015","View Full Record in Web of Science")</f>
        <v>View Full Record in Web of Science</v>
      </c>
    </row>
    <row r="932" spans="1:72" x14ac:dyDescent="0.15">
      <c r="A932" t="s">
        <v>72</v>
      </c>
      <c r="B932" t="s">
        <v>17673</v>
      </c>
      <c r="C932" t="s">
        <v>74</v>
      </c>
      <c r="D932" t="s">
        <v>74</v>
      </c>
      <c r="E932" t="s">
        <v>74</v>
      </c>
      <c r="F932" t="s">
        <v>17674</v>
      </c>
      <c r="G932" t="s">
        <v>74</v>
      </c>
      <c r="H932" t="s">
        <v>74</v>
      </c>
      <c r="I932" t="s">
        <v>17675</v>
      </c>
      <c r="J932" t="s">
        <v>17676</v>
      </c>
      <c r="K932" t="s">
        <v>74</v>
      </c>
      <c r="L932" t="s">
        <v>74</v>
      </c>
      <c r="M932" t="s">
        <v>78</v>
      </c>
      <c r="N932" t="s">
        <v>79</v>
      </c>
      <c r="O932" t="s">
        <v>74</v>
      </c>
      <c r="P932" t="s">
        <v>74</v>
      </c>
      <c r="Q932" t="s">
        <v>74</v>
      </c>
      <c r="R932" t="s">
        <v>74</v>
      </c>
      <c r="S932" t="s">
        <v>74</v>
      </c>
      <c r="T932" t="s">
        <v>74</v>
      </c>
      <c r="U932" t="s">
        <v>17677</v>
      </c>
      <c r="V932" t="s">
        <v>17678</v>
      </c>
      <c r="W932" t="s">
        <v>17679</v>
      </c>
      <c r="X932" t="s">
        <v>17680</v>
      </c>
      <c r="Y932" t="s">
        <v>17681</v>
      </c>
      <c r="Z932" t="s">
        <v>17682</v>
      </c>
      <c r="AA932" t="s">
        <v>17683</v>
      </c>
      <c r="AB932" t="s">
        <v>17684</v>
      </c>
      <c r="AC932" t="s">
        <v>17685</v>
      </c>
      <c r="AD932" t="s">
        <v>2297</v>
      </c>
      <c r="AE932" t="s">
        <v>17686</v>
      </c>
      <c r="AF932" t="s">
        <v>74</v>
      </c>
      <c r="AG932">
        <v>42</v>
      </c>
      <c r="AH932">
        <v>11</v>
      </c>
      <c r="AI932">
        <v>14</v>
      </c>
      <c r="AJ932">
        <v>0</v>
      </c>
      <c r="AK932">
        <v>29</v>
      </c>
      <c r="AL932" t="s">
        <v>17414</v>
      </c>
      <c r="AM932" t="s">
        <v>504</v>
      </c>
      <c r="AN932" t="s">
        <v>17415</v>
      </c>
      <c r="AO932" t="s">
        <v>17687</v>
      </c>
      <c r="AP932" t="s">
        <v>17688</v>
      </c>
      <c r="AQ932" t="s">
        <v>74</v>
      </c>
      <c r="AR932" t="s">
        <v>17689</v>
      </c>
      <c r="AS932" t="s">
        <v>17690</v>
      </c>
      <c r="AT932" t="s">
        <v>17418</v>
      </c>
      <c r="AU932">
        <v>2018</v>
      </c>
      <c r="AV932">
        <v>81</v>
      </c>
      <c r="AW932">
        <v>6</v>
      </c>
      <c r="AX932" t="s">
        <v>74</v>
      </c>
      <c r="AY932" t="s">
        <v>74</v>
      </c>
      <c r="AZ932" t="s">
        <v>74</v>
      </c>
      <c r="BA932" t="s">
        <v>74</v>
      </c>
      <c r="BB932">
        <v>1460</v>
      </c>
      <c r="BC932">
        <v>1467</v>
      </c>
      <c r="BD932" t="s">
        <v>74</v>
      </c>
      <c r="BE932" t="s">
        <v>17691</v>
      </c>
      <c r="BF932" t="str">
        <f>HYPERLINK("http://dx.doi.org/10.1021/acs.jnatprod.8b00227","http://dx.doi.org/10.1021/acs.jnatprod.8b00227")</f>
        <v>http://dx.doi.org/10.1021/acs.jnatprod.8b00227</v>
      </c>
      <c r="BG932" t="s">
        <v>74</v>
      </c>
      <c r="BH932" t="s">
        <v>74</v>
      </c>
      <c r="BI932">
        <v>8</v>
      </c>
      <c r="BJ932" t="s">
        <v>17692</v>
      </c>
      <c r="BK932" t="s">
        <v>17693</v>
      </c>
      <c r="BL932" t="s">
        <v>2467</v>
      </c>
      <c r="BM932" t="s">
        <v>17694</v>
      </c>
      <c r="BN932">
        <v>29878768</v>
      </c>
      <c r="BO932" t="s">
        <v>74</v>
      </c>
      <c r="BP932" t="s">
        <v>74</v>
      </c>
      <c r="BQ932" t="s">
        <v>74</v>
      </c>
      <c r="BR932" t="s">
        <v>104</v>
      </c>
      <c r="BS932" t="s">
        <v>17695</v>
      </c>
      <c r="BT932" t="str">
        <f>HYPERLINK("https%3A%2F%2Fwww.webofscience.com%2Fwos%2Fwoscc%2Ffull-record%2FWOS:000436527100019","View Full Record in Web of Science")</f>
        <v>View Full Record in Web of Science</v>
      </c>
    </row>
    <row r="933" spans="1:72" x14ac:dyDescent="0.15">
      <c r="A933" t="s">
        <v>72</v>
      </c>
      <c r="B933" t="s">
        <v>17696</v>
      </c>
      <c r="C933" t="s">
        <v>74</v>
      </c>
      <c r="D933" t="s">
        <v>74</v>
      </c>
      <c r="E933" t="s">
        <v>74</v>
      </c>
      <c r="F933" t="s">
        <v>17697</v>
      </c>
      <c r="G933" t="s">
        <v>74</v>
      </c>
      <c r="H933" t="s">
        <v>74</v>
      </c>
      <c r="I933" t="s">
        <v>17698</v>
      </c>
      <c r="J933" t="s">
        <v>17699</v>
      </c>
      <c r="K933" t="s">
        <v>74</v>
      </c>
      <c r="L933" t="s">
        <v>74</v>
      </c>
      <c r="M933" t="s">
        <v>78</v>
      </c>
      <c r="N933" t="s">
        <v>79</v>
      </c>
      <c r="O933" t="s">
        <v>74</v>
      </c>
      <c r="P933" t="s">
        <v>74</v>
      </c>
      <c r="Q933" t="s">
        <v>74</v>
      </c>
      <c r="R933" t="s">
        <v>74</v>
      </c>
      <c r="S933" t="s">
        <v>74</v>
      </c>
      <c r="T933" t="s">
        <v>17700</v>
      </c>
      <c r="U933" t="s">
        <v>17701</v>
      </c>
      <c r="V933" t="s">
        <v>17702</v>
      </c>
      <c r="W933" t="s">
        <v>17703</v>
      </c>
      <c r="X933" t="s">
        <v>17704</v>
      </c>
      <c r="Y933" t="s">
        <v>17705</v>
      </c>
      <c r="Z933" t="s">
        <v>17706</v>
      </c>
      <c r="AA933" t="s">
        <v>17707</v>
      </c>
      <c r="AB933" t="s">
        <v>17708</v>
      </c>
      <c r="AC933" t="s">
        <v>17709</v>
      </c>
      <c r="AD933" t="s">
        <v>17710</v>
      </c>
      <c r="AE933" t="s">
        <v>17711</v>
      </c>
      <c r="AF933" t="s">
        <v>74</v>
      </c>
      <c r="AG933">
        <v>32</v>
      </c>
      <c r="AH933">
        <v>19</v>
      </c>
      <c r="AI933">
        <v>19</v>
      </c>
      <c r="AJ933">
        <v>0</v>
      </c>
      <c r="AK933">
        <v>12</v>
      </c>
      <c r="AL933" t="s">
        <v>17712</v>
      </c>
      <c r="AM933" t="s">
        <v>17713</v>
      </c>
      <c r="AN933" t="s">
        <v>17714</v>
      </c>
      <c r="AO933" t="s">
        <v>17715</v>
      </c>
      <c r="AP933" t="s">
        <v>74</v>
      </c>
      <c r="AQ933" t="s">
        <v>74</v>
      </c>
      <c r="AR933" t="s">
        <v>17716</v>
      </c>
      <c r="AS933" t="s">
        <v>17717</v>
      </c>
      <c r="AT933" t="s">
        <v>17418</v>
      </c>
      <c r="AU933">
        <v>2018</v>
      </c>
      <c r="AV933">
        <v>18</v>
      </c>
      <c r="AW933">
        <v>2</v>
      </c>
      <c r="AX933" t="s">
        <v>74</v>
      </c>
      <c r="AY933" t="s">
        <v>74</v>
      </c>
      <c r="AZ933" t="s">
        <v>74</v>
      </c>
      <c r="BA933" t="s">
        <v>74</v>
      </c>
      <c r="BB933">
        <v>294</v>
      </c>
      <c r="BC933">
        <v>311</v>
      </c>
      <c r="BD933" t="s">
        <v>74</v>
      </c>
      <c r="BE933" t="s">
        <v>74</v>
      </c>
      <c r="BF933" t="s">
        <v>74</v>
      </c>
      <c r="BG933" t="s">
        <v>74</v>
      </c>
      <c r="BH933" t="s">
        <v>74</v>
      </c>
      <c r="BI933">
        <v>18</v>
      </c>
      <c r="BJ933" t="s">
        <v>17718</v>
      </c>
      <c r="BK933" t="s">
        <v>101</v>
      </c>
      <c r="BL933" t="s">
        <v>17719</v>
      </c>
      <c r="BM933" t="s">
        <v>17720</v>
      </c>
      <c r="BN933" t="s">
        <v>74</v>
      </c>
      <c r="BO933" t="s">
        <v>74</v>
      </c>
      <c r="BP933" t="s">
        <v>74</v>
      </c>
      <c r="BQ933" t="s">
        <v>74</v>
      </c>
      <c r="BR933" t="s">
        <v>104</v>
      </c>
      <c r="BS933" t="s">
        <v>17721</v>
      </c>
      <c r="BT933" t="str">
        <f>HYPERLINK("https%3A%2F%2Fwww.webofscience.com%2Fwos%2Fwoscc%2Ffull-record%2FWOS:000441184300001","View Full Record in Web of Science")</f>
        <v>View Full Record in Web of Science</v>
      </c>
    </row>
    <row r="934" spans="1:72" x14ac:dyDescent="0.15">
      <c r="A934" t="s">
        <v>72</v>
      </c>
      <c r="B934" t="s">
        <v>17722</v>
      </c>
      <c r="C934" t="s">
        <v>74</v>
      </c>
      <c r="D934" t="s">
        <v>74</v>
      </c>
      <c r="E934" t="s">
        <v>74</v>
      </c>
      <c r="F934" t="s">
        <v>17723</v>
      </c>
      <c r="G934" t="s">
        <v>74</v>
      </c>
      <c r="H934" t="s">
        <v>74</v>
      </c>
      <c r="I934" t="s">
        <v>17724</v>
      </c>
      <c r="J934" t="s">
        <v>5782</v>
      </c>
      <c r="K934" t="s">
        <v>74</v>
      </c>
      <c r="L934" t="s">
        <v>74</v>
      </c>
      <c r="M934" t="s">
        <v>78</v>
      </c>
      <c r="N934" t="s">
        <v>79</v>
      </c>
      <c r="O934" t="s">
        <v>74</v>
      </c>
      <c r="P934" t="s">
        <v>74</v>
      </c>
      <c r="Q934" t="s">
        <v>74</v>
      </c>
      <c r="R934" t="s">
        <v>74</v>
      </c>
      <c r="S934" t="s">
        <v>74</v>
      </c>
      <c r="T934" t="s">
        <v>17725</v>
      </c>
      <c r="U934" t="s">
        <v>17726</v>
      </c>
      <c r="V934" t="s">
        <v>17727</v>
      </c>
      <c r="W934" t="s">
        <v>17728</v>
      </c>
      <c r="X934" t="s">
        <v>17729</v>
      </c>
      <c r="Y934" t="s">
        <v>17730</v>
      </c>
      <c r="Z934" t="s">
        <v>17731</v>
      </c>
      <c r="AA934" t="s">
        <v>17732</v>
      </c>
      <c r="AB934" t="s">
        <v>17733</v>
      </c>
      <c r="AC934" t="s">
        <v>17734</v>
      </c>
      <c r="AD934" t="s">
        <v>17735</v>
      </c>
      <c r="AE934" t="s">
        <v>17736</v>
      </c>
      <c r="AF934" t="s">
        <v>74</v>
      </c>
      <c r="AG934">
        <v>57</v>
      </c>
      <c r="AH934">
        <v>15</v>
      </c>
      <c r="AI934">
        <v>17</v>
      </c>
      <c r="AJ934">
        <v>0</v>
      </c>
      <c r="AK934">
        <v>10</v>
      </c>
      <c r="AL934" t="s">
        <v>201</v>
      </c>
      <c r="AM934" t="s">
        <v>93</v>
      </c>
      <c r="AN934" t="s">
        <v>202</v>
      </c>
      <c r="AO934" t="s">
        <v>5795</v>
      </c>
      <c r="AP934" t="s">
        <v>5796</v>
      </c>
      <c r="AQ934" t="s">
        <v>74</v>
      </c>
      <c r="AR934" t="s">
        <v>5797</v>
      </c>
      <c r="AS934" t="s">
        <v>5798</v>
      </c>
      <c r="AT934" t="s">
        <v>17418</v>
      </c>
      <c r="AU934">
        <v>2018</v>
      </c>
      <c r="AV934">
        <v>137</v>
      </c>
      <c r="AW934" t="s">
        <v>74</v>
      </c>
      <c r="AX934" t="s">
        <v>74</v>
      </c>
      <c r="AY934" t="s">
        <v>74</v>
      </c>
      <c r="AZ934" t="s">
        <v>74</v>
      </c>
      <c r="BA934" t="s">
        <v>74</v>
      </c>
      <c r="BB934">
        <v>169</v>
      </c>
      <c r="BC934">
        <v>176</v>
      </c>
      <c r="BD934" t="s">
        <v>74</v>
      </c>
      <c r="BE934" t="s">
        <v>17737</v>
      </c>
      <c r="BF934" t="str">
        <f>HYPERLINK("http://dx.doi.org/10.1016/j.marenvres.2018.03.007","http://dx.doi.org/10.1016/j.marenvres.2018.03.007")</f>
        <v>http://dx.doi.org/10.1016/j.marenvres.2018.03.007</v>
      </c>
      <c r="BG934" t="s">
        <v>74</v>
      </c>
      <c r="BH934" t="s">
        <v>74</v>
      </c>
      <c r="BI934">
        <v>8</v>
      </c>
      <c r="BJ934" t="s">
        <v>5800</v>
      </c>
      <c r="BK934" t="s">
        <v>101</v>
      </c>
      <c r="BL934" t="s">
        <v>5801</v>
      </c>
      <c r="BM934" t="s">
        <v>17738</v>
      </c>
      <c r="BN934">
        <v>29598997</v>
      </c>
      <c r="BO934" t="s">
        <v>74</v>
      </c>
      <c r="BP934" t="s">
        <v>74</v>
      </c>
      <c r="BQ934" t="s">
        <v>74</v>
      </c>
      <c r="BR934" t="s">
        <v>104</v>
      </c>
      <c r="BS934" t="s">
        <v>17739</v>
      </c>
      <c r="BT934" t="str">
        <f>HYPERLINK("https%3A%2F%2Fwww.webofscience.com%2Fwos%2Fwoscc%2Ffull-record%2FWOS:000432758200017","View Full Record in Web of Science")</f>
        <v>View Full Record in Web of Science</v>
      </c>
    </row>
    <row r="935" spans="1:72" x14ac:dyDescent="0.15">
      <c r="A935" t="s">
        <v>72</v>
      </c>
      <c r="B935" t="s">
        <v>17740</v>
      </c>
      <c r="C935" t="s">
        <v>74</v>
      </c>
      <c r="D935" t="s">
        <v>74</v>
      </c>
      <c r="E935" t="s">
        <v>74</v>
      </c>
      <c r="F935" t="s">
        <v>17741</v>
      </c>
      <c r="G935" t="s">
        <v>74</v>
      </c>
      <c r="H935" t="s">
        <v>74</v>
      </c>
      <c r="I935" t="s">
        <v>17742</v>
      </c>
      <c r="J935" t="s">
        <v>9692</v>
      </c>
      <c r="K935" t="s">
        <v>74</v>
      </c>
      <c r="L935" t="s">
        <v>74</v>
      </c>
      <c r="M935" t="s">
        <v>78</v>
      </c>
      <c r="N935" t="s">
        <v>79</v>
      </c>
      <c r="O935" t="s">
        <v>74</v>
      </c>
      <c r="P935" t="s">
        <v>74</v>
      </c>
      <c r="Q935" t="s">
        <v>74</v>
      </c>
      <c r="R935" t="s">
        <v>74</v>
      </c>
      <c r="S935" t="s">
        <v>74</v>
      </c>
      <c r="T935" t="s">
        <v>17743</v>
      </c>
      <c r="U935" t="s">
        <v>17744</v>
      </c>
      <c r="V935" t="s">
        <v>17745</v>
      </c>
      <c r="W935" t="s">
        <v>17746</v>
      </c>
      <c r="X935" t="s">
        <v>17747</v>
      </c>
      <c r="Y935" t="s">
        <v>17748</v>
      </c>
      <c r="Z935" t="s">
        <v>17749</v>
      </c>
      <c r="AA935" t="s">
        <v>17750</v>
      </c>
      <c r="AB935" t="s">
        <v>17751</v>
      </c>
      <c r="AC935" t="s">
        <v>17752</v>
      </c>
      <c r="AD935" t="s">
        <v>17753</v>
      </c>
      <c r="AE935" t="s">
        <v>17754</v>
      </c>
      <c r="AF935" t="s">
        <v>74</v>
      </c>
      <c r="AG935">
        <v>20</v>
      </c>
      <c r="AH935">
        <v>13</v>
      </c>
      <c r="AI935">
        <v>13</v>
      </c>
      <c r="AJ935">
        <v>2</v>
      </c>
      <c r="AK935">
        <v>16</v>
      </c>
      <c r="AL935" t="s">
        <v>149</v>
      </c>
      <c r="AM935" t="s">
        <v>93</v>
      </c>
      <c r="AN935" t="s">
        <v>150</v>
      </c>
      <c r="AO935" t="s">
        <v>9693</v>
      </c>
      <c r="AP935" t="s">
        <v>9694</v>
      </c>
      <c r="AQ935" t="s">
        <v>74</v>
      </c>
      <c r="AR935" t="s">
        <v>9695</v>
      </c>
      <c r="AS935" t="s">
        <v>9696</v>
      </c>
      <c r="AT935" t="s">
        <v>17418</v>
      </c>
      <c r="AU935">
        <v>2018</v>
      </c>
      <c r="AV935">
        <v>131</v>
      </c>
      <c r="AW935" t="s">
        <v>74</v>
      </c>
      <c r="AX935" t="s">
        <v>17755</v>
      </c>
      <c r="AY935" t="s">
        <v>74</v>
      </c>
      <c r="AZ935" t="s">
        <v>74</v>
      </c>
      <c r="BA935" t="s">
        <v>74</v>
      </c>
      <c r="BB935">
        <v>453</v>
      </c>
      <c r="BC935">
        <v>459</v>
      </c>
      <c r="BD935" t="s">
        <v>74</v>
      </c>
      <c r="BE935" t="s">
        <v>17756</v>
      </c>
      <c r="BF935" t="str">
        <f>HYPERLINK("http://dx.doi.org/10.1016/j.marpolbul.2018.04.057","http://dx.doi.org/10.1016/j.marpolbul.2018.04.057")</f>
        <v>http://dx.doi.org/10.1016/j.marpolbul.2018.04.057</v>
      </c>
      <c r="BG935" t="s">
        <v>74</v>
      </c>
      <c r="BH935" t="s">
        <v>74</v>
      </c>
      <c r="BI935">
        <v>7</v>
      </c>
      <c r="BJ935" t="s">
        <v>3450</v>
      </c>
      <c r="BK935" t="s">
        <v>101</v>
      </c>
      <c r="BL935" t="s">
        <v>3451</v>
      </c>
      <c r="BM935" t="s">
        <v>17757</v>
      </c>
      <c r="BN935">
        <v>29886971</v>
      </c>
      <c r="BO935" t="s">
        <v>74</v>
      </c>
      <c r="BP935" t="s">
        <v>74</v>
      </c>
      <c r="BQ935" t="s">
        <v>74</v>
      </c>
      <c r="BR935" t="s">
        <v>104</v>
      </c>
      <c r="BS935" t="s">
        <v>17758</v>
      </c>
      <c r="BT935" t="str">
        <f>HYPERLINK("https%3A%2F%2Fwww.webofscience.com%2Fwos%2Fwoscc%2Ffull-record%2FWOS:000437060300053","View Full Record in Web of Science")</f>
        <v>View Full Record in Web of Science</v>
      </c>
    </row>
    <row r="936" spans="1:72" x14ac:dyDescent="0.15">
      <c r="A936" t="s">
        <v>72</v>
      </c>
      <c r="B936" t="s">
        <v>17759</v>
      </c>
      <c r="C936" t="s">
        <v>74</v>
      </c>
      <c r="D936" t="s">
        <v>74</v>
      </c>
      <c r="E936" t="s">
        <v>74</v>
      </c>
      <c r="F936" t="s">
        <v>17760</v>
      </c>
      <c r="G936" t="s">
        <v>74</v>
      </c>
      <c r="H936" t="s">
        <v>74</v>
      </c>
      <c r="I936" t="s">
        <v>17761</v>
      </c>
      <c r="J936" t="s">
        <v>5411</v>
      </c>
      <c r="K936" t="s">
        <v>74</v>
      </c>
      <c r="L936" t="s">
        <v>74</v>
      </c>
      <c r="M936" t="s">
        <v>78</v>
      </c>
      <c r="N936" t="s">
        <v>79</v>
      </c>
      <c r="O936" t="s">
        <v>74</v>
      </c>
      <c r="P936" t="s">
        <v>74</v>
      </c>
      <c r="Q936" t="s">
        <v>74</v>
      </c>
      <c r="R936" t="s">
        <v>74</v>
      </c>
      <c r="S936" t="s">
        <v>74</v>
      </c>
      <c r="T936" t="s">
        <v>74</v>
      </c>
      <c r="U936" t="s">
        <v>17762</v>
      </c>
      <c r="V936" t="s">
        <v>17763</v>
      </c>
      <c r="W936" t="s">
        <v>17764</v>
      </c>
      <c r="X936" t="s">
        <v>17765</v>
      </c>
      <c r="Y936" t="s">
        <v>17766</v>
      </c>
      <c r="Z936" t="s">
        <v>17767</v>
      </c>
      <c r="AA936" t="s">
        <v>17768</v>
      </c>
      <c r="AB936" t="s">
        <v>17769</v>
      </c>
      <c r="AC936" t="s">
        <v>17770</v>
      </c>
      <c r="AD936" t="s">
        <v>17771</v>
      </c>
      <c r="AE936" t="s">
        <v>17772</v>
      </c>
      <c r="AF936" t="s">
        <v>74</v>
      </c>
      <c r="AG936">
        <v>84</v>
      </c>
      <c r="AH936">
        <v>78</v>
      </c>
      <c r="AI936">
        <v>85</v>
      </c>
      <c r="AJ936">
        <v>6</v>
      </c>
      <c r="AK936">
        <v>54</v>
      </c>
      <c r="AL936" t="s">
        <v>5418</v>
      </c>
      <c r="AM936" t="s">
        <v>5419</v>
      </c>
      <c r="AN936" t="s">
        <v>5420</v>
      </c>
      <c r="AO936" t="s">
        <v>5421</v>
      </c>
      <c r="AP936" t="s">
        <v>74</v>
      </c>
      <c r="AQ936" t="s">
        <v>74</v>
      </c>
      <c r="AR936" t="s">
        <v>5411</v>
      </c>
      <c r="AS936" t="s">
        <v>157</v>
      </c>
      <c r="AT936" t="s">
        <v>17418</v>
      </c>
      <c r="AU936">
        <v>2018</v>
      </c>
      <c r="AV936">
        <v>31</v>
      </c>
      <c r="AW936">
        <v>2</v>
      </c>
      <c r="AX936" t="s">
        <v>74</v>
      </c>
      <c r="AY936" t="s">
        <v>74</v>
      </c>
      <c r="AZ936" t="s">
        <v>155</v>
      </c>
      <c r="BA936" t="s">
        <v>74</v>
      </c>
      <c r="BB936">
        <v>52</v>
      </c>
      <c r="BC936">
        <v>62</v>
      </c>
      <c r="BD936" t="s">
        <v>74</v>
      </c>
      <c r="BE936" t="s">
        <v>17773</v>
      </c>
      <c r="BF936" t="str">
        <f>HYPERLINK("http://dx.doi.org/10.5670/oceanog.2018.215","http://dx.doi.org/10.5670/oceanog.2018.215")</f>
        <v>http://dx.doi.org/10.5670/oceanog.2018.215</v>
      </c>
      <c r="BG936" t="s">
        <v>74</v>
      </c>
      <c r="BH936" t="s">
        <v>74</v>
      </c>
      <c r="BI936">
        <v>11</v>
      </c>
      <c r="BJ936" t="s">
        <v>157</v>
      </c>
      <c r="BK936" t="s">
        <v>101</v>
      </c>
      <c r="BL936" t="s">
        <v>157</v>
      </c>
      <c r="BM936" t="s">
        <v>17774</v>
      </c>
      <c r="BN936" t="s">
        <v>74</v>
      </c>
      <c r="BO936" t="s">
        <v>439</v>
      </c>
      <c r="BP936" t="s">
        <v>74</v>
      </c>
      <c r="BQ936" t="s">
        <v>74</v>
      </c>
      <c r="BR936" t="s">
        <v>104</v>
      </c>
      <c r="BS936" t="s">
        <v>17775</v>
      </c>
      <c r="BT936" t="str">
        <f>HYPERLINK("https%3A%2F%2Fwww.webofscience.com%2Fwos%2Fwoscc%2Ffull-record%2FWOS:000452824700012","View Full Record in Web of Science")</f>
        <v>View Full Record in Web of Science</v>
      </c>
    </row>
    <row r="937" spans="1:72" x14ac:dyDescent="0.15">
      <c r="A937" t="s">
        <v>72</v>
      </c>
      <c r="B937" t="s">
        <v>17776</v>
      </c>
      <c r="C937" t="s">
        <v>74</v>
      </c>
      <c r="D937" t="s">
        <v>74</v>
      </c>
      <c r="E937" t="s">
        <v>74</v>
      </c>
      <c r="F937" t="s">
        <v>17777</v>
      </c>
      <c r="G937" t="s">
        <v>74</v>
      </c>
      <c r="H937" t="s">
        <v>74</v>
      </c>
      <c r="I937" t="s">
        <v>17778</v>
      </c>
      <c r="J937" t="s">
        <v>5411</v>
      </c>
      <c r="K937" t="s">
        <v>74</v>
      </c>
      <c r="L937" t="s">
        <v>74</v>
      </c>
      <c r="M937" t="s">
        <v>78</v>
      </c>
      <c r="N937" t="s">
        <v>79</v>
      </c>
      <c r="O937" t="s">
        <v>74</v>
      </c>
      <c r="P937" t="s">
        <v>74</v>
      </c>
      <c r="Q937" t="s">
        <v>74</v>
      </c>
      <c r="R937" t="s">
        <v>74</v>
      </c>
      <c r="S937" t="s">
        <v>74</v>
      </c>
      <c r="T937" t="s">
        <v>74</v>
      </c>
      <c r="U937" t="s">
        <v>17779</v>
      </c>
      <c r="V937" t="s">
        <v>17780</v>
      </c>
      <c r="W937" t="s">
        <v>17781</v>
      </c>
      <c r="X937" t="s">
        <v>17782</v>
      </c>
      <c r="Y937" t="s">
        <v>17783</v>
      </c>
      <c r="Z937" t="s">
        <v>17784</v>
      </c>
      <c r="AA937" t="s">
        <v>17785</v>
      </c>
      <c r="AB937" t="s">
        <v>17786</v>
      </c>
      <c r="AC937" t="s">
        <v>17787</v>
      </c>
      <c r="AD937" t="s">
        <v>17788</v>
      </c>
      <c r="AE937" t="s">
        <v>17789</v>
      </c>
      <c r="AF937" t="s">
        <v>74</v>
      </c>
      <c r="AG937">
        <v>92</v>
      </c>
      <c r="AH937">
        <v>22</v>
      </c>
      <c r="AI937">
        <v>22</v>
      </c>
      <c r="AJ937">
        <v>0</v>
      </c>
      <c r="AK937">
        <v>6</v>
      </c>
      <c r="AL937" t="s">
        <v>5418</v>
      </c>
      <c r="AM937" t="s">
        <v>5419</v>
      </c>
      <c r="AN937" t="s">
        <v>5420</v>
      </c>
      <c r="AO937" t="s">
        <v>5421</v>
      </c>
      <c r="AP937" t="s">
        <v>74</v>
      </c>
      <c r="AQ937" t="s">
        <v>74</v>
      </c>
      <c r="AR937" t="s">
        <v>5411</v>
      </c>
      <c r="AS937" t="s">
        <v>157</v>
      </c>
      <c r="AT937" t="s">
        <v>17418</v>
      </c>
      <c r="AU937">
        <v>2018</v>
      </c>
      <c r="AV937">
        <v>31</v>
      </c>
      <c r="AW937">
        <v>2</v>
      </c>
      <c r="AX937" t="s">
        <v>74</v>
      </c>
      <c r="AY937" t="s">
        <v>74</v>
      </c>
      <c r="AZ937" t="s">
        <v>155</v>
      </c>
      <c r="BA937" t="s">
        <v>74</v>
      </c>
      <c r="BB937">
        <v>109</v>
      </c>
      <c r="BC937">
        <v>117</v>
      </c>
      <c r="BD937" t="s">
        <v>74</v>
      </c>
      <c r="BE937" t="s">
        <v>17790</v>
      </c>
      <c r="BF937" t="str">
        <f>HYPERLINK("http://dx.doi.org/10.5670/oceanog.2018.216","http://dx.doi.org/10.5670/oceanog.2018.216")</f>
        <v>http://dx.doi.org/10.5670/oceanog.2018.216</v>
      </c>
      <c r="BG937" t="s">
        <v>74</v>
      </c>
      <c r="BH937" t="s">
        <v>74</v>
      </c>
      <c r="BI937">
        <v>9</v>
      </c>
      <c r="BJ937" t="s">
        <v>157</v>
      </c>
      <c r="BK937" t="s">
        <v>101</v>
      </c>
      <c r="BL937" t="s">
        <v>157</v>
      </c>
      <c r="BM937" t="s">
        <v>17774</v>
      </c>
      <c r="BN937" t="s">
        <v>74</v>
      </c>
      <c r="BO937" t="s">
        <v>3382</v>
      </c>
      <c r="BP937" t="s">
        <v>74</v>
      </c>
      <c r="BQ937" t="s">
        <v>74</v>
      </c>
      <c r="BR937" t="s">
        <v>104</v>
      </c>
      <c r="BS937" t="s">
        <v>17791</v>
      </c>
      <c r="BT937" t="str">
        <f>HYPERLINK("https%3A%2F%2Fwww.webofscience.com%2Fwos%2Fwoscc%2Ffull-record%2FWOS:000452824700018","View Full Record in Web of Science")</f>
        <v>View Full Record in Web of Science</v>
      </c>
    </row>
    <row r="938" spans="1:72" x14ac:dyDescent="0.15">
      <c r="A938" t="s">
        <v>72</v>
      </c>
      <c r="B938" t="s">
        <v>17792</v>
      </c>
      <c r="C938" t="s">
        <v>74</v>
      </c>
      <c r="D938" t="s">
        <v>74</v>
      </c>
      <c r="E938" t="s">
        <v>74</v>
      </c>
      <c r="F938" t="s">
        <v>17793</v>
      </c>
      <c r="G938" t="s">
        <v>74</v>
      </c>
      <c r="H938" t="s">
        <v>74</v>
      </c>
      <c r="I938" t="s">
        <v>17794</v>
      </c>
      <c r="J938" t="s">
        <v>6625</v>
      </c>
      <c r="K938" t="s">
        <v>74</v>
      </c>
      <c r="L938" t="s">
        <v>74</v>
      </c>
      <c r="M938" t="s">
        <v>78</v>
      </c>
      <c r="N938" t="s">
        <v>79</v>
      </c>
      <c r="O938" t="s">
        <v>74</v>
      </c>
      <c r="P938" t="s">
        <v>74</v>
      </c>
      <c r="Q938" t="s">
        <v>74</v>
      </c>
      <c r="R938" t="s">
        <v>74</v>
      </c>
      <c r="S938" t="s">
        <v>74</v>
      </c>
      <c r="T938" t="s">
        <v>17795</v>
      </c>
      <c r="U938" t="s">
        <v>17796</v>
      </c>
      <c r="V938" t="s">
        <v>17797</v>
      </c>
      <c r="W938" t="s">
        <v>17798</v>
      </c>
      <c r="X938" t="s">
        <v>17799</v>
      </c>
      <c r="Y938" t="s">
        <v>17800</v>
      </c>
      <c r="Z938" t="s">
        <v>17801</v>
      </c>
      <c r="AA938" t="s">
        <v>17802</v>
      </c>
      <c r="AB938" t="s">
        <v>17803</v>
      </c>
      <c r="AC938" t="s">
        <v>17804</v>
      </c>
      <c r="AD938" t="s">
        <v>17805</v>
      </c>
      <c r="AE938" t="s">
        <v>17806</v>
      </c>
      <c r="AF938" t="s">
        <v>74</v>
      </c>
      <c r="AG938">
        <v>67</v>
      </c>
      <c r="AH938">
        <v>7</v>
      </c>
      <c r="AI938">
        <v>7</v>
      </c>
      <c r="AJ938">
        <v>1</v>
      </c>
      <c r="AK938">
        <v>10</v>
      </c>
      <c r="AL938" t="s">
        <v>676</v>
      </c>
      <c r="AM938" t="s">
        <v>677</v>
      </c>
      <c r="AN938" t="s">
        <v>678</v>
      </c>
      <c r="AO938" t="s">
        <v>6638</v>
      </c>
      <c r="AP938" t="s">
        <v>6639</v>
      </c>
      <c r="AQ938" t="s">
        <v>74</v>
      </c>
      <c r="AR938" t="s">
        <v>6640</v>
      </c>
      <c r="AS938" t="s">
        <v>6641</v>
      </c>
      <c r="AT938" t="s">
        <v>17418</v>
      </c>
      <c r="AU938">
        <v>2018</v>
      </c>
      <c r="AV938">
        <v>18</v>
      </c>
      <c r="AW938">
        <v>2</v>
      </c>
      <c r="AX938" t="s">
        <v>74</v>
      </c>
      <c r="AY938" t="s">
        <v>74</v>
      </c>
      <c r="AZ938" t="s">
        <v>74</v>
      </c>
      <c r="BA938" t="s">
        <v>74</v>
      </c>
      <c r="BB938">
        <v>187</v>
      </c>
      <c r="BC938">
        <v>210</v>
      </c>
      <c r="BD938" t="s">
        <v>74</v>
      </c>
      <c r="BE938" t="s">
        <v>17807</v>
      </c>
      <c r="BF938" t="str">
        <f>HYPERLINK("http://dx.doi.org/10.1007/s13127-017-0352-4","http://dx.doi.org/10.1007/s13127-017-0352-4")</f>
        <v>http://dx.doi.org/10.1007/s13127-017-0352-4</v>
      </c>
      <c r="BG938" t="s">
        <v>74</v>
      </c>
      <c r="BH938" t="s">
        <v>74</v>
      </c>
      <c r="BI938">
        <v>24</v>
      </c>
      <c r="BJ938" t="s">
        <v>6643</v>
      </c>
      <c r="BK938" t="s">
        <v>101</v>
      </c>
      <c r="BL938" t="s">
        <v>6643</v>
      </c>
      <c r="BM938" t="s">
        <v>17808</v>
      </c>
      <c r="BN938" t="s">
        <v>74</v>
      </c>
      <c r="BO938" t="s">
        <v>74</v>
      </c>
      <c r="BP938" t="s">
        <v>74</v>
      </c>
      <c r="BQ938" t="s">
        <v>74</v>
      </c>
      <c r="BR938" t="s">
        <v>104</v>
      </c>
      <c r="BS938" t="s">
        <v>17809</v>
      </c>
      <c r="BT938" t="str">
        <f>HYPERLINK("https%3A%2F%2Fwww.webofscience.com%2Fwos%2Fwoscc%2Ffull-record%2FWOS:000433009500004","View Full Record in Web of Science")</f>
        <v>View Full Record in Web of Science</v>
      </c>
    </row>
    <row r="939" spans="1:72" x14ac:dyDescent="0.15">
      <c r="A939" t="s">
        <v>72</v>
      </c>
      <c r="B939" t="s">
        <v>17810</v>
      </c>
      <c r="C939" t="s">
        <v>74</v>
      </c>
      <c r="D939" t="s">
        <v>74</v>
      </c>
      <c r="E939" t="s">
        <v>74</v>
      </c>
      <c r="F939" t="s">
        <v>17811</v>
      </c>
      <c r="G939" t="s">
        <v>74</v>
      </c>
      <c r="H939" t="s">
        <v>74</v>
      </c>
      <c r="I939" t="s">
        <v>17812</v>
      </c>
      <c r="J939" t="s">
        <v>17813</v>
      </c>
      <c r="K939" t="s">
        <v>74</v>
      </c>
      <c r="L939" t="s">
        <v>74</v>
      </c>
      <c r="M939" t="s">
        <v>78</v>
      </c>
      <c r="N939" t="s">
        <v>79</v>
      </c>
      <c r="O939" t="s">
        <v>74</v>
      </c>
      <c r="P939" t="s">
        <v>74</v>
      </c>
      <c r="Q939" t="s">
        <v>74</v>
      </c>
      <c r="R939" t="s">
        <v>74</v>
      </c>
      <c r="S939" t="s">
        <v>74</v>
      </c>
      <c r="T939" t="s">
        <v>17814</v>
      </c>
      <c r="U939" t="s">
        <v>17815</v>
      </c>
      <c r="V939" t="s">
        <v>17816</v>
      </c>
      <c r="W939" t="s">
        <v>17817</v>
      </c>
      <c r="X939" t="s">
        <v>17818</v>
      </c>
      <c r="Y939" t="s">
        <v>17819</v>
      </c>
      <c r="Z939" t="s">
        <v>17820</v>
      </c>
      <c r="AA939" t="s">
        <v>17821</v>
      </c>
      <c r="AB939" t="s">
        <v>74</v>
      </c>
      <c r="AC939" t="s">
        <v>17822</v>
      </c>
      <c r="AD939" t="s">
        <v>17823</v>
      </c>
      <c r="AE939" t="s">
        <v>17824</v>
      </c>
      <c r="AF939" t="s">
        <v>74</v>
      </c>
      <c r="AG939">
        <v>21</v>
      </c>
      <c r="AH939">
        <v>8</v>
      </c>
      <c r="AI939">
        <v>9</v>
      </c>
      <c r="AJ939">
        <v>2</v>
      </c>
      <c r="AK939">
        <v>17</v>
      </c>
      <c r="AL939" t="s">
        <v>430</v>
      </c>
      <c r="AM939" t="s">
        <v>286</v>
      </c>
      <c r="AN939" t="s">
        <v>431</v>
      </c>
      <c r="AO939" t="s">
        <v>17825</v>
      </c>
      <c r="AP939" t="s">
        <v>17826</v>
      </c>
      <c r="AQ939" t="s">
        <v>74</v>
      </c>
      <c r="AR939" t="s">
        <v>17827</v>
      </c>
      <c r="AS939" t="s">
        <v>17828</v>
      </c>
      <c r="AT939" t="s">
        <v>17829</v>
      </c>
      <c r="AU939">
        <v>2018</v>
      </c>
      <c r="AV939">
        <v>499</v>
      </c>
      <c r="AW939" t="s">
        <v>74</v>
      </c>
      <c r="AX939" t="s">
        <v>74</v>
      </c>
      <c r="AY939" t="s">
        <v>74</v>
      </c>
      <c r="AZ939" t="s">
        <v>74</v>
      </c>
      <c r="BA939" t="s">
        <v>74</v>
      </c>
      <c r="BB939">
        <v>233</v>
      </c>
      <c r="BC939">
        <v>240</v>
      </c>
      <c r="BD939" t="s">
        <v>74</v>
      </c>
      <c r="BE939" t="s">
        <v>17830</v>
      </c>
      <c r="BF939" t="str">
        <f>HYPERLINK("http://dx.doi.org/10.1016/j.physa.2017.12.019","http://dx.doi.org/10.1016/j.physa.2017.12.019")</f>
        <v>http://dx.doi.org/10.1016/j.physa.2017.12.019</v>
      </c>
      <c r="BG939" t="s">
        <v>74</v>
      </c>
      <c r="BH939" t="s">
        <v>74</v>
      </c>
      <c r="BI939">
        <v>8</v>
      </c>
      <c r="BJ939" t="s">
        <v>17831</v>
      </c>
      <c r="BK939" t="s">
        <v>101</v>
      </c>
      <c r="BL939" t="s">
        <v>4895</v>
      </c>
      <c r="BM939" t="s">
        <v>17832</v>
      </c>
      <c r="BN939" t="s">
        <v>74</v>
      </c>
      <c r="BO939" t="s">
        <v>74</v>
      </c>
      <c r="BP939" t="s">
        <v>74</v>
      </c>
      <c r="BQ939" t="s">
        <v>74</v>
      </c>
      <c r="BR939" t="s">
        <v>104</v>
      </c>
      <c r="BS939" t="s">
        <v>17833</v>
      </c>
      <c r="BT939" t="str">
        <f>HYPERLINK("https%3A%2F%2Fwww.webofscience.com%2Fwos%2Fwoscc%2Ffull-record%2FWOS:000428493900023","View Full Record in Web of Science")</f>
        <v>View Full Record in Web of Science</v>
      </c>
    </row>
    <row r="940" spans="1:72" x14ac:dyDescent="0.15">
      <c r="A940" t="s">
        <v>72</v>
      </c>
      <c r="B940" t="s">
        <v>17834</v>
      </c>
      <c r="C940" t="s">
        <v>74</v>
      </c>
      <c r="D940" t="s">
        <v>74</v>
      </c>
      <c r="E940" t="s">
        <v>74</v>
      </c>
      <c r="F940" t="s">
        <v>17835</v>
      </c>
      <c r="G940" t="s">
        <v>74</v>
      </c>
      <c r="H940" t="s">
        <v>74</v>
      </c>
      <c r="I940" t="s">
        <v>17836</v>
      </c>
      <c r="J940" t="s">
        <v>7287</v>
      </c>
      <c r="K940" t="s">
        <v>74</v>
      </c>
      <c r="L940" t="s">
        <v>74</v>
      </c>
      <c r="M940" t="s">
        <v>78</v>
      </c>
      <c r="N940" t="s">
        <v>79</v>
      </c>
      <c r="O940" t="s">
        <v>74</v>
      </c>
      <c r="P940" t="s">
        <v>74</v>
      </c>
      <c r="Q940" t="s">
        <v>74</v>
      </c>
      <c r="R940" t="s">
        <v>74</v>
      </c>
      <c r="S940" t="s">
        <v>74</v>
      </c>
      <c r="T940" t="s">
        <v>17837</v>
      </c>
      <c r="U940" t="s">
        <v>17838</v>
      </c>
      <c r="V940" t="s">
        <v>17839</v>
      </c>
      <c r="W940" t="s">
        <v>17840</v>
      </c>
      <c r="X940" t="s">
        <v>17841</v>
      </c>
      <c r="Y940" t="s">
        <v>17842</v>
      </c>
      <c r="Z940" t="s">
        <v>17843</v>
      </c>
      <c r="AA940" t="s">
        <v>17844</v>
      </c>
      <c r="AB940" t="s">
        <v>17845</v>
      </c>
      <c r="AC940" t="s">
        <v>17846</v>
      </c>
      <c r="AD940" t="s">
        <v>17847</v>
      </c>
      <c r="AE940" t="s">
        <v>17848</v>
      </c>
      <c r="AF940" t="s">
        <v>74</v>
      </c>
      <c r="AG940">
        <v>125</v>
      </c>
      <c r="AH940">
        <v>10</v>
      </c>
      <c r="AI940">
        <v>11</v>
      </c>
      <c r="AJ940">
        <v>0</v>
      </c>
      <c r="AK940">
        <v>5</v>
      </c>
      <c r="AL940" t="s">
        <v>285</v>
      </c>
      <c r="AM940" t="s">
        <v>286</v>
      </c>
      <c r="AN940" t="s">
        <v>287</v>
      </c>
      <c r="AO940" t="s">
        <v>7300</v>
      </c>
      <c r="AP940" t="s">
        <v>7301</v>
      </c>
      <c r="AQ940" t="s">
        <v>74</v>
      </c>
      <c r="AR940" t="s">
        <v>7302</v>
      </c>
      <c r="AS940" t="s">
        <v>7303</v>
      </c>
      <c r="AT940" t="s">
        <v>17418</v>
      </c>
      <c r="AU940">
        <v>2018</v>
      </c>
      <c r="AV940">
        <v>310</v>
      </c>
      <c r="AW940" t="s">
        <v>74</v>
      </c>
      <c r="AX940" t="s">
        <v>74</v>
      </c>
      <c r="AY940" t="s">
        <v>74</v>
      </c>
      <c r="AZ940" t="s">
        <v>74</v>
      </c>
      <c r="BA940" t="s">
        <v>74</v>
      </c>
      <c r="BB940">
        <v>76</v>
      </c>
      <c r="BC940">
        <v>92</v>
      </c>
      <c r="BD940" t="s">
        <v>74</v>
      </c>
      <c r="BE940" t="s">
        <v>17849</v>
      </c>
      <c r="BF940" t="str">
        <f>HYPERLINK("http://dx.doi.org/10.1016/j.precamres.2018.02.023","http://dx.doi.org/10.1016/j.precamres.2018.02.023")</f>
        <v>http://dx.doi.org/10.1016/j.precamres.2018.02.023</v>
      </c>
      <c r="BG940" t="s">
        <v>74</v>
      </c>
      <c r="BH940" t="s">
        <v>74</v>
      </c>
      <c r="BI940">
        <v>17</v>
      </c>
      <c r="BJ940" t="s">
        <v>182</v>
      </c>
      <c r="BK940" t="s">
        <v>101</v>
      </c>
      <c r="BL940" t="s">
        <v>183</v>
      </c>
      <c r="BM940" t="s">
        <v>17850</v>
      </c>
      <c r="BN940" t="s">
        <v>74</v>
      </c>
      <c r="BO940" t="s">
        <v>74</v>
      </c>
      <c r="BP940" t="s">
        <v>74</v>
      </c>
      <c r="BQ940" t="s">
        <v>74</v>
      </c>
      <c r="BR940" t="s">
        <v>104</v>
      </c>
      <c r="BS940" t="s">
        <v>17851</v>
      </c>
      <c r="BT940" t="str">
        <f>HYPERLINK("https%3A%2F%2Fwww.webofscience.com%2Fwos%2Fwoscc%2Ffull-record%2FWOS:000436218200005","View Full Record in Web of Science")</f>
        <v>View Full Record in Web of Science</v>
      </c>
    </row>
    <row r="941" spans="1:72" x14ac:dyDescent="0.15">
      <c r="A941" t="s">
        <v>72</v>
      </c>
      <c r="B941" t="s">
        <v>17852</v>
      </c>
      <c r="C941" t="s">
        <v>74</v>
      </c>
      <c r="D941" t="s">
        <v>74</v>
      </c>
      <c r="E941" t="s">
        <v>74</v>
      </c>
      <c r="F941" t="s">
        <v>17853</v>
      </c>
      <c r="G941" t="s">
        <v>74</v>
      </c>
      <c r="H941" t="s">
        <v>74</v>
      </c>
      <c r="I941" t="s">
        <v>17854</v>
      </c>
      <c r="J941" t="s">
        <v>17855</v>
      </c>
      <c r="K941" t="s">
        <v>74</v>
      </c>
      <c r="L941" t="s">
        <v>74</v>
      </c>
      <c r="M941" t="s">
        <v>78</v>
      </c>
      <c r="N941" t="s">
        <v>79</v>
      </c>
      <c r="O941" t="s">
        <v>74</v>
      </c>
      <c r="P941" t="s">
        <v>74</v>
      </c>
      <c r="Q941" t="s">
        <v>74</v>
      </c>
      <c r="R941" t="s">
        <v>74</v>
      </c>
      <c r="S941" t="s">
        <v>74</v>
      </c>
      <c r="T941" t="s">
        <v>17856</v>
      </c>
      <c r="U941" t="s">
        <v>17857</v>
      </c>
      <c r="V941" t="s">
        <v>17858</v>
      </c>
      <c r="W941" t="s">
        <v>17859</v>
      </c>
      <c r="X941" t="s">
        <v>17860</v>
      </c>
      <c r="Y941" t="s">
        <v>17861</v>
      </c>
      <c r="Z941" t="s">
        <v>17862</v>
      </c>
      <c r="AA941" t="s">
        <v>17863</v>
      </c>
      <c r="AB941" t="s">
        <v>17864</v>
      </c>
      <c r="AC941" t="s">
        <v>17865</v>
      </c>
      <c r="AD941" t="s">
        <v>17865</v>
      </c>
      <c r="AE941" t="s">
        <v>17866</v>
      </c>
      <c r="AF941" t="s">
        <v>74</v>
      </c>
      <c r="AG941">
        <v>79</v>
      </c>
      <c r="AH941">
        <v>10</v>
      </c>
      <c r="AI941">
        <v>11</v>
      </c>
      <c r="AJ941">
        <v>3</v>
      </c>
      <c r="AK941">
        <v>26</v>
      </c>
      <c r="AL941" t="s">
        <v>257</v>
      </c>
      <c r="AM941" t="s">
        <v>730</v>
      </c>
      <c r="AN941" t="s">
        <v>1559</v>
      </c>
      <c r="AO941" t="s">
        <v>17867</v>
      </c>
      <c r="AP941" t="s">
        <v>17868</v>
      </c>
      <c r="AQ941" t="s">
        <v>74</v>
      </c>
      <c r="AR941" t="s">
        <v>17869</v>
      </c>
      <c r="AS941" t="s">
        <v>17870</v>
      </c>
      <c r="AT941" t="s">
        <v>17418</v>
      </c>
      <c r="AU941">
        <v>2018</v>
      </c>
      <c r="AV941">
        <v>21</v>
      </c>
      <c r="AW941">
        <v>8</v>
      </c>
      <c r="AX941" t="s">
        <v>74</v>
      </c>
      <c r="AY941" t="s">
        <v>74</v>
      </c>
      <c r="AZ941" t="s">
        <v>74</v>
      </c>
      <c r="BA941" t="s">
        <v>74</v>
      </c>
      <c r="BB941">
        <v>1503</v>
      </c>
      <c r="BC941">
        <v>1514</v>
      </c>
      <c r="BD941" t="s">
        <v>74</v>
      </c>
      <c r="BE941" t="s">
        <v>17871</v>
      </c>
      <c r="BF941" t="str">
        <f>HYPERLINK("http://dx.doi.org/10.1017/S1368980017003895","http://dx.doi.org/10.1017/S1368980017003895")</f>
        <v>http://dx.doi.org/10.1017/S1368980017003895</v>
      </c>
      <c r="BG941" t="s">
        <v>74</v>
      </c>
      <c r="BH941" t="s">
        <v>74</v>
      </c>
      <c r="BI941">
        <v>12</v>
      </c>
      <c r="BJ941" t="s">
        <v>17872</v>
      </c>
      <c r="BK941" t="s">
        <v>1140</v>
      </c>
      <c r="BL941" t="s">
        <v>17872</v>
      </c>
      <c r="BM941" t="s">
        <v>17873</v>
      </c>
      <c r="BN941">
        <v>29352833</v>
      </c>
      <c r="BO941" t="s">
        <v>15719</v>
      </c>
      <c r="BP941" t="s">
        <v>74</v>
      </c>
      <c r="BQ941" t="s">
        <v>74</v>
      </c>
      <c r="BR941" t="s">
        <v>104</v>
      </c>
      <c r="BS941" t="s">
        <v>17874</v>
      </c>
      <c r="BT941" t="str">
        <f>HYPERLINK("https%3A%2F%2Fwww.webofscience.com%2Fwos%2Fwoscc%2Ffull-record%2FWOS:000432179600012","View Full Record in Web of Science")</f>
        <v>View Full Record in Web of Science</v>
      </c>
    </row>
    <row r="942" spans="1:72" x14ac:dyDescent="0.15">
      <c r="A942" t="s">
        <v>72</v>
      </c>
      <c r="B942" t="s">
        <v>17875</v>
      </c>
      <c r="C942" t="s">
        <v>74</v>
      </c>
      <c r="D942" t="s">
        <v>74</v>
      </c>
      <c r="E942" t="s">
        <v>74</v>
      </c>
      <c r="F942" t="s">
        <v>17876</v>
      </c>
      <c r="G942" t="s">
        <v>74</v>
      </c>
      <c r="H942" t="s">
        <v>74</v>
      </c>
      <c r="I942" t="s">
        <v>17877</v>
      </c>
      <c r="J942" t="s">
        <v>1866</v>
      </c>
      <c r="K942" t="s">
        <v>74</v>
      </c>
      <c r="L942" t="s">
        <v>74</v>
      </c>
      <c r="M942" t="s">
        <v>78</v>
      </c>
      <c r="N942" t="s">
        <v>79</v>
      </c>
      <c r="O942" t="s">
        <v>74</v>
      </c>
      <c r="P942" t="s">
        <v>74</v>
      </c>
      <c r="Q942" t="s">
        <v>74</v>
      </c>
      <c r="R942" t="s">
        <v>74</v>
      </c>
      <c r="S942" t="s">
        <v>74</v>
      </c>
      <c r="T942" t="s">
        <v>17878</v>
      </c>
      <c r="U942" t="s">
        <v>17879</v>
      </c>
      <c r="V942" t="s">
        <v>17880</v>
      </c>
      <c r="W942" t="s">
        <v>17881</v>
      </c>
      <c r="X942" t="s">
        <v>17882</v>
      </c>
      <c r="Y942" t="s">
        <v>17883</v>
      </c>
      <c r="Z942" t="s">
        <v>17884</v>
      </c>
      <c r="AA942" t="s">
        <v>17885</v>
      </c>
      <c r="AB942" t="s">
        <v>17886</v>
      </c>
      <c r="AC942" t="s">
        <v>17887</v>
      </c>
      <c r="AD942" t="s">
        <v>5122</v>
      </c>
      <c r="AE942" t="s">
        <v>17888</v>
      </c>
      <c r="AF942" t="s">
        <v>74</v>
      </c>
      <c r="AG942">
        <v>77</v>
      </c>
      <c r="AH942">
        <v>19</v>
      </c>
      <c r="AI942">
        <v>20</v>
      </c>
      <c r="AJ942">
        <v>0</v>
      </c>
      <c r="AK942">
        <v>12</v>
      </c>
      <c r="AL942" t="s">
        <v>149</v>
      </c>
      <c r="AM942" t="s">
        <v>93</v>
      </c>
      <c r="AN942" t="s">
        <v>150</v>
      </c>
      <c r="AO942" t="s">
        <v>1879</v>
      </c>
      <c r="AP942" t="s">
        <v>17889</v>
      </c>
      <c r="AQ942" t="s">
        <v>74</v>
      </c>
      <c r="AR942" t="s">
        <v>1880</v>
      </c>
      <c r="AS942" t="s">
        <v>1881</v>
      </c>
      <c r="AT942" t="s">
        <v>17829</v>
      </c>
      <c r="AU942">
        <v>2018</v>
      </c>
      <c r="AV942">
        <v>189</v>
      </c>
      <c r="AW942" t="s">
        <v>74</v>
      </c>
      <c r="AX942" t="s">
        <v>74</v>
      </c>
      <c r="AY942" t="s">
        <v>74</v>
      </c>
      <c r="AZ942" t="s">
        <v>74</v>
      </c>
      <c r="BA942" t="s">
        <v>74</v>
      </c>
      <c r="BB942">
        <v>134</v>
      </c>
      <c r="BC942">
        <v>148</v>
      </c>
      <c r="BD942" t="s">
        <v>74</v>
      </c>
      <c r="BE942" t="s">
        <v>17890</v>
      </c>
      <c r="BF942" t="str">
        <f>HYPERLINK("http://dx.doi.org/10.1016/j.quascirev.2018.04.011","http://dx.doi.org/10.1016/j.quascirev.2018.04.011")</f>
        <v>http://dx.doi.org/10.1016/j.quascirev.2018.04.011</v>
      </c>
      <c r="BG942" t="s">
        <v>74</v>
      </c>
      <c r="BH942" t="s">
        <v>74</v>
      </c>
      <c r="BI942">
        <v>15</v>
      </c>
      <c r="BJ942" t="s">
        <v>208</v>
      </c>
      <c r="BK942" t="s">
        <v>101</v>
      </c>
      <c r="BL942" t="s">
        <v>209</v>
      </c>
      <c r="BM942" t="s">
        <v>17891</v>
      </c>
      <c r="BN942" t="s">
        <v>74</v>
      </c>
      <c r="BO942" t="s">
        <v>74</v>
      </c>
      <c r="BP942" t="s">
        <v>74</v>
      </c>
      <c r="BQ942" t="s">
        <v>74</v>
      </c>
      <c r="BR942" t="s">
        <v>104</v>
      </c>
      <c r="BS942" t="s">
        <v>17892</v>
      </c>
      <c r="BT942" t="str">
        <f>HYPERLINK("https%3A%2F%2Fwww.webofscience.com%2Fwos%2Fwoscc%2Ffull-record%2FWOS:000432758500009","View Full Record in Web of Science")</f>
        <v>View Full Record in Web of Science</v>
      </c>
    </row>
    <row r="943" spans="1:72" x14ac:dyDescent="0.15">
      <c r="A943" t="s">
        <v>72</v>
      </c>
      <c r="B943" t="s">
        <v>17893</v>
      </c>
      <c r="C943" t="s">
        <v>74</v>
      </c>
      <c r="D943" t="s">
        <v>74</v>
      </c>
      <c r="E943" t="s">
        <v>74</v>
      </c>
      <c r="F943" t="s">
        <v>17894</v>
      </c>
      <c r="G943" t="s">
        <v>74</v>
      </c>
      <c r="H943" t="s">
        <v>74</v>
      </c>
      <c r="I943" t="s">
        <v>17895</v>
      </c>
      <c r="J943" t="s">
        <v>17896</v>
      </c>
      <c r="K943" t="s">
        <v>74</v>
      </c>
      <c r="L943" t="s">
        <v>74</v>
      </c>
      <c r="M943" t="s">
        <v>78</v>
      </c>
      <c r="N943" t="s">
        <v>79</v>
      </c>
      <c r="O943" t="s">
        <v>74</v>
      </c>
      <c r="P943" t="s">
        <v>74</v>
      </c>
      <c r="Q943" t="s">
        <v>74</v>
      </c>
      <c r="R943" t="s">
        <v>74</v>
      </c>
      <c r="S943" t="s">
        <v>74</v>
      </c>
      <c r="T943" t="s">
        <v>17897</v>
      </c>
      <c r="U943" t="s">
        <v>17898</v>
      </c>
      <c r="V943" t="s">
        <v>17899</v>
      </c>
      <c r="W943" t="s">
        <v>17900</v>
      </c>
      <c r="X943" t="s">
        <v>1468</v>
      </c>
      <c r="Y943" t="s">
        <v>17901</v>
      </c>
      <c r="Z943" t="s">
        <v>17902</v>
      </c>
      <c r="AA943" t="s">
        <v>74</v>
      </c>
      <c r="AB943" t="s">
        <v>17903</v>
      </c>
      <c r="AC943" t="s">
        <v>17904</v>
      </c>
      <c r="AD943" t="s">
        <v>5889</v>
      </c>
      <c r="AE943" t="s">
        <v>17905</v>
      </c>
      <c r="AF943" t="s">
        <v>74</v>
      </c>
      <c r="AG943">
        <v>23</v>
      </c>
      <c r="AH943">
        <v>16</v>
      </c>
      <c r="AI943">
        <v>17</v>
      </c>
      <c r="AJ943">
        <v>0</v>
      </c>
      <c r="AK943">
        <v>10</v>
      </c>
      <c r="AL943" t="s">
        <v>503</v>
      </c>
      <c r="AM943" t="s">
        <v>504</v>
      </c>
      <c r="AN943" t="s">
        <v>505</v>
      </c>
      <c r="AO943" t="s">
        <v>17906</v>
      </c>
      <c r="AP943" t="s">
        <v>17907</v>
      </c>
      <c r="AQ943" t="s">
        <v>74</v>
      </c>
      <c r="AR943" t="s">
        <v>17908</v>
      </c>
      <c r="AS943" t="s">
        <v>17909</v>
      </c>
      <c r="AT943" t="s">
        <v>17418</v>
      </c>
      <c r="AU943">
        <v>2018</v>
      </c>
      <c r="AV943">
        <v>53</v>
      </c>
      <c r="AW943">
        <v>6</v>
      </c>
      <c r="AX943" t="s">
        <v>74</v>
      </c>
      <c r="AY943" t="s">
        <v>74</v>
      </c>
      <c r="AZ943" t="s">
        <v>74</v>
      </c>
      <c r="BA943" t="s">
        <v>74</v>
      </c>
      <c r="BB943">
        <v>761</v>
      </c>
      <c r="BC943">
        <v>774</v>
      </c>
      <c r="BD943" t="s">
        <v>74</v>
      </c>
      <c r="BE943" t="s">
        <v>17910</v>
      </c>
      <c r="BF943" t="str">
        <f>HYPERLINK("http://dx.doi.org/10.1029/2017RS006492","http://dx.doi.org/10.1029/2017RS006492")</f>
        <v>http://dx.doi.org/10.1029/2017RS006492</v>
      </c>
      <c r="BG943" t="s">
        <v>74</v>
      </c>
      <c r="BH943" t="s">
        <v>74</v>
      </c>
      <c r="BI943">
        <v>14</v>
      </c>
      <c r="BJ943" t="s">
        <v>17911</v>
      </c>
      <c r="BK943" t="s">
        <v>101</v>
      </c>
      <c r="BL943" t="s">
        <v>17911</v>
      </c>
      <c r="BM943" t="s">
        <v>17912</v>
      </c>
      <c r="BN943" t="s">
        <v>74</v>
      </c>
      <c r="BO943" t="s">
        <v>1477</v>
      </c>
      <c r="BP943" t="s">
        <v>74</v>
      </c>
      <c r="BQ943" t="s">
        <v>74</v>
      </c>
      <c r="BR943" t="s">
        <v>104</v>
      </c>
      <c r="BS943" t="s">
        <v>17913</v>
      </c>
      <c r="BT943" t="str">
        <f>HYPERLINK("https%3A%2F%2Fwww.webofscience.com%2Fwos%2Fwoscc%2Ffull-record%2FWOS:000437765500006","View Full Record in Web of Science")</f>
        <v>View Full Record in Web of Science</v>
      </c>
    </row>
    <row r="944" spans="1:72" x14ac:dyDescent="0.15">
      <c r="A944" t="s">
        <v>72</v>
      </c>
      <c r="B944" t="s">
        <v>17914</v>
      </c>
      <c r="C944" t="s">
        <v>74</v>
      </c>
      <c r="D944" t="s">
        <v>74</v>
      </c>
      <c r="E944" t="s">
        <v>74</v>
      </c>
      <c r="F944" t="s">
        <v>17915</v>
      </c>
      <c r="G944" t="s">
        <v>74</v>
      </c>
      <c r="H944" t="s">
        <v>74</v>
      </c>
      <c r="I944" t="s">
        <v>17916</v>
      </c>
      <c r="J944" t="s">
        <v>17917</v>
      </c>
      <c r="K944" t="s">
        <v>74</v>
      </c>
      <c r="L944" t="s">
        <v>74</v>
      </c>
      <c r="M944" t="s">
        <v>78</v>
      </c>
      <c r="N944" t="s">
        <v>79</v>
      </c>
      <c r="O944" t="s">
        <v>74</v>
      </c>
      <c r="P944" t="s">
        <v>74</v>
      </c>
      <c r="Q944" t="s">
        <v>74</v>
      </c>
      <c r="R944" t="s">
        <v>74</v>
      </c>
      <c r="S944" t="s">
        <v>74</v>
      </c>
      <c r="T944" t="s">
        <v>17918</v>
      </c>
      <c r="U944" t="s">
        <v>17919</v>
      </c>
      <c r="V944" t="s">
        <v>17920</v>
      </c>
      <c r="W944" t="s">
        <v>17921</v>
      </c>
      <c r="X944" t="s">
        <v>17922</v>
      </c>
      <c r="Y944" t="s">
        <v>17923</v>
      </c>
      <c r="Z944" t="s">
        <v>17924</v>
      </c>
      <c r="AA944" t="s">
        <v>74</v>
      </c>
      <c r="AB944" t="s">
        <v>74</v>
      </c>
      <c r="AC944" t="s">
        <v>17925</v>
      </c>
      <c r="AD944" t="s">
        <v>17925</v>
      </c>
      <c r="AE944" t="s">
        <v>17926</v>
      </c>
      <c r="AF944" t="s">
        <v>74</v>
      </c>
      <c r="AG944">
        <v>61</v>
      </c>
      <c r="AH944">
        <v>9</v>
      </c>
      <c r="AI944">
        <v>9</v>
      </c>
      <c r="AJ944">
        <v>3</v>
      </c>
      <c r="AK944">
        <v>17</v>
      </c>
      <c r="AL944" t="s">
        <v>17917</v>
      </c>
      <c r="AM944" t="s">
        <v>17927</v>
      </c>
      <c r="AN944" t="s">
        <v>17928</v>
      </c>
      <c r="AO944" t="s">
        <v>17929</v>
      </c>
      <c r="AP944" t="s">
        <v>17930</v>
      </c>
      <c r="AQ944" t="s">
        <v>74</v>
      </c>
      <c r="AR944" t="s">
        <v>17931</v>
      </c>
      <c r="AS944" t="s">
        <v>17932</v>
      </c>
      <c r="AT944" t="s">
        <v>17418</v>
      </c>
      <c r="AU944">
        <v>2018</v>
      </c>
      <c r="AV944">
        <v>66</v>
      </c>
      <c r="AW944">
        <v>2</v>
      </c>
      <c r="AX944" t="s">
        <v>74</v>
      </c>
      <c r="AY944" t="s">
        <v>74</v>
      </c>
      <c r="AZ944" t="s">
        <v>74</v>
      </c>
      <c r="BA944" t="s">
        <v>74</v>
      </c>
      <c r="BB944">
        <v>674</v>
      </c>
      <c r="BC944">
        <v>687</v>
      </c>
      <c r="BD944" t="s">
        <v>74</v>
      </c>
      <c r="BE944" t="s">
        <v>74</v>
      </c>
      <c r="BF944" t="s">
        <v>74</v>
      </c>
      <c r="BG944" t="s">
        <v>74</v>
      </c>
      <c r="BH944" t="s">
        <v>74</v>
      </c>
      <c r="BI944">
        <v>14</v>
      </c>
      <c r="BJ944" t="s">
        <v>7485</v>
      </c>
      <c r="BK944" t="s">
        <v>101</v>
      </c>
      <c r="BL944" t="s">
        <v>7486</v>
      </c>
      <c r="BM944" t="s">
        <v>17933</v>
      </c>
      <c r="BN944" t="s">
        <v>74</v>
      </c>
      <c r="BO944" t="s">
        <v>8615</v>
      </c>
      <c r="BP944" t="s">
        <v>74</v>
      </c>
      <c r="BQ944" t="s">
        <v>74</v>
      </c>
      <c r="BR944" t="s">
        <v>104</v>
      </c>
      <c r="BS944" t="s">
        <v>17934</v>
      </c>
      <c r="BT944" t="str">
        <f>HYPERLINK("https%3A%2F%2Fwww.webofscience.com%2Fwos%2Fwoscc%2Ffull-record%2FWOS:000438605300014","View Full Record in Web of Science")</f>
        <v>View Full Record in Web of Science</v>
      </c>
    </row>
    <row r="945" spans="1:72" x14ac:dyDescent="0.15">
      <c r="A945" t="s">
        <v>72</v>
      </c>
      <c r="B945" t="s">
        <v>17935</v>
      </c>
      <c r="C945" t="s">
        <v>74</v>
      </c>
      <c r="D945" t="s">
        <v>74</v>
      </c>
      <c r="E945" t="s">
        <v>74</v>
      </c>
      <c r="F945" t="s">
        <v>17936</v>
      </c>
      <c r="G945" t="s">
        <v>74</v>
      </c>
      <c r="H945" t="s">
        <v>74</v>
      </c>
      <c r="I945" t="s">
        <v>17937</v>
      </c>
      <c r="J945" t="s">
        <v>1443</v>
      </c>
      <c r="K945" t="s">
        <v>74</v>
      </c>
      <c r="L945" t="s">
        <v>74</v>
      </c>
      <c r="M945" t="s">
        <v>78</v>
      </c>
      <c r="N945" t="s">
        <v>79</v>
      </c>
      <c r="O945" t="s">
        <v>74</v>
      </c>
      <c r="P945" t="s">
        <v>74</v>
      </c>
      <c r="Q945" t="s">
        <v>74</v>
      </c>
      <c r="R945" t="s">
        <v>74</v>
      </c>
      <c r="S945" t="s">
        <v>74</v>
      </c>
      <c r="T945" t="s">
        <v>74</v>
      </c>
      <c r="U945" t="s">
        <v>17938</v>
      </c>
      <c r="V945" t="s">
        <v>17939</v>
      </c>
      <c r="W945" t="s">
        <v>17940</v>
      </c>
      <c r="X945" t="s">
        <v>17941</v>
      </c>
      <c r="Y945" t="s">
        <v>17942</v>
      </c>
      <c r="Z945" t="s">
        <v>17943</v>
      </c>
      <c r="AA945" t="s">
        <v>17944</v>
      </c>
      <c r="AB945" t="s">
        <v>17945</v>
      </c>
      <c r="AC945" t="s">
        <v>17946</v>
      </c>
      <c r="AD945" t="s">
        <v>17947</v>
      </c>
      <c r="AE945" t="s">
        <v>17948</v>
      </c>
      <c r="AF945" t="s">
        <v>74</v>
      </c>
      <c r="AG945">
        <v>49</v>
      </c>
      <c r="AH945">
        <v>35</v>
      </c>
      <c r="AI945">
        <v>37</v>
      </c>
      <c r="AJ945">
        <v>0</v>
      </c>
      <c r="AK945">
        <v>16</v>
      </c>
      <c r="AL945" t="s">
        <v>503</v>
      </c>
      <c r="AM945" t="s">
        <v>504</v>
      </c>
      <c r="AN945" t="s">
        <v>505</v>
      </c>
      <c r="AO945" t="s">
        <v>1455</v>
      </c>
      <c r="AP945" t="s">
        <v>74</v>
      </c>
      <c r="AQ945" t="s">
        <v>74</v>
      </c>
      <c r="AR945" t="s">
        <v>1456</v>
      </c>
      <c r="AS945" t="s">
        <v>1457</v>
      </c>
      <c r="AT945" t="s">
        <v>17418</v>
      </c>
      <c r="AU945">
        <v>2018</v>
      </c>
      <c r="AV945">
        <v>16</v>
      </c>
      <c r="AW945">
        <v>6</v>
      </c>
      <c r="AX945" t="s">
        <v>74</v>
      </c>
      <c r="AY945" t="s">
        <v>74</v>
      </c>
      <c r="AZ945" t="s">
        <v>74</v>
      </c>
      <c r="BA945" t="s">
        <v>74</v>
      </c>
      <c r="BB945">
        <v>648</v>
      </c>
      <c r="BC945">
        <v>659</v>
      </c>
      <c r="BD945" t="s">
        <v>74</v>
      </c>
      <c r="BE945" t="s">
        <v>17949</v>
      </c>
      <c r="BF945" t="str">
        <f>HYPERLINK("http://dx.doi.org/10.1029/2018SW001865","http://dx.doi.org/10.1029/2018SW001865")</f>
        <v>http://dx.doi.org/10.1029/2018SW001865</v>
      </c>
      <c r="BG945" t="s">
        <v>74</v>
      </c>
      <c r="BH945" t="s">
        <v>74</v>
      </c>
      <c r="BI945">
        <v>12</v>
      </c>
      <c r="BJ945" t="s">
        <v>1459</v>
      </c>
      <c r="BK945" t="s">
        <v>101</v>
      </c>
      <c r="BL945" t="s">
        <v>1459</v>
      </c>
      <c r="BM945" t="s">
        <v>17950</v>
      </c>
      <c r="BN945" t="s">
        <v>74</v>
      </c>
      <c r="BO945" t="s">
        <v>712</v>
      </c>
      <c r="BP945" t="s">
        <v>74</v>
      </c>
      <c r="BQ945" t="s">
        <v>74</v>
      </c>
      <c r="BR945" t="s">
        <v>104</v>
      </c>
      <c r="BS945" t="s">
        <v>17951</v>
      </c>
      <c r="BT945" t="str">
        <f>HYPERLINK("https%3A%2F%2Fwww.webofscience.com%2Fwos%2Fwoscc%2Ffull-record%2FWOS:000438371500006","View Full Record in Web of Science")</f>
        <v>View Full Record in Web of Science</v>
      </c>
    </row>
    <row r="946" spans="1:72" x14ac:dyDescent="0.15">
      <c r="A946" t="s">
        <v>72</v>
      </c>
      <c r="B946" t="s">
        <v>17952</v>
      </c>
      <c r="C946" t="s">
        <v>74</v>
      </c>
      <c r="D946" t="s">
        <v>74</v>
      </c>
      <c r="E946" t="s">
        <v>74</v>
      </c>
      <c r="F946" t="s">
        <v>17953</v>
      </c>
      <c r="G946" t="s">
        <v>74</v>
      </c>
      <c r="H946" t="s">
        <v>74</v>
      </c>
      <c r="I946" t="s">
        <v>17954</v>
      </c>
      <c r="J946" t="s">
        <v>17955</v>
      </c>
      <c r="K946" t="s">
        <v>74</v>
      </c>
      <c r="L946" t="s">
        <v>74</v>
      </c>
      <c r="M946" t="s">
        <v>78</v>
      </c>
      <c r="N946" t="s">
        <v>79</v>
      </c>
      <c r="O946" t="s">
        <v>74</v>
      </c>
      <c r="P946" t="s">
        <v>74</v>
      </c>
      <c r="Q946" t="s">
        <v>74</v>
      </c>
      <c r="R946" t="s">
        <v>74</v>
      </c>
      <c r="S946" t="s">
        <v>74</v>
      </c>
      <c r="T946" t="s">
        <v>17956</v>
      </c>
      <c r="U946" t="s">
        <v>17957</v>
      </c>
      <c r="V946" t="s">
        <v>17958</v>
      </c>
      <c r="W946" t="s">
        <v>17959</v>
      </c>
      <c r="X946" t="s">
        <v>17960</v>
      </c>
      <c r="Y946" t="s">
        <v>17961</v>
      </c>
      <c r="Z946" t="s">
        <v>17962</v>
      </c>
      <c r="AA946" t="s">
        <v>17963</v>
      </c>
      <c r="AB946" t="s">
        <v>17964</v>
      </c>
      <c r="AC946" t="s">
        <v>17965</v>
      </c>
      <c r="AD946" t="s">
        <v>17965</v>
      </c>
      <c r="AE946" t="s">
        <v>17966</v>
      </c>
      <c r="AF946" t="s">
        <v>74</v>
      </c>
      <c r="AG946">
        <v>53</v>
      </c>
      <c r="AH946">
        <v>1</v>
      </c>
      <c r="AI946">
        <v>1</v>
      </c>
      <c r="AJ946">
        <v>0</v>
      </c>
      <c r="AK946">
        <v>6</v>
      </c>
      <c r="AL946" t="s">
        <v>785</v>
      </c>
      <c r="AM946" t="s">
        <v>786</v>
      </c>
      <c r="AN946" t="s">
        <v>787</v>
      </c>
      <c r="AO946" t="s">
        <v>17967</v>
      </c>
      <c r="AP946" t="s">
        <v>17968</v>
      </c>
      <c r="AQ946" t="s">
        <v>74</v>
      </c>
      <c r="AR946" t="s">
        <v>17969</v>
      </c>
      <c r="AS946" t="s">
        <v>17970</v>
      </c>
      <c r="AT946" t="s">
        <v>17418</v>
      </c>
      <c r="AU946">
        <v>2018</v>
      </c>
      <c r="AV946">
        <v>33</v>
      </c>
      <c r="AW946">
        <v>3</v>
      </c>
      <c r="AX946" t="s">
        <v>74</v>
      </c>
      <c r="AY946" t="s">
        <v>74</v>
      </c>
      <c r="AZ946" t="s">
        <v>74</v>
      </c>
      <c r="BA946" t="s">
        <v>74</v>
      </c>
      <c r="BB946">
        <v>813</v>
      </c>
      <c r="BC946">
        <v>833</v>
      </c>
      <c r="BD946" t="s">
        <v>74</v>
      </c>
      <c r="BE946" t="s">
        <v>17971</v>
      </c>
      <c r="BF946" t="str">
        <f>HYPERLINK("http://dx.doi.org/10.1175/waf-d-18-0031.1","http://dx.doi.org/10.1175/waf-d-18-0031.1")</f>
        <v>http://dx.doi.org/10.1175/waf-d-18-0031.1</v>
      </c>
      <c r="BG946" t="s">
        <v>74</v>
      </c>
      <c r="BH946" t="s">
        <v>74</v>
      </c>
      <c r="BI946">
        <v>21</v>
      </c>
      <c r="BJ946" t="s">
        <v>369</v>
      </c>
      <c r="BK946" t="s">
        <v>101</v>
      </c>
      <c r="BL946" t="s">
        <v>369</v>
      </c>
      <c r="BM946" t="s">
        <v>17972</v>
      </c>
      <c r="BN946" t="s">
        <v>74</v>
      </c>
      <c r="BO946" t="s">
        <v>1142</v>
      </c>
      <c r="BP946" t="s">
        <v>74</v>
      </c>
      <c r="BQ946" t="s">
        <v>74</v>
      </c>
      <c r="BR946" t="s">
        <v>104</v>
      </c>
      <c r="BS946" t="s">
        <v>17973</v>
      </c>
      <c r="BT946" t="str">
        <f>HYPERLINK("https%3A%2F%2Fwww.webofscience.com%2Fwos%2Fwoscc%2Ffull-record%2FWOS:000437098000001","View Full Record in Web of Science")</f>
        <v>View Full Record in Web of Science</v>
      </c>
    </row>
    <row r="947" spans="1:72" x14ac:dyDescent="0.15">
      <c r="A947" t="s">
        <v>72</v>
      </c>
      <c r="B947" t="s">
        <v>17974</v>
      </c>
      <c r="C947" t="s">
        <v>74</v>
      </c>
      <c r="D947" t="s">
        <v>74</v>
      </c>
      <c r="E947" t="s">
        <v>74</v>
      </c>
      <c r="F947" t="s">
        <v>17975</v>
      </c>
      <c r="G947" t="s">
        <v>74</v>
      </c>
      <c r="H947" t="s">
        <v>74</v>
      </c>
      <c r="I947" t="s">
        <v>17976</v>
      </c>
      <c r="J947" t="s">
        <v>417</v>
      </c>
      <c r="K947" t="s">
        <v>74</v>
      </c>
      <c r="L947" t="s">
        <v>74</v>
      </c>
      <c r="M947" t="s">
        <v>78</v>
      </c>
      <c r="N947" t="s">
        <v>418</v>
      </c>
      <c r="O947" t="s">
        <v>74</v>
      </c>
      <c r="P947" t="s">
        <v>74</v>
      </c>
      <c r="Q947" t="s">
        <v>74</v>
      </c>
      <c r="R947" t="s">
        <v>74</v>
      </c>
      <c r="S947" t="s">
        <v>74</v>
      </c>
      <c r="T947" t="s">
        <v>17977</v>
      </c>
      <c r="U947" t="s">
        <v>17978</v>
      </c>
      <c r="V947" t="s">
        <v>17979</v>
      </c>
      <c r="W947" t="s">
        <v>17980</v>
      </c>
      <c r="X947" t="s">
        <v>17981</v>
      </c>
      <c r="Y947" t="s">
        <v>17982</v>
      </c>
      <c r="Z947" t="s">
        <v>17983</v>
      </c>
      <c r="AA947" t="s">
        <v>17984</v>
      </c>
      <c r="AB947" t="s">
        <v>17985</v>
      </c>
      <c r="AC947" t="s">
        <v>17986</v>
      </c>
      <c r="AD947" t="s">
        <v>17987</v>
      </c>
      <c r="AE947" t="s">
        <v>17988</v>
      </c>
      <c r="AF947" t="s">
        <v>74</v>
      </c>
      <c r="AG947">
        <v>19</v>
      </c>
      <c r="AH947">
        <v>2</v>
      </c>
      <c r="AI947">
        <v>2</v>
      </c>
      <c r="AJ947">
        <v>0</v>
      </c>
      <c r="AK947">
        <v>1</v>
      </c>
      <c r="AL947" t="s">
        <v>285</v>
      </c>
      <c r="AM947" t="s">
        <v>286</v>
      </c>
      <c r="AN947" t="s">
        <v>287</v>
      </c>
      <c r="AO947" t="s">
        <v>432</v>
      </c>
      <c r="AP947" t="s">
        <v>74</v>
      </c>
      <c r="AQ947" t="s">
        <v>74</v>
      </c>
      <c r="AR947" t="s">
        <v>433</v>
      </c>
      <c r="AS947" t="s">
        <v>434</v>
      </c>
      <c r="AT947" t="s">
        <v>17418</v>
      </c>
      <c r="AU947">
        <v>2018</v>
      </c>
      <c r="AV947">
        <v>18</v>
      </c>
      <c r="AW947" t="s">
        <v>74</v>
      </c>
      <c r="AX947" t="s">
        <v>74</v>
      </c>
      <c r="AY947" t="s">
        <v>74</v>
      </c>
      <c r="AZ947" t="s">
        <v>74</v>
      </c>
      <c r="BA947" t="s">
        <v>74</v>
      </c>
      <c r="BB947">
        <v>576</v>
      </c>
      <c r="BC947">
        <v>584</v>
      </c>
      <c r="BD947" t="s">
        <v>74</v>
      </c>
      <c r="BE947" t="s">
        <v>17989</v>
      </c>
      <c r="BF947" t="str">
        <f>HYPERLINK("http://dx.doi.org/10.1016/j.dib.2018.03.014","http://dx.doi.org/10.1016/j.dib.2018.03.014")</f>
        <v>http://dx.doi.org/10.1016/j.dib.2018.03.014</v>
      </c>
      <c r="BG947" t="s">
        <v>74</v>
      </c>
      <c r="BH947" t="s">
        <v>74</v>
      </c>
      <c r="BI947">
        <v>9</v>
      </c>
      <c r="BJ947" t="s">
        <v>436</v>
      </c>
      <c r="BK947" t="s">
        <v>126</v>
      </c>
      <c r="BL947" t="s">
        <v>437</v>
      </c>
      <c r="BM947" t="s">
        <v>17990</v>
      </c>
      <c r="BN947">
        <v>29896530</v>
      </c>
      <c r="BO947" t="s">
        <v>1566</v>
      </c>
      <c r="BP947" t="s">
        <v>74</v>
      </c>
      <c r="BQ947" t="s">
        <v>74</v>
      </c>
      <c r="BR947" t="s">
        <v>104</v>
      </c>
      <c r="BS947" t="s">
        <v>17991</v>
      </c>
      <c r="BT947" t="str">
        <f>HYPERLINK("https%3A%2F%2Fwww.webofscience.com%2Fwos%2Fwoscc%2Ffull-record%2FWOS:000449815400073","View Full Record in Web of Science")</f>
        <v>View Full Record in Web of Science</v>
      </c>
    </row>
    <row r="948" spans="1:72" x14ac:dyDescent="0.15">
      <c r="A948" t="s">
        <v>72</v>
      </c>
      <c r="B948" t="s">
        <v>17992</v>
      </c>
      <c r="C948" t="s">
        <v>74</v>
      </c>
      <c r="D948" t="s">
        <v>74</v>
      </c>
      <c r="E948" t="s">
        <v>74</v>
      </c>
      <c r="F948" t="s">
        <v>17993</v>
      </c>
      <c r="G948" t="s">
        <v>74</v>
      </c>
      <c r="H948" t="s">
        <v>74</v>
      </c>
      <c r="I948" t="s">
        <v>17994</v>
      </c>
      <c r="J948" t="s">
        <v>773</v>
      </c>
      <c r="K948" t="s">
        <v>74</v>
      </c>
      <c r="L948" t="s">
        <v>74</v>
      </c>
      <c r="M948" t="s">
        <v>78</v>
      </c>
      <c r="N948" t="s">
        <v>4341</v>
      </c>
      <c r="O948" t="s">
        <v>74</v>
      </c>
      <c r="P948" t="s">
        <v>74</v>
      </c>
      <c r="Q948" t="s">
        <v>74</v>
      </c>
      <c r="R948" t="s">
        <v>74</v>
      </c>
      <c r="S948" t="s">
        <v>74</v>
      </c>
      <c r="T948" t="s">
        <v>74</v>
      </c>
      <c r="U948" t="s">
        <v>74</v>
      </c>
      <c r="V948" t="s">
        <v>74</v>
      </c>
      <c r="W948" t="s">
        <v>17995</v>
      </c>
      <c r="X948" t="s">
        <v>17996</v>
      </c>
      <c r="Y948" t="s">
        <v>17997</v>
      </c>
      <c r="Z948" t="s">
        <v>17998</v>
      </c>
      <c r="AA948" t="s">
        <v>17999</v>
      </c>
      <c r="AB948" t="s">
        <v>74</v>
      </c>
      <c r="AC948" t="s">
        <v>74</v>
      </c>
      <c r="AD948" t="s">
        <v>74</v>
      </c>
      <c r="AE948" t="s">
        <v>74</v>
      </c>
      <c r="AF948" t="s">
        <v>74</v>
      </c>
      <c r="AG948">
        <v>1</v>
      </c>
      <c r="AH948">
        <v>1</v>
      </c>
      <c r="AI948">
        <v>1</v>
      </c>
      <c r="AJ948">
        <v>0</v>
      </c>
      <c r="AK948">
        <v>1</v>
      </c>
      <c r="AL948" t="s">
        <v>785</v>
      </c>
      <c r="AM948" t="s">
        <v>786</v>
      </c>
      <c r="AN948" t="s">
        <v>787</v>
      </c>
      <c r="AO948" t="s">
        <v>788</v>
      </c>
      <c r="AP948" t="s">
        <v>789</v>
      </c>
      <c r="AQ948" t="s">
        <v>74</v>
      </c>
      <c r="AR948" t="s">
        <v>790</v>
      </c>
      <c r="AS948" t="s">
        <v>791</v>
      </c>
      <c r="AT948" t="s">
        <v>17418</v>
      </c>
      <c r="AU948">
        <v>2018</v>
      </c>
      <c r="AV948">
        <v>31</v>
      </c>
      <c r="AW948">
        <v>12</v>
      </c>
      <c r="AX948" t="s">
        <v>74</v>
      </c>
      <c r="AY948" t="s">
        <v>74</v>
      </c>
      <c r="AZ948" t="s">
        <v>74</v>
      </c>
      <c r="BA948" t="s">
        <v>74</v>
      </c>
      <c r="BB948">
        <v>4963</v>
      </c>
      <c r="BC948">
        <v>4964</v>
      </c>
      <c r="BD948" t="s">
        <v>74</v>
      </c>
      <c r="BE948" t="s">
        <v>18000</v>
      </c>
      <c r="BF948" t="str">
        <f>HYPERLINK("http://dx.doi.org/10.1175/JCLI-D-18-0100.1","http://dx.doi.org/10.1175/JCLI-D-18-0100.1")</f>
        <v>http://dx.doi.org/10.1175/JCLI-D-18-0100.1</v>
      </c>
      <c r="BG948" t="s">
        <v>74</v>
      </c>
      <c r="BH948" t="s">
        <v>74</v>
      </c>
      <c r="BI948">
        <v>2</v>
      </c>
      <c r="BJ948" t="s">
        <v>369</v>
      </c>
      <c r="BK948" t="s">
        <v>101</v>
      </c>
      <c r="BL948" t="s">
        <v>369</v>
      </c>
      <c r="BM948" t="s">
        <v>18001</v>
      </c>
      <c r="BN948" t="s">
        <v>74</v>
      </c>
      <c r="BO948" t="s">
        <v>712</v>
      </c>
      <c r="BP948" t="s">
        <v>74</v>
      </c>
      <c r="BQ948" t="s">
        <v>74</v>
      </c>
      <c r="BR948" t="s">
        <v>104</v>
      </c>
      <c r="BS948" t="s">
        <v>18002</v>
      </c>
      <c r="BT948" t="str">
        <f>HYPERLINK("https%3A%2F%2Fwww.webofscience.com%2Fwos%2Fwoscc%2Ffull-record%2FWOS:000450690300003","View Full Record in Web of Science")</f>
        <v>View Full Record in Web of Science</v>
      </c>
    </row>
    <row r="949" spans="1:72" x14ac:dyDescent="0.15">
      <c r="A949" t="s">
        <v>72</v>
      </c>
      <c r="B949" t="s">
        <v>18003</v>
      </c>
      <c r="C949" t="s">
        <v>74</v>
      </c>
      <c r="D949" t="s">
        <v>74</v>
      </c>
      <c r="E949" t="s">
        <v>74</v>
      </c>
      <c r="F949" t="s">
        <v>18004</v>
      </c>
      <c r="G949" t="s">
        <v>74</v>
      </c>
      <c r="H949" t="s">
        <v>74</v>
      </c>
      <c r="I949" t="s">
        <v>18005</v>
      </c>
      <c r="J949" t="s">
        <v>18006</v>
      </c>
      <c r="K949" t="s">
        <v>74</v>
      </c>
      <c r="L949" t="s">
        <v>74</v>
      </c>
      <c r="M949" t="s">
        <v>78</v>
      </c>
      <c r="N949" t="s">
        <v>79</v>
      </c>
      <c r="O949" t="s">
        <v>74</v>
      </c>
      <c r="P949" t="s">
        <v>74</v>
      </c>
      <c r="Q949" t="s">
        <v>74</v>
      </c>
      <c r="R949" t="s">
        <v>74</v>
      </c>
      <c r="S949" t="s">
        <v>74</v>
      </c>
      <c r="T949" t="s">
        <v>18007</v>
      </c>
      <c r="U949" t="s">
        <v>18008</v>
      </c>
      <c r="V949" t="s">
        <v>18009</v>
      </c>
      <c r="W949" t="s">
        <v>18010</v>
      </c>
      <c r="X949" t="s">
        <v>18011</v>
      </c>
      <c r="Y949" t="s">
        <v>18012</v>
      </c>
      <c r="Z949" t="s">
        <v>18013</v>
      </c>
      <c r="AA949" t="s">
        <v>18014</v>
      </c>
      <c r="AB949" t="s">
        <v>18015</v>
      </c>
      <c r="AC949" t="s">
        <v>18016</v>
      </c>
      <c r="AD949" t="s">
        <v>18017</v>
      </c>
      <c r="AE949" t="s">
        <v>18018</v>
      </c>
      <c r="AF949" t="s">
        <v>74</v>
      </c>
      <c r="AG949">
        <v>38</v>
      </c>
      <c r="AH949">
        <v>4</v>
      </c>
      <c r="AI949">
        <v>4</v>
      </c>
      <c r="AJ949">
        <v>0</v>
      </c>
      <c r="AK949">
        <v>7</v>
      </c>
      <c r="AL949" t="s">
        <v>1053</v>
      </c>
      <c r="AM949" t="s">
        <v>1054</v>
      </c>
      <c r="AN949" t="s">
        <v>1055</v>
      </c>
      <c r="AO949" t="s">
        <v>18019</v>
      </c>
      <c r="AP949" t="s">
        <v>74</v>
      </c>
      <c r="AQ949" t="s">
        <v>74</v>
      </c>
      <c r="AR949" t="s">
        <v>18020</v>
      </c>
      <c r="AS949" t="s">
        <v>18021</v>
      </c>
      <c r="AT949" t="s">
        <v>17418</v>
      </c>
      <c r="AU949">
        <v>2018</v>
      </c>
      <c r="AV949">
        <v>10</v>
      </c>
      <c r="AW949">
        <v>6</v>
      </c>
      <c r="AX949" t="s">
        <v>74</v>
      </c>
      <c r="AY949" t="s">
        <v>74</v>
      </c>
      <c r="AZ949" t="s">
        <v>74</v>
      </c>
      <c r="BA949" t="s">
        <v>74</v>
      </c>
      <c r="BB949" t="s">
        <v>74</v>
      </c>
      <c r="BC949" t="s">
        <v>74</v>
      </c>
      <c r="BD949">
        <v>1783</v>
      </c>
      <c r="BE949" t="s">
        <v>18022</v>
      </c>
      <c r="BF949" t="str">
        <f>HYPERLINK("http://dx.doi.org/10.3390/su10061783","http://dx.doi.org/10.3390/su10061783")</f>
        <v>http://dx.doi.org/10.3390/su10061783</v>
      </c>
      <c r="BG949" t="s">
        <v>74</v>
      </c>
      <c r="BH949" t="s">
        <v>74</v>
      </c>
      <c r="BI949">
        <v>10</v>
      </c>
      <c r="BJ949" t="s">
        <v>18023</v>
      </c>
      <c r="BK949" t="s">
        <v>1140</v>
      </c>
      <c r="BL949" t="s">
        <v>18024</v>
      </c>
      <c r="BM949" t="s">
        <v>18025</v>
      </c>
      <c r="BN949" t="s">
        <v>74</v>
      </c>
      <c r="BO949" t="s">
        <v>3382</v>
      </c>
      <c r="BP949" t="s">
        <v>74</v>
      </c>
      <c r="BQ949" t="s">
        <v>74</v>
      </c>
      <c r="BR949" t="s">
        <v>104</v>
      </c>
      <c r="BS949" t="s">
        <v>18026</v>
      </c>
      <c r="BT949" t="str">
        <f>HYPERLINK("https%3A%2F%2Fwww.webofscience.com%2Fwos%2Fwoscc%2Ffull-record%2FWOS:000436570100095","View Full Record in Web of Science")</f>
        <v>View Full Record in Web of Science</v>
      </c>
    </row>
    <row r="950" spans="1:72" x14ac:dyDescent="0.15">
      <c r="A950" t="s">
        <v>72</v>
      </c>
      <c r="B950" t="s">
        <v>18027</v>
      </c>
      <c r="C950" t="s">
        <v>74</v>
      </c>
      <c r="D950" t="s">
        <v>74</v>
      </c>
      <c r="E950" t="s">
        <v>74</v>
      </c>
      <c r="F950" t="s">
        <v>18028</v>
      </c>
      <c r="G950" t="s">
        <v>74</v>
      </c>
      <c r="H950" t="s">
        <v>74</v>
      </c>
      <c r="I950" t="s">
        <v>18029</v>
      </c>
      <c r="J950" t="s">
        <v>798</v>
      </c>
      <c r="K950" t="s">
        <v>74</v>
      </c>
      <c r="L950" t="s">
        <v>74</v>
      </c>
      <c r="M950" t="s">
        <v>78</v>
      </c>
      <c r="N950" t="s">
        <v>79</v>
      </c>
      <c r="O950" t="s">
        <v>74</v>
      </c>
      <c r="P950" t="s">
        <v>74</v>
      </c>
      <c r="Q950" t="s">
        <v>74</v>
      </c>
      <c r="R950" t="s">
        <v>74</v>
      </c>
      <c r="S950" t="s">
        <v>74</v>
      </c>
      <c r="T950" t="s">
        <v>18030</v>
      </c>
      <c r="U950" t="s">
        <v>18031</v>
      </c>
      <c r="V950" t="s">
        <v>18032</v>
      </c>
      <c r="W950" t="s">
        <v>18033</v>
      </c>
      <c r="X950" t="s">
        <v>18034</v>
      </c>
      <c r="Y950" t="s">
        <v>18035</v>
      </c>
      <c r="Z950" t="s">
        <v>18036</v>
      </c>
      <c r="AA950" t="s">
        <v>74</v>
      </c>
      <c r="AB950" t="s">
        <v>18037</v>
      </c>
      <c r="AC950" t="s">
        <v>18038</v>
      </c>
      <c r="AD950" t="s">
        <v>18038</v>
      </c>
      <c r="AE950" t="s">
        <v>18039</v>
      </c>
      <c r="AF950" t="s">
        <v>74</v>
      </c>
      <c r="AG950">
        <v>94</v>
      </c>
      <c r="AH950">
        <v>26</v>
      </c>
      <c r="AI950">
        <v>29</v>
      </c>
      <c r="AJ950">
        <v>1</v>
      </c>
      <c r="AK950">
        <v>14</v>
      </c>
      <c r="AL950" t="s">
        <v>503</v>
      </c>
      <c r="AM950" t="s">
        <v>504</v>
      </c>
      <c r="AN950" t="s">
        <v>505</v>
      </c>
      <c r="AO950" t="s">
        <v>811</v>
      </c>
      <c r="AP950" t="s">
        <v>812</v>
      </c>
      <c r="AQ950" t="s">
        <v>74</v>
      </c>
      <c r="AR950" t="s">
        <v>813</v>
      </c>
      <c r="AS950" t="s">
        <v>814</v>
      </c>
      <c r="AT950" t="s">
        <v>17418</v>
      </c>
      <c r="AU950">
        <v>2018</v>
      </c>
      <c r="AV950">
        <v>123</v>
      </c>
      <c r="AW950">
        <v>6</v>
      </c>
      <c r="AX950" t="s">
        <v>74</v>
      </c>
      <c r="AY950" t="s">
        <v>74</v>
      </c>
      <c r="AZ950" t="s">
        <v>74</v>
      </c>
      <c r="BA950" t="s">
        <v>74</v>
      </c>
      <c r="BB950">
        <v>4014</v>
      </c>
      <c r="BC950">
        <v>4033</v>
      </c>
      <c r="BD950" t="s">
        <v>74</v>
      </c>
      <c r="BE950" t="s">
        <v>18040</v>
      </c>
      <c r="BF950" t="str">
        <f>HYPERLINK("http://dx.doi.org/10.1029/2017JC013664","http://dx.doi.org/10.1029/2017JC013664")</f>
        <v>http://dx.doi.org/10.1029/2017JC013664</v>
      </c>
      <c r="BG950" t="s">
        <v>74</v>
      </c>
      <c r="BH950" t="s">
        <v>74</v>
      </c>
      <c r="BI950">
        <v>20</v>
      </c>
      <c r="BJ950" t="s">
        <v>157</v>
      </c>
      <c r="BK950" t="s">
        <v>101</v>
      </c>
      <c r="BL950" t="s">
        <v>157</v>
      </c>
      <c r="BM950" t="s">
        <v>17656</v>
      </c>
      <c r="BN950" t="s">
        <v>74</v>
      </c>
      <c r="BO950" t="s">
        <v>1818</v>
      </c>
      <c r="BP950" t="s">
        <v>74</v>
      </c>
      <c r="BQ950" t="s">
        <v>74</v>
      </c>
      <c r="BR950" t="s">
        <v>104</v>
      </c>
      <c r="BS950" t="s">
        <v>18041</v>
      </c>
      <c r="BT950" t="str">
        <f>HYPERLINK("https%3A%2F%2Fwww.webofscience.com%2Fwos%2Fwoscc%2Ffull-record%2FWOS:000440834100007","View Full Record in Web of Science")</f>
        <v>View Full Record in Web of Science</v>
      </c>
    </row>
    <row r="951" spans="1:72" x14ac:dyDescent="0.15">
      <c r="A951" t="s">
        <v>72</v>
      </c>
      <c r="B951" t="s">
        <v>18042</v>
      </c>
      <c r="C951" t="s">
        <v>74</v>
      </c>
      <c r="D951" t="s">
        <v>74</v>
      </c>
      <c r="E951" t="s">
        <v>74</v>
      </c>
      <c r="F951" t="s">
        <v>18043</v>
      </c>
      <c r="G951" t="s">
        <v>74</v>
      </c>
      <c r="H951" t="s">
        <v>74</v>
      </c>
      <c r="I951" t="s">
        <v>18044</v>
      </c>
      <c r="J951" t="s">
        <v>798</v>
      </c>
      <c r="K951" t="s">
        <v>74</v>
      </c>
      <c r="L951" t="s">
        <v>74</v>
      </c>
      <c r="M951" t="s">
        <v>78</v>
      </c>
      <c r="N951" t="s">
        <v>79</v>
      </c>
      <c r="O951" t="s">
        <v>74</v>
      </c>
      <c r="P951" t="s">
        <v>74</v>
      </c>
      <c r="Q951" t="s">
        <v>74</v>
      </c>
      <c r="R951" t="s">
        <v>74</v>
      </c>
      <c r="S951" t="s">
        <v>74</v>
      </c>
      <c r="T951" t="s">
        <v>18045</v>
      </c>
      <c r="U951" t="s">
        <v>18046</v>
      </c>
      <c r="V951" t="s">
        <v>18047</v>
      </c>
      <c r="W951" t="s">
        <v>18048</v>
      </c>
      <c r="X951" t="s">
        <v>18049</v>
      </c>
      <c r="Y951" t="s">
        <v>18050</v>
      </c>
      <c r="Z951" t="s">
        <v>18051</v>
      </c>
      <c r="AA951" t="s">
        <v>18052</v>
      </c>
      <c r="AB951" t="s">
        <v>18053</v>
      </c>
      <c r="AC951" t="s">
        <v>18054</v>
      </c>
      <c r="AD951" t="s">
        <v>18055</v>
      </c>
      <c r="AE951" t="s">
        <v>18056</v>
      </c>
      <c r="AF951" t="s">
        <v>74</v>
      </c>
      <c r="AG951">
        <v>38</v>
      </c>
      <c r="AH951">
        <v>77</v>
      </c>
      <c r="AI951">
        <v>77</v>
      </c>
      <c r="AJ951">
        <v>4</v>
      </c>
      <c r="AK951">
        <v>26</v>
      </c>
      <c r="AL951" t="s">
        <v>503</v>
      </c>
      <c r="AM951" t="s">
        <v>504</v>
      </c>
      <c r="AN951" t="s">
        <v>505</v>
      </c>
      <c r="AO951" t="s">
        <v>811</v>
      </c>
      <c r="AP951" t="s">
        <v>812</v>
      </c>
      <c r="AQ951" t="s">
        <v>74</v>
      </c>
      <c r="AR951" t="s">
        <v>813</v>
      </c>
      <c r="AS951" t="s">
        <v>814</v>
      </c>
      <c r="AT951" t="s">
        <v>17418</v>
      </c>
      <c r="AU951">
        <v>2018</v>
      </c>
      <c r="AV951">
        <v>123</v>
      </c>
      <c r="AW951">
        <v>6</v>
      </c>
      <c r="AX951" t="s">
        <v>74</v>
      </c>
      <c r="AY951" t="s">
        <v>74</v>
      </c>
      <c r="AZ951" t="s">
        <v>74</v>
      </c>
      <c r="BA951" t="s">
        <v>74</v>
      </c>
      <c r="BB951">
        <v>4322</v>
      </c>
      <c r="BC951">
        <v>4337</v>
      </c>
      <c r="BD951" t="s">
        <v>74</v>
      </c>
      <c r="BE951" t="s">
        <v>18057</v>
      </c>
      <c r="BF951" t="str">
        <f>HYPERLINK("http://dx.doi.org/10.1029/2017JC013692","http://dx.doi.org/10.1029/2017JC013692")</f>
        <v>http://dx.doi.org/10.1029/2017JC013692</v>
      </c>
      <c r="BG951" t="s">
        <v>74</v>
      </c>
      <c r="BH951" t="s">
        <v>74</v>
      </c>
      <c r="BI951">
        <v>16</v>
      </c>
      <c r="BJ951" t="s">
        <v>157</v>
      </c>
      <c r="BK951" t="s">
        <v>101</v>
      </c>
      <c r="BL951" t="s">
        <v>157</v>
      </c>
      <c r="BM951" t="s">
        <v>17656</v>
      </c>
      <c r="BN951" t="s">
        <v>74</v>
      </c>
      <c r="BO951" t="s">
        <v>486</v>
      </c>
      <c r="BP951" t="s">
        <v>74</v>
      </c>
      <c r="BQ951" t="s">
        <v>74</v>
      </c>
      <c r="BR951" t="s">
        <v>104</v>
      </c>
      <c r="BS951" t="s">
        <v>18058</v>
      </c>
      <c r="BT951" t="str">
        <f>HYPERLINK("https%3A%2F%2Fwww.webofscience.com%2Fwos%2Fwoscc%2Ffull-record%2FWOS:000440834100021","View Full Record in Web of Science")</f>
        <v>View Full Record in Web of Science</v>
      </c>
    </row>
    <row r="952" spans="1:72" x14ac:dyDescent="0.15">
      <c r="A952" t="s">
        <v>72</v>
      </c>
      <c r="B952" t="s">
        <v>18059</v>
      </c>
      <c r="C952" t="s">
        <v>74</v>
      </c>
      <c r="D952" t="s">
        <v>74</v>
      </c>
      <c r="E952" t="s">
        <v>74</v>
      </c>
      <c r="F952" t="s">
        <v>18060</v>
      </c>
      <c r="G952" t="s">
        <v>74</v>
      </c>
      <c r="H952" t="s">
        <v>74</v>
      </c>
      <c r="I952" t="s">
        <v>18061</v>
      </c>
      <c r="J952" t="s">
        <v>13859</v>
      </c>
      <c r="K952" t="s">
        <v>74</v>
      </c>
      <c r="L952" t="s">
        <v>74</v>
      </c>
      <c r="M952" t="s">
        <v>78</v>
      </c>
      <c r="N952" t="s">
        <v>79</v>
      </c>
      <c r="O952" t="s">
        <v>74</v>
      </c>
      <c r="P952" t="s">
        <v>74</v>
      </c>
      <c r="Q952" t="s">
        <v>74</v>
      </c>
      <c r="R952" t="s">
        <v>74</v>
      </c>
      <c r="S952" t="s">
        <v>74</v>
      </c>
      <c r="T952" t="s">
        <v>18062</v>
      </c>
      <c r="U952" t="s">
        <v>18063</v>
      </c>
      <c r="V952" t="s">
        <v>18064</v>
      </c>
      <c r="W952" t="s">
        <v>18065</v>
      </c>
      <c r="X952" t="s">
        <v>18066</v>
      </c>
      <c r="Y952" t="s">
        <v>18067</v>
      </c>
      <c r="Z952" t="s">
        <v>18068</v>
      </c>
      <c r="AA952" t="s">
        <v>18069</v>
      </c>
      <c r="AB952" t="s">
        <v>74</v>
      </c>
      <c r="AC952" t="s">
        <v>18070</v>
      </c>
      <c r="AD952" t="s">
        <v>18071</v>
      </c>
      <c r="AE952" t="s">
        <v>18072</v>
      </c>
      <c r="AF952" t="s">
        <v>74</v>
      </c>
      <c r="AG952">
        <v>27</v>
      </c>
      <c r="AH952">
        <v>7</v>
      </c>
      <c r="AI952">
        <v>9</v>
      </c>
      <c r="AJ952">
        <v>1</v>
      </c>
      <c r="AK952">
        <v>9</v>
      </c>
      <c r="AL952" t="s">
        <v>1053</v>
      </c>
      <c r="AM952" t="s">
        <v>1054</v>
      </c>
      <c r="AN952" t="s">
        <v>1055</v>
      </c>
      <c r="AO952" t="s">
        <v>74</v>
      </c>
      <c r="AP952" t="s">
        <v>13872</v>
      </c>
      <c r="AQ952" t="s">
        <v>74</v>
      </c>
      <c r="AR952" t="s">
        <v>13873</v>
      </c>
      <c r="AS952" t="s">
        <v>13874</v>
      </c>
      <c r="AT952" t="s">
        <v>17418</v>
      </c>
      <c r="AU952">
        <v>2018</v>
      </c>
      <c r="AV952">
        <v>18</v>
      </c>
      <c r="AW952">
        <v>6</v>
      </c>
      <c r="AX952" t="s">
        <v>74</v>
      </c>
      <c r="AY952" t="s">
        <v>74</v>
      </c>
      <c r="AZ952" t="s">
        <v>74</v>
      </c>
      <c r="BA952" t="s">
        <v>74</v>
      </c>
      <c r="BB952" t="s">
        <v>74</v>
      </c>
      <c r="BC952" t="s">
        <v>74</v>
      </c>
      <c r="BD952">
        <v>1816</v>
      </c>
      <c r="BE952" t="s">
        <v>18073</v>
      </c>
      <c r="BF952" t="str">
        <f>HYPERLINK("http://dx.doi.org/10.3390/s18061816","http://dx.doi.org/10.3390/s18061816")</f>
        <v>http://dx.doi.org/10.3390/s18061816</v>
      </c>
      <c r="BG952" t="s">
        <v>74</v>
      </c>
      <c r="BH952" t="s">
        <v>74</v>
      </c>
      <c r="BI952">
        <v>17</v>
      </c>
      <c r="BJ952" t="s">
        <v>13876</v>
      </c>
      <c r="BK952" t="s">
        <v>101</v>
      </c>
      <c r="BL952" t="s">
        <v>13877</v>
      </c>
      <c r="BM952" t="s">
        <v>18074</v>
      </c>
      <c r="BN952">
        <v>29867049</v>
      </c>
      <c r="BO952" t="s">
        <v>239</v>
      </c>
      <c r="BP952" t="s">
        <v>74</v>
      </c>
      <c r="BQ952" t="s">
        <v>74</v>
      </c>
      <c r="BR952" t="s">
        <v>104</v>
      </c>
      <c r="BS952" t="s">
        <v>18075</v>
      </c>
      <c r="BT952" t="str">
        <f>HYPERLINK("https%3A%2F%2Fwww.webofscience.com%2Fwos%2Fwoscc%2Ffull-record%2FWOS:000436774300150","View Full Record in Web of Science")</f>
        <v>View Full Record in Web of Science</v>
      </c>
    </row>
    <row r="953" spans="1:72" x14ac:dyDescent="0.15">
      <c r="A953" t="s">
        <v>72</v>
      </c>
      <c r="B953" t="s">
        <v>18076</v>
      </c>
      <c r="C953" t="s">
        <v>74</v>
      </c>
      <c r="D953" t="s">
        <v>74</v>
      </c>
      <c r="E953" t="s">
        <v>74</v>
      </c>
      <c r="F953" t="s">
        <v>18077</v>
      </c>
      <c r="G953" t="s">
        <v>74</v>
      </c>
      <c r="H953" t="s">
        <v>74</v>
      </c>
      <c r="I953" t="s">
        <v>18078</v>
      </c>
      <c r="J953" t="s">
        <v>13859</v>
      </c>
      <c r="K953" t="s">
        <v>74</v>
      </c>
      <c r="L953" t="s">
        <v>74</v>
      </c>
      <c r="M953" t="s">
        <v>78</v>
      </c>
      <c r="N953" t="s">
        <v>79</v>
      </c>
      <c r="O953" t="s">
        <v>74</v>
      </c>
      <c r="P953" t="s">
        <v>74</v>
      </c>
      <c r="Q953" t="s">
        <v>74</v>
      </c>
      <c r="R953" t="s">
        <v>74</v>
      </c>
      <c r="S953" t="s">
        <v>74</v>
      </c>
      <c r="T953" t="s">
        <v>18079</v>
      </c>
      <c r="U953" t="s">
        <v>74</v>
      </c>
      <c r="V953" t="s">
        <v>18080</v>
      </c>
      <c r="W953" t="s">
        <v>18081</v>
      </c>
      <c r="X953" t="s">
        <v>18082</v>
      </c>
      <c r="Y953" t="s">
        <v>18083</v>
      </c>
      <c r="Z953" t="s">
        <v>18084</v>
      </c>
      <c r="AA953" t="s">
        <v>18085</v>
      </c>
      <c r="AB953" t="s">
        <v>18086</v>
      </c>
      <c r="AC953" t="s">
        <v>18087</v>
      </c>
      <c r="AD953" t="s">
        <v>18088</v>
      </c>
      <c r="AE953" t="s">
        <v>18089</v>
      </c>
      <c r="AF953" t="s">
        <v>74</v>
      </c>
      <c r="AG953">
        <v>53</v>
      </c>
      <c r="AH953">
        <v>19</v>
      </c>
      <c r="AI953">
        <v>21</v>
      </c>
      <c r="AJ953">
        <v>4</v>
      </c>
      <c r="AK953">
        <v>21</v>
      </c>
      <c r="AL953" t="s">
        <v>1053</v>
      </c>
      <c r="AM953" t="s">
        <v>1054</v>
      </c>
      <c r="AN953" t="s">
        <v>1055</v>
      </c>
      <c r="AO953" t="s">
        <v>74</v>
      </c>
      <c r="AP953" t="s">
        <v>13872</v>
      </c>
      <c r="AQ953" t="s">
        <v>74</v>
      </c>
      <c r="AR953" t="s">
        <v>13873</v>
      </c>
      <c r="AS953" t="s">
        <v>13874</v>
      </c>
      <c r="AT953" t="s">
        <v>17418</v>
      </c>
      <c r="AU953">
        <v>2018</v>
      </c>
      <c r="AV953">
        <v>18</v>
      </c>
      <c r="AW953">
        <v>6</v>
      </c>
      <c r="AX953" t="s">
        <v>74</v>
      </c>
      <c r="AY953" t="s">
        <v>74</v>
      </c>
      <c r="AZ953" t="s">
        <v>74</v>
      </c>
      <c r="BA953" t="s">
        <v>74</v>
      </c>
      <c r="BB953" t="s">
        <v>74</v>
      </c>
      <c r="BC953" t="s">
        <v>74</v>
      </c>
      <c r="BD953">
        <v>1974</v>
      </c>
      <c r="BE953" t="s">
        <v>18090</v>
      </c>
      <c r="BF953" t="str">
        <f>HYPERLINK("http://dx.doi.org/10.3390/s18061974","http://dx.doi.org/10.3390/s18061974")</f>
        <v>http://dx.doi.org/10.3390/s18061974</v>
      </c>
      <c r="BG953" t="s">
        <v>74</v>
      </c>
      <c r="BH953" t="s">
        <v>74</v>
      </c>
      <c r="BI953">
        <v>21</v>
      </c>
      <c r="BJ953" t="s">
        <v>13876</v>
      </c>
      <c r="BK953" t="s">
        <v>101</v>
      </c>
      <c r="BL953" t="s">
        <v>13877</v>
      </c>
      <c r="BM953" t="s">
        <v>18074</v>
      </c>
      <c r="BN953">
        <v>29925779</v>
      </c>
      <c r="BO953" t="s">
        <v>1063</v>
      </c>
      <c r="BP953" t="s">
        <v>74</v>
      </c>
      <c r="BQ953" t="s">
        <v>74</v>
      </c>
      <c r="BR953" t="s">
        <v>104</v>
      </c>
      <c r="BS953" t="s">
        <v>18091</v>
      </c>
      <c r="BT953" t="str">
        <f>HYPERLINK("https%3A%2F%2Fwww.webofscience.com%2Fwos%2Fwoscc%2Ffull-record%2FWOS:000436774300308","View Full Record in Web of Science")</f>
        <v>View Full Record in Web of Science</v>
      </c>
    </row>
    <row r="954" spans="1:72" x14ac:dyDescent="0.15">
      <c r="A954" t="s">
        <v>72</v>
      </c>
      <c r="B954" t="s">
        <v>18092</v>
      </c>
      <c r="C954" t="s">
        <v>74</v>
      </c>
      <c r="D954" t="s">
        <v>74</v>
      </c>
      <c r="E954" t="s">
        <v>74</v>
      </c>
      <c r="F954" t="s">
        <v>18093</v>
      </c>
      <c r="G954" t="s">
        <v>74</v>
      </c>
      <c r="H954" t="s">
        <v>74</v>
      </c>
      <c r="I954" t="s">
        <v>18094</v>
      </c>
      <c r="J954" t="s">
        <v>1371</v>
      </c>
      <c r="K954" t="s">
        <v>74</v>
      </c>
      <c r="L954" t="s">
        <v>74</v>
      </c>
      <c r="M954" t="s">
        <v>78</v>
      </c>
      <c r="N954" t="s">
        <v>79</v>
      </c>
      <c r="O954" t="s">
        <v>74</v>
      </c>
      <c r="P954" t="s">
        <v>74</v>
      </c>
      <c r="Q954" t="s">
        <v>74</v>
      </c>
      <c r="R954" t="s">
        <v>74</v>
      </c>
      <c r="S954" t="s">
        <v>74</v>
      </c>
      <c r="T954" t="s">
        <v>18095</v>
      </c>
      <c r="U954" t="s">
        <v>18096</v>
      </c>
      <c r="V954" t="s">
        <v>18097</v>
      </c>
      <c r="W954" t="s">
        <v>18098</v>
      </c>
      <c r="X954" t="s">
        <v>18099</v>
      </c>
      <c r="Y954" t="s">
        <v>18100</v>
      </c>
      <c r="Z954" t="s">
        <v>18101</v>
      </c>
      <c r="AA954" t="s">
        <v>18102</v>
      </c>
      <c r="AB954" t="s">
        <v>18103</v>
      </c>
      <c r="AC954" t="s">
        <v>18104</v>
      </c>
      <c r="AD954" t="s">
        <v>18105</v>
      </c>
      <c r="AE954" t="s">
        <v>18106</v>
      </c>
      <c r="AF954" t="s">
        <v>74</v>
      </c>
      <c r="AG954">
        <v>78</v>
      </c>
      <c r="AH954">
        <v>69</v>
      </c>
      <c r="AI954">
        <v>72</v>
      </c>
      <c r="AJ954">
        <v>2</v>
      </c>
      <c r="AK954">
        <v>6</v>
      </c>
      <c r="AL954" t="s">
        <v>503</v>
      </c>
      <c r="AM954" t="s">
        <v>504</v>
      </c>
      <c r="AN954" t="s">
        <v>505</v>
      </c>
      <c r="AO954" t="s">
        <v>1383</v>
      </c>
      <c r="AP954" t="s">
        <v>1384</v>
      </c>
      <c r="AQ954" t="s">
        <v>74</v>
      </c>
      <c r="AR954" t="s">
        <v>1385</v>
      </c>
      <c r="AS954" t="s">
        <v>1386</v>
      </c>
      <c r="AT954" t="s">
        <v>17418</v>
      </c>
      <c r="AU954">
        <v>2018</v>
      </c>
      <c r="AV954">
        <v>123</v>
      </c>
      <c r="AW954">
        <v>6</v>
      </c>
      <c r="AX954" t="s">
        <v>74</v>
      </c>
      <c r="AY954" t="s">
        <v>74</v>
      </c>
      <c r="AZ954" t="s">
        <v>74</v>
      </c>
      <c r="BA954" t="s">
        <v>74</v>
      </c>
      <c r="BB954">
        <v>4526</v>
      </c>
      <c r="BC954">
        <v>4541</v>
      </c>
      <c r="BD954" t="s">
        <v>74</v>
      </c>
      <c r="BE954" t="s">
        <v>18107</v>
      </c>
      <c r="BF954" t="str">
        <f>HYPERLINK("http://dx.doi.org/10.1029/2018JA025226","http://dx.doi.org/10.1029/2018JA025226")</f>
        <v>http://dx.doi.org/10.1029/2018JA025226</v>
      </c>
      <c r="BG954" t="s">
        <v>74</v>
      </c>
      <c r="BH954" t="s">
        <v>74</v>
      </c>
      <c r="BI954">
        <v>16</v>
      </c>
      <c r="BJ954" t="s">
        <v>1301</v>
      </c>
      <c r="BK954" t="s">
        <v>101</v>
      </c>
      <c r="BL954" t="s">
        <v>1301</v>
      </c>
      <c r="BM954" t="s">
        <v>18108</v>
      </c>
      <c r="BN954" t="s">
        <v>74</v>
      </c>
      <c r="BO954" t="s">
        <v>871</v>
      </c>
      <c r="BP954" t="s">
        <v>74</v>
      </c>
      <c r="BQ954" t="s">
        <v>74</v>
      </c>
      <c r="BR954" t="s">
        <v>104</v>
      </c>
      <c r="BS954" t="s">
        <v>18109</v>
      </c>
      <c r="BT954" t="str">
        <f>HYPERLINK("https%3A%2F%2Fwww.webofscience.com%2Fwos%2Fwoscc%2Ffull-record%2FWOS:000439803100006","View Full Record in Web of Science")</f>
        <v>View Full Record in Web of Science</v>
      </c>
    </row>
    <row r="955" spans="1:72" x14ac:dyDescent="0.15">
      <c r="A955" t="s">
        <v>72</v>
      </c>
      <c r="B955" t="s">
        <v>18110</v>
      </c>
      <c r="C955" t="s">
        <v>74</v>
      </c>
      <c r="D955" t="s">
        <v>74</v>
      </c>
      <c r="E955" t="s">
        <v>74</v>
      </c>
      <c r="F955" t="s">
        <v>18111</v>
      </c>
      <c r="G955" t="s">
        <v>74</v>
      </c>
      <c r="H955" t="s">
        <v>74</v>
      </c>
      <c r="I955" t="s">
        <v>18112</v>
      </c>
      <c r="J955" t="s">
        <v>1371</v>
      </c>
      <c r="K955" t="s">
        <v>74</v>
      </c>
      <c r="L955" t="s">
        <v>74</v>
      </c>
      <c r="M955" t="s">
        <v>78</v>
      </c>
      <c r="N955" t="s">
        <v>79</v>
      </c>
      <c r="O955" t="s">
        <v>74</v>
      </c>
      <c r="P955" t="s">
        <v>74</v>
      </c>
      <c r="Q955" t="s">
        <v>74</v>
      </c>
      <c r="R955" t="s">
        <v>74</v>
      </c>
      <c r="S955" t="s">
        <v>74</v>
      </c>
      <c r="T955" t="s">
        <v>74</v>
      </c>
      <c r="U955" t="s">
        <v>18113</v>
      </c>
      <c r="V955" t="s">
        <v>18114</v>
      </c>
      <c r="W955" t="s">
        <v>18115</v>
      </c>
      <c r="X955" t="s">
        <v>18116</v>
      </c>
      <c r="Y955" t="s">
        <v>18117</v>
      </c>
      <c r="Z955" t="s">
        <v>18118</v>
      </c>
      <c r="AA955" t="s">
        <v>18119</v>
      </c>
      <c r="AB955" t="s">
        <v>18120</v>
      </c>
      <c r="AC955" t="s">
        <v>18121</v>
      </c>
      <c r="AD955" t="s">
        <v>18122</v>
      </c>
      <c r="AE955" t="s">
        <v>18123</v>
      </c>
      <c r="AF955" t="s">
        <v>74</v>
      </c>
      <c r="AG955">
        <v>67</v>
      </c>
      <c r="AH955">
        <v>10</v>
      </c>
      <c r="AI955">
        <v>10</v>
      </c>
      <c r="AJ955">
        <v>0</v>
      </c>
      <c r="AK955">
        <v>4</v>
      </c>
      <c r="AL955" t="s">
        <v>503</v>
      </c>
      <c r="AM955" t="s">
        <v>504</v>
      </c>
      <c r="AN955" t="s">
        <v>505</v>
      </c>
      <c r="AO955" t="s">
        <v>1383</v>
      </c>
      <c r="AP955" t="s">
        <v>1384</v>
      </c>
      <c r="AQ955" t="s">
        <v>74</v>
      </c>
      <c r="AR955" t="s">
        <v>1385</v>
      </c>
      <c r="AS955" t="s">
        <v>1386</v>
      </c>
      <c r="AT955" t="s">
        <v>17418</v>
      </c>
      <c r="AU955">
        <v>2018</v>
      </c>
      <c r="AV955">
        <v>123</v>
      </c>
      <c r="AW955">
        <v>6</v>
      </c>
      <c r="AX955" t="s">
        <v>74</v>
      </c>
      <c r="AY955" t="s">
        <v>74</v>
      </c>
      <c r="AZ955" t="s">
        <v>74</v>
      </c>
      <c r="BA955" t="s">
        <v>74</v>
      </c>
      <c r="BB955">
        <v>4741</v>
      </c>
      <c r="BC955" t="s">
        <v>1137</v>
      </c>
      <c r="BD955" t="s">
        <v>74</v>
      </c>
      <c r="BE955" t="s">
        <v>18124</v>
      </c>
      <c r="BF955" t="str">
        <f>HYPERLINK("http://dx.doi.org/10.1029/2017JA025147","http://dx.doi.org/10.1029/2017JA025147")</f>
        <v>http://dx.doi.org/10.1029/2017JA025147</v>
      </c>
      <c r="BG955" t="s">
        <v>74</v>
      </c>
      <c r="BH955" t="s">
        <v>74</v>
      </c>
      <c r="BI955">
        <v>15</v>
      </c>
      <c r="BJ955" t="s">
        <v>1301</v>
      </c>
      <c r="BK955" t="s">
        <v>101</v>
      </c>
      <c r="BL955" t="s">
        <v>1301</v>
      </c>
      <c r="BM955" t="s">
        <v>18108</v>
      </c>
      <c r="BN955" t="s">
        <v>74</v>
      </c>
      <c r="BO955" t="s">
        <v>5731</v>
      </c>
      <c r="BP955" t="s">
        <v>74</v>
      </c>
      <c r="BQ955" t="s">
        <v>74</v>
      </c>
      <c r="BR955" t="s">
        <v>104</v>
      </c>
      <c r="BS955" t="s">
        <v>18125</v>
      </c>
      <c r="BT955" t="str">
        <f>HYPERLINK("https%3A%2F%2Fwww.webofscience.com%2Fwos%2Fwoscc%2Ffull-record%2FWOS:000439803100019","View Full Record in Web of Science")</f>
        <v>View Full Record in Web of Science</v>
      </c>
    </row>
    <row r="956" spans="1:72" x14ac:dyDescent="0.15">
      <c r="A956" t="s">
        <v>72</v>
      </c>
      <c r="B956" t="s">
        <v>18126</v>
      </c>
      <c r="C956" t="s">
        <v>74</v>
      </c>
      <c r="D956" t="s">
        <v>74</v>
      </c>
      <c r="E956" t="s">
        <v>74</v>
      </c>
      <c r="F956" t="s">
        <v>18127</v>
      </c>
      <c r="G956" t="s">
        <v>74</v>
      </c>
      <c r="H956" t="s">
        <v>74</v>
      </c>
      <c r="I956" t="s">
        <v>18128</v>
      </c>
      <c r="J956" t="s">
        <v>1371</v>
      </c>
      <c r="K956" t="s">
        <v>74</v>
      </c>
      <c r="L956" t="s">
        <v>74</v>
      </c>
      <c r="M956" t="s">
        <v>78</v>
      </c>
      <c r="N956" t="s">
        <v>79</v>
      </c>
      <c r="O956" t="s">
        <v>74</v>
      </c>
      <c r="P956" t="s">
        <v>74</v>
      </c>
      <c r="Q956" t="s">
        <v>74</v>
      </c>
      <c r="R956" t="s">
        <v>74</v>
      </c>
      <c r="S956" t="s">
        <v>74</v>
      </c>
      <c r="T956" t="s">
        <v>74</v>
      </c>
      <c r="U956" t="s">
        <v>18129</v>
      </c>
      <c r="V956" t="s">
        <v>18130</v>
      </c>
      <c r="W956" t="s">
        <v>18131</v>
      </c>
      <c r="X956" t="s">
        <v>18132</v>
      </c>
      <c r="Y956" t="s">
        <v>18133</v>
      </c>
      <c r="Z956" t="s">
        <v>18134</v>
      </c>
      <c r="AA956" t="s">
        <v>18135</v>
      </c>
      <c r="AB956" t="s">
        <v>18136</v>
      </c>
      <c r="AC956" t="s">
        <v>18137</v>
      </c>
      <c r="AD956" t="s">
        <v>18138</v>
      </c>
      <c r="AE956" t="s">
        <v>18139</v>
      </c>
      <c r="AF956" t="s">
        <v>74</v>
      </c>
      <c r="AG956">
        <v>64</v>
      </c>
      <c r="AH956">
        <v>18</v>
      </c>
      <c r="AI956">
        <v>18</v>
      </c>
      <c r="AJ956">
        <v>0</v>
      </c>
      <c r="AK956">
        <v>3</v>
      </c>
      <c r="AL956" t="s">
        <v>503</v>
      </c>
      <c r="AM956" t="s">
        <v>504</v>
      </c>
      <c r="AN956" t="s">
        <v>505</v>
      </c>
      <c r="AO956" t="s">
        <v>1383</v>
      </c>
      <c r="AP956" t="s">
        <v>1384</v>
      </c>
      <c r="AQ956" t="s">
        <v>74</v>
      </c>
      <c r="AR956" t="s">
        <v>1385</v>
      </c>
      <c r="AS956" t="s">
        <v>1386</v>
      </c>
      <c r="AT956" t="s">
        <v>17418</v>
      </c>
      <c r="AU956">
        <v>2018</v>
      </c>
      <c r="AV956">
        <v>123</v>
      </c>
      <c r="AW956">
        <v>6</v>
      </c>
      <c r="AX956" t="s">
        <v>74</v>
      </c>
      <c r="AY956" t="s">
        <v>74</v>
      </c>
      <c r="AZ956" t="s">
        <v>74</v>
      </c>
      <c r="BA956" t="s">
        <v>74</v>
      </c>
      <c r="BB956">
        <v>4755</v>
      </c>
      <c r="BC956">
        <v>4766</v>
      </c>
      <c r="BD956" t="s">
        <v>74</v>
      </c>
      <c r="BE956" t="s">
        <v>18140</v>
      </c>
      <c r="BF956" t="str">
        <f>HYPERLINK("http://dx.doi.org/10.1029/2017JA025003","http://dx.doi.org/10.1029/2017JA025003")</f>
        <v>http://dx.doi.org/10.1029/2017JA025003</v>
      </c>
      <c r="BG956" t="s">
        <v>74</v>
      </c>
      <c r="BH956" t="s">
        <v>74</v>
      </c>
      <c r="BI956">
        <v>12</v>
      </c>
      <c r="BJ956" t="s">
        <v>1301</v>
      </c>
      <c r="BK956" t="s">
        <v>101</v>
      </c>
      <c r="BL956" t="s">
        <v>1301</v>
      </c>
      <c r="BM956" t="s">
        <v>18108</v>
      </c>
      <c r="BN956" t="s">
        <v>74</v>
      </c>
      <c r="BO956" t="s">
        <v>853</v>
      </c>
      <c r="BP956" t="s">
        <v>74</v>
      </c>
      <c r="BQ956" t="s">
        <v>74</v>
      </c>
      <c r="BR956" t="s">
        <v>104</v>
      </c>
      <c r="BS956" t="s">
        <v>18141</v>
      </c>
      <c r="BT956" t="str">
        <f>HYPERLINK("https%3A%2F%2Fwww.webofscience.com%2Fwos%2Fwoscc%2Ffull-record%2FWOS:000439803100020","View Full Record in Web of Science")</f>
        <v>View Full Record in Web of Science</v>
      </c>
    </row>
    <row r="957" spans="1:72" x14ac:dyDescent="0.15">
      <c r="A957" t="s">
        <v>72</v>
      </c>
      <c r="B957" t="s">
        <v>18142</v>
      </c>
      <c r="C957" t="s">
        <v>74</v>
      </c>
      <c r="D957" t="s">
        <v>74</v>
      </c>
      <c r="E957" t="s">
        <v>74</v>
      </c>
      <c r="F957" t="s">
        <v>18143</v>
      </c>
      <c r="G957" t="s">
        <v>74</v>
      </c>
      <c r="H957" t="s">
        <v>74</v>
      </c>
      <c r="I957" t="s">
        <v>18144</v>
      </c>
      <c r="J957" t="s">
        <v>17468</v>
      </c>
      <c r="K957" t="s">
        <v>74</v>
      </c>
      <c r="L957" t="s">
        <v>74</v>
      </c>
      <c r="M957" t="s">
        <v>78</v>
      </c>
      <c r="N957" t="s">
        <v>79</v>
      </c>
      <c r="O957" t="s">
        <v>74</v>
      </c>
      <c r="P957" t="s">
        <v>74</v>
      </c>
      <c r="Q957" t="s">
        <v>74</v>
      </c>
      <c r="R957" t="s">
        <v>74</v>
      </c>
      <c r="S957" t="s">
        <v>74</v>
      </c>
      <c r="T957" t="s">
        <v>74</v>
      </c>
      <c r="U957" t="s">
        <v>18145</v>
      </c>
      <c r="V957" t="s">
        <v>18146</v>
      </c>
      <c r="W957" t="s">
        <v>18147</v>
      </c>
      <c r="X957" t="s">
        <v>18148</v>
      </c>
      <c r="Y957" t="s">
        <v>18149</v>
      </c>
      <c r="Z957" t="s">
        <v>18150</v>
      </c>
      <c r="AA957" t="s">
        <v>18151</v>
      </c>
      <c r="AB957" t="s">
        <v>18152</v>
      </c>
      <c r="AC957" t="s">
        <v>74</v>
      </c>
      <c r="AD957" t="s">
        <v>74</v>
      </c>
      <c r="AE957" t="s">
        <v>74</v>
      </c>
      <c r="AF957" t="s">
        <v>74</v>
      </c>
      <c r="AG957">
        <v>103</v>
      </c>
      <c r="AH957">
        <v>25</v>
      </c>
      <c r="AI957">
        <v>25</v>
      </c>
      <c r="AJ957">
        <v>2</v>
      </c>
      <c r="AK957">
        <v>30</v>
      </c>
      <c r="AL957" t="s">
        <v>758</v>
      </c>
      <c r="AM957" t="s">
        <v>759</v>
      </c>
      <c r="AN957" t="s">
        <v>760</v>
      </c>
      <c r="AO957" t="s">
        <v>17477</v>
      </c>
      <c r="AP957" t="s">
        <v>17478</v>
      </c>
      <c r="AQ957" t="s">
        <v>74</v>
      </c>
      <c r="AR957" t="s">
        <v>17468</v>
      </c>
      <c r="AS957" t="s">
        <v>17479</v>
      </c>
      <c r="AT957" t="s">
        <v>17418</v>
      </c>
      <c r="AU957">
        <v>2018</v>
      </c>
      <c r="AV957">
        <v>41</v>
      </c>
      <c r="AW957">
        <v>6</v>
      </c>
      <c r="AX957" t="s">
        <v>74</v>
      </c>
      <c r="AY957" t="s">
        <v>74</v>
      </c>
      <c r="AZ957" t="s">
        <v>74</v>
      </c>
      <c r="BA957" t="s">
        <v>74</v>
      </c>
      <c r="BB957">
        <v>996</v>
      </c>
      <c r="BC957">
        <v>1012</v>
      </c>
      <c r="BD957" t="s">
        <v>74</v>
      </c>
      <c r="BE957" t="s">
        <v>18153</v>
      </c>
      <c r="BF957" t="str">
        <f>HYPERLINK("http://dx.doi.org/10.1111/ecog.03080","http://dx.doi.org/10.1111/ecog.03080")</f>
        <v>http://dx.doi.org/10.1111/ecog.03080</v>
      </c>
      <c r="BG957" t="s">
        <v>74</v>
      </c>
      <c r="BH957" t="s">
        <v>74</v>
      </c>
      <c r="BI957">
        <v>17</v>
      </c>
      <c r="BJ957" t="s">
        <v>1209</v>
      </c>
      <c r="BK957" t="s">
        <v>101</v>
      </c>
      <c r="BL957" t="s">
        <v>1210</v>
      </c>
      <c r="BM957" t="s">
        <v>17481</v>
      </c>
      <c r="BN957" t="s">
        <v>74</v>
      </c>
      <c r="BO957" t="s">
        <v>712</v>
      </c>
      <c r="BP957" t="s">
        <v>74</v>
      </c>
      <c r="BQ957" t="s">
        <v>74</v>
      </c>
      <c r="BR957" t="s">
        <v>104</v>
      </c>
      <c r="BS957" t="s">
        <v>18154</v>
      </c>
      <c r="BT957" t="str">
        <f>HYPERLINK("https%3A%2F%2Fwww.webofscience.com%2Fwos%2Fwoscc%2Ffull-record%2FWOS:000434091800012","View Full Record in Web of Science")</f>
        <v>View Full Record in Web of Science</v>
      </c>
    </row>
    <row r="958" spans="1:72" x14ac:dyDescent="0.15">
      <c r="A958" t="s">
        <v>72</v>
      </c>
      <c r="B958" t="s">
        <v>18155</v>
      </c>
      <c r="C958" t="s">
        <v>74</v>
      </c>
      <c r="D958" t="s">
        <v>74</v>
      </c>
      <c r="E958" t="s">
        <v>74</v>
      </c>
      <c r="F958" t="s">
        <v>18156</v>
      </c>
      <c r="G958" t="s">
        <v>74</v>
      </c>
      <c r="H958" t="s">
        <v>74</v>
      </c>
      <c r="I958" t="s">
        <v>18157</v>
      </c>
      <c r="J958" t="s">
        <v>18158</v>
      </c>
      <c r="K958" t="s">
        <v>74</v>
      </c>
      <c r="L958" t="s">
        <v>74</v>
      </c>
      <c r="M958" t="s">
        <v>78</v>
      </c>
      <c r="N958" t="s">
        <v>79</v>
      </c>
      <c r="O958" t="s">
        <v>74</v>
      </c>
      <c r="P958" t="s">
        <v>74</v>
      </c>
      <c r="Q958" t="s">
        <v>74</v>
      </c>
      <c r="R958" t="s">
        <v>74</v>
      </c>
      <c r="S958" t="s">
        <v>74</v>
      </c>
      <c r="T958" t="s">
        <v>18159</v>
      </c>
      <c r="U958" t="s">
        <v>18160</v>
      </c>
      <c r="V958" t="s">
        <v>18161</v>
      </c>
      <c r="W958" t="s">
        <v>18162</v>
      </c>
      <c r="X958" t="s">
        <v>18163</v>
      </c>
      <c r="Y958" t="s">
        <v>18164</v>
      </c>
      <c r="Z958" t="s">
        <v>18165</v>
      </c>
      <c r="AA958" t="s">
        <v>18166</v>
      </c>
      <c r="AB958" t="s">
        <v>18167</v>
      </c>
      <c r="AC958" t="s">
        <v>18168</v>
      </c>
      <c r="AD958" t="s">
        <v>6112</v>
      </c>
      <c r="AE958" t="s">
        <v>18169</v>
      </c>
      <c r="AF958" t="s">
        <v>74</v>
      </c>
      <c r="AG958">
        <v>23</v>
      </c>
      <c r="AH958">
        <v>1</v>
      </c>
      <c r="AI958">
        <v>1</v>
      </c>
      <c r="AJ958">
        <v>0</v>
      </c>
      <c r="AK958">
        <v>6</v>
      </c>
      <c r="AL958" t="s">
        <v>6050</v>
      </c>
      <c r="AM958" t="s">
        <v>5514</v>
      </c>
      <c r="AN958" t="s">
        <v>6051</v>
      </c>
      <c r="AO958" t="s">
        <v>18170</v>
      </c>
      <c r="AP958" t="s">
        <v>18171</v>
      </c>
      <c r="AQ958" t="s">
        <v>74</v>
      </c>
      <c r="AR958" t="s">
        <v>18172</v>
      </c>
      <c r="AS958" t="s">
        <v>18173</v>
      </c>
      <c r="AT958" t="s">
        <v>17418</v>
      </c>
      <c r="AU958">
        <v>2018</v>
      </c>
      <c r="AV958">
        <v>43</v>
      </c>
      <c r="AW958">
        <v>6</v>
      </c>
      <c r="AX958" t="s">
        <v>74</v>
      </c>
      <c r="AY958" t="s">
        <v>74</v>
      </c>
      <c r="AZ958" t="s">
        <v>74</v>
      </c>
      <c r="BA958" t="s">
        <v>74</v>
      </c>
      <c r="BB958">
        <v>366</v>
      </c>
      <c r="BC958">
        <v>371</v>
      </c>
      <c r="BD958" t="s">
        <v>74</v>
      </c>
      <c r="BE958" t="s">
        <v>18174</v>
      </c>
      <c r="BF958" t="str">
        <f>HYPERLINK("http://dx.doi.org/10.3103/S1068373918060031","http://dx.doi.org/10.3103/S1068373918060031")</f>
        <v>http://dx.doi.org/10.3103/S1068373918060031</v>
      </c>
      <c r="BG958" t="s">
        <v>74</v>
      </c>
      <c r="BH958" t="s">
        <v>74</v>
      </c>
      <c r="BI958">
        <v>6</v>
      </c>
      <c r="BJ958" t="s">
        <v>369</v>
      </c>
      <c r="BK958" t="s">
        <v>101</v>
      </c>
      <c r="BL958" t="s">
        <v>369</v>
      </c>
      <c r="BM958" t="s">
        <v>18175</v>
      </c>
      <c r="BN958" t="s">
        <v>74</v>
      </c>
      <c r="BO958" t="s">
        <v>74</v>
      </c>
      <c r="BP958" t="s">
        <v>74</v>
      </c>
      <c r="BQ958" t="s">
        <v>74</v>
      </c>
      <c r="BR958" t="s">
        <v>104</v>
      </c>
      <c r="BS958" t="s">
        <v>18176</v>
      </c>
      <c r="BT958" t="str">
        <f>HYPERLINK("https%3A%2F%2Fwww.webofscience.com%2Fwos%2Fwoscc%2Ffull-record%2FWOS:000439191100003","View Full Record in Web of Science")</f>
        <v>View Full Record in Web of Science</v>
      </c>
    </row>
    <row r="959" spans="1:72" x14ac:dyDescent="0.15">
      <c r="A959" t="s">
        <v>72</v>
      </c>
      <c r="B959" t="s">
        <v>18177</v>
      </c>
      <c r="C959" t="s">
        <v>74</v>
      </c>
      <c r="D959" t="s">
        <v>74</v>
      </c>
      <c r="E959" t="s">
        <v>74</v>
      </c>
      <c r="F959" t="s">
        <v>18178</v>
      </c>
      <c r="G959" t="s">
        <v>74</v>
      </c>
      <c r="H959" t="s">
        <v>74</v>
      </c>
      <c r="I959" t="s">
        <v>18179</v>
      </c>
      <c r="J959" t="s">
        <v>5998</v>
      </c>
      <c r="K959" t="s">
        <v>74</v>
      </c>
      <c r="L959" t="s">
        <v>74</v>
      </c>
      <c r="M959" t="s">
        <v>78</v>
      </c>
      <c r="N959" t="s">
        <v>79</v>
      </c>
      <c r="O959" t="s">
        <v>74</v>
      </c>
      <c r="P959" t="s">
        <v>74</v>
      </c>
      <c r="Q959" t="s">
        <v>74</v>
      </c>
      <c r="R959" t="s">
        <v>74</v>
      </c>
      <c r="S959" t="s">
        <v>74</v>
      </c>
      <c r="T959" t="s">
        <v>18180</v>
      </c>
      <c r="U959" t="s">
        <v>18181</v>
      </c>
      <c r="V959" t="s">
        <v>18182</v>
      </c>
      <c r="W959" t="s">
        <v>18183</v>
      </c>
      <c r="X959" t="s">
        <v>18184</v>
      </c>
      <c r="Y959" t="s">
        <v>18185</v>
      </c>
      <c r="Z959" t="s">
        <v>18186</v>
      </c>
      <c r="AA959" t="s">
        <v>74</v>
      </c>
      <c r="AB959" t="s">
        <v>18187</v>
      </c>
      <c r="AC959" t="s">
        <v>18188</v>
      </c>
      <c r="AD959" t="s">
        <v>18189</v>
      </c>
      <c r="AE959" t="s">
        <v>18190</v>
      </c>
      <c r="AF959" t="s">
        <v>74</v>
      </c>
      <c r="AG959">
        <v>109</v>
      </c>
      <c r="AH959">
        <v>8</v>
      </c>
      <c r="AI959">
        <v>9</v>
      </c>
      <c r="AJ959">
        <v>2</v>
      </c>
      <c r="AK959">
        <v>12</v>
      </c>
      <c r="AL959" t="s">
        <v>503</v>
      </c>
      <c r="AM959" t="s">
        <v>504</v>
      </c>
      <c r="AN959" t="s">
        <v>505</v>
      </c>
      <c r="AO959" t="s">
        <v>6010</v>
      </c>
      <c r="AP959" t="s">
        <v>6011</v>
      </c>
      <c r="AQ959" t="s">
        <v>74</v>
      </c>
      <c r="AR959" t="s">
        <v>6012</v>
      </c>
      <c r="AS959" t="s">
        <v>6013</v>
      </c>
      <c r="AT959" t="s">
        <v>17418</v>
      </c>
      <c r="AU959">
        <v>2018</v>
      </c>
      <c r="AV959">
        <v>33</v>
      </c>
      <c r="AW959">
        <v>6</v>
      </c>
      <c r="AX959" t="s">
        <v>74</v>
      </c>
      <c r="AY959" t="s">
        <v>74</v>
      </c>
      <c r="AZ959" t="s">
        <v>74</v>
      </c>
      <c r="BA959" t="s">
        <v>74</v>
      </c>
      <c r="BB959">
        <v>563</v>
      </c>
      <c r="BC959">
        <v>578</v>
      </c>
      <c r="BD959" t="s">
        <v>74</v>
      </c>
      <c r="BE959" t="s">
        <v>18191</v>
      </c>
      <c r="BF959" t="str">
        <f>HYPERLINK("http://dx.doi.org/10.1029/2017PA003221","http://dx.doi.org/10.1029/2017PA003221")</f>
        <v>http://dx.doi.org/10.1029/2017PA003221</v>
      </c>
      <c r="BG959" t="s">
        <v>74</v>
      </c>
      <c r="BH959" t="s">
        <v>74</v>
      </c>
      <c r="BI959">
        <v>16</v>
      </c>
      <c r="BJ959" t="s">
        <v>6015</v>
      </c>
      <c r="BK959" t="s">
        <v>101</v>
      </c>
      <c r="BL959" t="s">
        <v>6016</v>
      </c>
      <c r="BM959" t="s">
        <v>18192</v>
      </c>
      <c r="BN959" t="s">
        <v>74</v>
      </c>
      <c r="BO959" t="s">
        <v>835</v>
      </c>
      <c r="BP959" t="s">
        <v>74</v>
      </c>
      <c r="BQ959" t="s">
        <v>74</v>
      </c>
      <c r="BR959" t="s">
        <v>104</v>
      </c>
      <c r="BS959" t="s">
        <v>18193</v>
      </c>
      <c r="BT959" t="str">
        <f>HYPERLINK("https%3A%2F%2Fwww.webofscience.com%2Fwos%2Fwoscc%2Ffull-record%2FWOS:000438667300002","View Full Record in Web of Science")</f>
        <v>View Full Record in Web of Science</v>
      </c>
    </row>
    <row r="960" spans="1:72" x14ac:dyDescent="0.15">
      <c r="A960" t="s">
        <v>72</v>
      </c>
      <c r="B960" t="s">
        <v>18194</v>
      </c>
      <c r="C960" t="s">
        <v>74</v>
      </c>
      <c r="D960" t="s">
        <v>74</v>
      </c>
      <c r="E960" t="s">
        <v>74</v>
      </c>
      <c r="F960" t="s">
        <v>18195</v>
      </c>
      <c r="G960" t="s">
        <v>74</v>
      </c>
      <c r="H960" t="s">
        <v>74</v>
      </c>
      <c r="I960" t="s">
        <v>18196</v>
      </c>
      <c r="J960" t="s">
        <v>5998</v>
      </c>
      <c r="K960" t="s">
        <v>74</v>
      </c>
      <c r="L960" t="s">
        <v>74</v>
      </c>
      <c r="M960" t="s">
        <v>78</v>
      </c>
      <c r="N960" t="s">
        <v>79</v>
      </c>
      <c r="O960" t="s">
        <v>74</v>
      </c>
      <c r="P960" t="s">
        <v>74</v>
      </c>
      <c r="Q960" t="s">
        <v>74</v>
      </c>
      <c r="R960" t="s">
        <v>74</v>
      </c>
      <c r="S960" t="s">
        <v>74</v>
      </c>
      <c r="T960" t="s">
        <v>74</v>
      </c>
      <c r="U960" t="s">
        <v>18197</v>
      </c>
      <c r="V960" t="s">
        <v>18198</v>
      </c>
      <c r="W960" t="s">
        <v>18199</v>
      </c>
      <c r="X960" t="s">
        <v>18200</v>
      </c>
      <c r="Y960" t="s">
        <v>18201</v>
      </c>
      <c r="Z960" t="s">
        <v>18202</v>
      </c>
      <c r="AA960" t="s">
        <v>18203</v>
      </c>
      <c r="AB960" t="s">
        <v>18204</v>
      </c>
      <c r="AC960" t="s">
        <v>18205</v>
      </c>
      <c r="AD960" t="s">
        <v>18206</v>
      </c>
      <c r="AE960" t="s">
        <v>18207</v>
      </c>
      <c r="AF960" t="s">
        <v>74</v>
      </c>
      <c r="AG960">
        <v>131</v>
      </c>
      <c r="AH960">
        <v>9</v>
      </c>
      <c r="AI960">
        <v>9</v>
      </c>
      <c r="AJ960">
        <v>1</v>
      </c>
      <c r="AK960">
        <v>15</v>
      </c>
      <c r="AL960" t="s">
        <v>503</v>
      </c>
      <c r="AM960" t="s">
        <v>504</v>
      </c>
      <c r="AN960" t="s">
        <v>505</v>
      </c>
      <c r="AO960" t="s">
        <v>6010</v>
      </c>
      <c r="AP960" t="s">
        <v>6011</v>
      </c>
      <c r="AQ960" t="s">
        <v>74</v>
      </c>
      <c r="AR960" t="s">
        <v>6012</v>
      </c>
      <c r="AS960" t="s">
        <v>6013</v>
      </c>
      <c r="AT960" t="s">
        <v>17418</v>
      </c>
      <c r="AU960">
        <v>2018</v>
      </c>
      <c r="AV960">
        <v>33</v>
      </c>
      <c r="AW960">
        <v>6</v>
      </c>
      <c r="AX960" t="s">
        <v>74</v>
      </c>
      <c r="AY960" t="s">
        <v>74</v>
      </c>
      <c r="AZ960" t="s">
        <v>74</v>
      </c>
      <c r="BA960" t="s">
        <v>74</v>
      </c>
      <c r="BB960">
        <v>643</v>
      </c>
      <c r="BC960">
        <v>663</v>
      </c>
      <c r="BD960" t="s">
        <v>74</v>
      </c>
      <c r="BE960" t="s">
        <v>18208</v>
      </c>
      <c r="BF960" t="str">
        <f>HYPERLINK("http://dx.doi.org/10.1029/2018PA003353","http://dx.doi.org/10.1029/2018PA003353")</f>
        <v>http://dx.doi.org/10.1029/2018PA003353</v>
      </c>
      <c r="BG960" t="s">
        <v>74</v>
      </c>
      <c r="BH960" t="s">
        <v>74</v>
      </c>
      <c r="BI960">
        <v>21</v>
      </c>
      <c r="BJ960" t="s">
        <v>6015</v>
      </c>
      <c r="BK960" t="s">
        <v>101</v>
      </c>
      <c r="BL960" t="s">
        <v>6016</v>
      </c>
      <c r="BM960" t="s">
        <v>18192</v>
      </c>
      <c r="BN960" t="s">
        <v>74</v>
      </c>
      <c r="BO960" t="s">
        <v>835</v>
      </c>
      <c r="BP960" t="s">
        <v>74</v>
      </c>
      <c r="BQ960" t="s">
        <v>74</v>
      </c>
      <c r="BR960" t="s">
        <v>104</v>
      </c>
      <c r="BS960" t="s">
        <v>18209</v>
      </c>
      <c r="BT960" t="str">
        <f>HYPERLINK("https%3A%2F%2Fwww.webofscience.com%2Fwos%2Fwoscc%2Ffull-record%2FWOS:000438667300007","View Full Record in Web of Science")</f>
        <v>View Full Record in Web of Science</v>
      </c>
    </row>
    <row r="961" spans="1:72" x14ac:dyDescent="0.15">
      <c r="A961" t="s">
        <v>72</v>
      </c>
      <c r="B961" t="s">
        <v>18210</v>
      </c>
      <c r="C961" t="s">
        <v>74</v>
      </c>
      <c r="D961" t="s">
        <v>74</v>
      </c>
      <c r="E961" t="s">
        <v>74</v>
      </c>
      <c r="F961" t="s">
        <v>18211</v>
      </c>
      <c r="G961" t="s">
        <v>74</v>
      </c>
      <c r="H961" t="s">
        <v>74</v>
      </c>
      <c r="I961" t="s">
        <v>18212</v>
      </c>
      <c r="J961" t="s">
        <v>18213</v>
      </c>
      <c r="K961" t="s">
        <v>74</v>
      </c>
      <c r="L961" t="s">
        <v>74</v>
      </c>
      <c r="M961" t="s">
        <v>78</v>
      </c>
      <c r="N961" t="s">
        <v>79</v>
      </c>
      <c r="O961" t="s">
        <v>74</v>
      </c>
      <c r="P961" t="s">
        <v>74</v>
      </c>
      <c r="Q961" t="s">
        <v>74</v>
      </c>
      <c r="R961" t="s">
        <v>74</v>
      </c>
      <c r="S961" t="s">
        <v>74</v>
      </c>
      <c r="T961" t="s">
        <v>18214</v>
      </c>
      <c r="U961" t="s">
        <v>74</v>
      </c>
      <c r="V961" t="s">
        <v>18215</v>
      </c>
      <c r="W961" t="s">
        <v>18216</v>
      </c>
      <c r="X961" t="s">
        <v>18217</v>
      </c>
      <c r="Y961" t="s">
        <v>18218</v>
      </c>
      <c r="Z961" t="s">
        <v>18219</v>
      </c>
      <c r="AA961" t="s">
        <v>74</v>
      </c>
      <c r="AB961" t="s">
        <v>18220</v>
      </c>
      <c r="AC961" t="s">
        <v>18221</v>
      </c>
      <c r="AD961" t="s">
        <v>18221</v>
      </c>
      <c r="AE961" t="s">
        <v>18222</v>
      </c>
      <c r="AF961" t="s">
        <v>74</v>
      </c>
      <c r="AG961">
        <v>45</v>
      </c>
      <c r="AH961">
        <v>3</v>
      </c>
      <c r="AI961">
        <v>3</v>
      </c>
      <c r="AJ961">
        <v>0</v>
      </c>
      <c r="AK961">
        <v>3</v>
      </c>
      <c r="AL961" t="s">
        <v>18223</v>
      </c>
      <c r="AM961" t="s">
        <v>18224</v>
      </c>
      <c r="AN961" t="s">
        <v>18225</v>
      </c>
      <c r="AO961" t="s">
        <v>18226</v>
      </c>
      <c r="AP961" t="s">
        <v>18227</v>
      </c>
      <c r="AQ961" t="s">
        <v>74</v>
      </c>
      <c r="AR961" t="s">
        <v>18213</v>
      </c>
      <c r="AS961" t="s">
        <v>18228</v>
      </c>
      <c r="AT961" t="s">
        <v>17418</v>
      </c>
      <c r="AU961">
        <v>2018</v>
      </c>
      <c r="AV961">
        <v>40</v>
      </c>
      <c r="AW961">
        <v>1</v>
      </c>
      <c r="AX961" t="s">
        <v>74</v>
      </c>
      <c r="AY961" t="s">
        <v>74</v>
      </c>
      <c r="AZ961" t="s">
        <v>74</v>
      </c>
      <c r="BA961" t="s">
        <v>74</v>
      </c>
      <c r="BB961">
        <v>47</v>
      </c>
      <c r="BC961">
        <v>53</v>
      </c>
      <c r="BD961" t="s">
        <v>74</v>
      </c>
      <c r="BE961" t="s">
        <v>18229</v>
      </c>
      <c r="BF961" t="str">
        <f>HYPERLINK("http://dx.doi.org/10.5252/adansonia2018v40a3","http://dx.doi.org/10.5252/adansonia2018v40a3")</f>
        <v>http://dx.doi.org/10.5252/adansonia2018v40a3</v>
      </c>
      <c r="BG961" t="s">
        <v>74</v>
      </c>
      <c r="BH961" t="s">
        <v>74</v>
      </c>
      <c r="BI961">
        <v>7</v>
      </c>
      <c r="BJ961" t="s">
        <v>237</v>
      </c>
      <c r="BK961" t="s">
        <v>101</v>
      </c>
      <c r="BL961" t="s">
        <v>237</v>
      </c>
      <c r="BM961" t="s">
        <v>18230</v>
      </c>
      <c r="BN961" t="s">
        <v>74</v>
      </c>
      <c r="BO961" t="s">
        <v>1524</v>
      </c>
      <c r="BP961" t="s">
        <v>74</v>
      </c>
      <c r="BQ961" t="s">
        <v>74</v>
      </c>
      <c r="BR961" t="s">
        <v>104</v>
      </c>
      <c r="BS961" t="s">
        <v>18231</v>
      </c>
      <c r="BT961" t="str">
        <f>HYPERLINK("https%3A%2F%2Fwww.webofscience.com%2Fwos%2Fwoscc%2Ffull-record%2FWOS:000438610600003","View Full Record in Web of Science")</f>
        <v>View Full Record in Web of Science</v>
      </c>
    </row>
    <row r="962" spans="1:72" x14ac:dyDescent="0.15">
      <c r="A962" t="s">
        <v>72</v>
      </c>
      <c r="B962" t="s">
        <v>18232</v>
      </c>
      <c r="C962" t="s">
        <v>74</v>
      </c>
      <c r="D962" t="s">
        <v>74</v>
      </c>
      <c r="E962" t="s">
        <v>74</v>
      </c>
      <c r="F962" t="s">
        <v>18233</v>
      </c>
      <c r="G962" t="s">
        <v>74</v>
      </c>
      <c r="H962" t="s">
        <v>74</v>
      </c>
      <c r="I962" t="s">
        <v>18234</v>
      </c>
      <c r="J962" t="s">
        <v>7287</v>
      </c>
      <c r="K962" t="s">
        <v>74</v>
      </c>
      <c r="L962" t="s">
        <v>74</v>
      </c>
      <c r="M962" t="s">
        <v>78</v>
      </c>
      <c r="N962" t="s">
        <v>79</v>
      </c>
      <c r="O962" t="s">
        <v>74</v>
      </c>
      <c r="P962" t="s">
        <v>74</v>
      </c>
      <c r="Q962" t="s">
        <v>74</v>
      </c>
      <c r="R962" t="s">
        <v>74</v>
      </c>
      <c r="S962" t="s">
        <v>74</v>
      </c>
      <c r="T962" t="s">
        <v>18235</v>
      </c>
      <c r="U962" t="s">
        <v>18236</v>
      </c>
      <c r="V962" t="s">
        <v>18237</v>
      </c>
      <c r="W962" t="s">
        <v>18238</v>
      </c>
      <c r="X962" t="s">
        <v>14520</v>
      </c>
      <c r="Y962" t="s">
        <v>18239</v>
      </c>
      <c r="Z962" t="s">
        <v>18240</v>
      </c>
      <c r="AA962" t="s">
        <v>18241</v>
      </c>
      <c r="AB962" t="s">
        <v>74</v>
      </c>
      <c r="AC962" t="s">
        <v>18242</v>
      </c>
      <c r="AD962" t="s">
        <v>18243</v>
      </c>
      <c r="AE962" t="s">
        <v>18244</v>
      </c>
      <c r="AF962" t="s">
        <v>74</v>
      </c>
      <c r="AG962">
        <v>97</v>
      </c>
      <c r="AH962">
        <v>34</v>
      </c>
      <c r="AI962">
        <v>35</v>
      </c>
      <c r="AJ962">
        <v>1</v>
      </c>
      <c r="AK962">
        <v>7</v>
      </c>
      <c r="AL962" t="s">
        <v>430</v>
      </c>
      <c r="AM962" t="s">
        <v>286</v>
      </c>
      <c r="AN962" t="s">
        <v>431</v>
      </c>
      <c r="AO962" t="s">
        <v>7300</v>
      </c>
      <c r="AP962" t="s">
        <v>7301</v>
      </c>
      <c r="AQ962" t="s">
        <v>74</v>
      </c>
      <c r="AR962" t="s">
        <v>7302</v>
      </c>
      <c r="AS962" t="s">
        <v>7303</v>
      </c>
      <c r="AT962" t="s">
        <v>17418</v>
      </c>
      <c r="AU962">
        <v>2018</v>
      </c>
      <c r="AV962">
        <v>310</v>
      </c>
      <c r="AW962" t="s">
        <v>74</v>
      </c>
      <c r="AX962" t="s">
        <v>74</v>
      </c>
      <c r="AY962" t="s">
        <v>74</v>
      </c>
      <c r="AZ962" t="s">
        <v>74</v>
      </c>
      <c r="BA962" t="s">
        <v>74</v>
      </c>
      <c r="BB962">
        <v>407</v>
      </c>
      <c r="BC962">
        <v>424</v>
      </c>
      <c r="BD962" t="s">
        <v>74</v>
      </c>
      <c r="BE962" t="s">
        <v>18245</v>
      </c>
      <c r="BF962" t="str">
        <f>HYPERLINK("http://dx.doi.org/10.1016/j.precamres.2018.04.005","http://dx.doi.org/10.1016/j.precamres.2018.04.005")</f>
        <v>http://dx.doi.org/10.1016/j.precamres.2018.04.005</v>
      </c>
      <c r="BG962" t="s">
        <v>74</v>
      </c>
      <c r="BH962" t="s">
        <v>74</v>
      </c>
      <c r="BI962">
        <v>18</v>
      </c>
      <c r="BJ962" t="s">
        <v>182</v>
      </c>
      <c r="BK962" t="s">
        <v>101</v>
      </c>
      <c r="BL962" t="s">
        <v>183</v>
      </c>
      <c r="BM962" t="s">
        <v>17850</v>
      </c>
      <c r="BN962" t="s">
        <v>74</v>
      </c>
      <c r="BO962" t="s">
        <v>74</v>
      </c>
      <c r="BP962" t="s">
        <v>74</v>
      </c>
      <c r="BQ962" t="s">
        <v>74</v>
      </c>
      <c r="BR962" t="s">
        <v>104</v>
      </c>
      <c r="BS962" t="s">
        <v>18246</v>
      </c>
      <c r="BT962" t="str">
        <f>HYPERLINK("https%3A%2F%2Fwww.webofscience.com%2Fwos%2Fwoscc%2Ffull-record%2FWOS:000436218200024","View Full Record in Web of Science")</f>
        <v>View Full Record in Web of Science</v>
      </c>
    </row>
    <row r="963" spans="1:72" x14ac:dyDescent="0.15">
      <c r="A963" t="s">
        <v>72</v>
      </c>
      <c r="B963" t="s">
        <v>18247</v>
      </c>
      <c r="C963" t="s">
        <v>74</v>
      </c>
      <c r="D963" t="s">
        <v>74</v>
      </c>
      <c r="E963" t="s">
        <v>74</v>
      </c>
      <c r="F963" t="s">
        <v>18248</v>
      </c>
      <c r="G963" t="s">
        <v>74</v>
      </c>
      <c r="H963" t="s">
        <v>74</v>
      </c>
      <c r="I963" t="s">
        <v>18249</v>
      </c>
      <c r="J963" t="s">
        <v>1443</v>
      </c>
      <c r="K963" t="s">
        <v>74</v>
      </c>
      <c r="L963" t="s">
        <v>74</v>
      </c>
      <c r="M963" t="s">
        <v>78</v>
      </c>
      <c r="N963" t="s">
        <v>79</v>
      </c>
      <c r="O963" t="s">
        <v>74</v>
      </c>
      <c r="P963" t="s">
        <v>74</v>
      </c>
      <c r="Q963" t="s">
        <v>74</v>
      </c>
      <c r="R963" t="s">
        <v>74</v>
      </c>
      <c r="S963" t="s">
        <v>74</v>
      </c>
      <c r="T963" t="s">
        <v>74</v>
      </c>
      <c r="U963" t="s">
        <v>18250</v>
      </c>
      <c r="V963" t="s">
        <v>18251</v>
      </c>
      <c r="W963" t="s">
        <v>18252</v>
      </c>
      <c r="X963" t="s">
        <v>18253</v>
      </c>
      <c r="Y963" t="s">
        <v>18254</v>
      </c>
      <c r="Z963" t="s">
        <v>18255</v>
      </c>
      <c r="AA963" t="s">
        <v>18256</v>
      </c>
      <c r="AB963" t="s">
        <v>18257</v>
      </c>
      <c r="AC963" t="s">
        <v>18258</v>
      </c>
      <c r="AD963" t="s">
        <v>18259</v>
      </c>
      <c r="AE963" t="s">
        <v>18260</v>
      </c>
      <c r="AF963" t="s">
        <v>74</v>
      </c>
      <c r="AG963">
        <v>41</v>
      </c>
      <c r="AH963">
        <v>42</v>
      </c>
      <c r="AI963">
        <v>43</v>
      </c>
      <c r="AJ963">
        <v>1</v>
      </c>
      <c r="AK963">
        <v>11</v>
      </c>
      <c r="AL963" t="s">
        <v>503</v>
      </c>
      <c r="AM963" t="s">
        <v>504</v>
      </c>
      <c r="AN963" t="s">
        <v>505</v>
      </c>
      <c r="AO963" t="s">
        <v>1455</v>
      </c>
      <c r="AP963" t="s">
        <v>74</v>
      </c>
      <c r="AQ963" t="s">
        <v>74</v>
      </c>
      <c r="AR963" t="s">
        <v>1456</v>
      </c>
      <c r="AS963" t="s">
        <v>1457</v>
      </c>
      <c r="AT963" t="s">
        <v>17418</v>
      </c>
      <c r="AU963">
        <v>2018</v>
      </c>
      <c r="AV963">
        <v>16</v>
      </c>
      <c r="AW963">
        <v>6</v>
      </c>
      <c r="AX963" t="s">
        <v>74</v>
      </c>
      <c r="AY963" t="s">
        <v>74</v>
      </c>
      <c r="AZ963" t="s">
        <v>74</v>
      </c>
      <c r="BA963" t="s">
        <v>74</v>
      </c>
      <c r="BB963">
        <v>704</v>
      </c>
      <c r="BC963">
        <v>717</v>
      </c>
      <c r="BD963" t="s">
        <v>74</v>
      </c>
      <c r="BE963" t="s">
        <v>18261</v>
      </c>
      <c r="BF963" t="str">
        <f>HYPERLINK("http://dx.doi.org/10.1029/2018SW001822","http://dx.doi.org/10.1029/2018SW001822")</f>
        <v>http://dx.doi.org/10.1029/2018SW001822</v>
      </c>
      <c r="BG963" t="s">
        <v>74</v>
      </c>
      <c r="BH963" t="s">
        <v>74</v>
      </c>
      <c r="BI963">
        <v>14</v>
      </c>
      <c r="BJ963" t="s">
        <v>1459</v>
      </c>
      <c r="BK963" t="s">
        <v>101</v>
      </c>
      <c r="BL963" t="s">
        <v>1459</v>
      </c>
      <c r="BM963" t="s">
        <v>17950</v>
      </c>
      <c r="BN963" t="s">
        <v>74</v>
      </c>
      <c r="BO963" t="s">
        <v>6905</v>
      </c>
      <c r="BP963" t="s">
        <v>74</v>
      </c>
      <c r="BQ963" t="s">
        <v>74</v>
      </c>
      <c r="BR963" t="s">
        <v>104</v>
      </c>
      <c r="BS963" t="s">
        <v>18262</v>
      </c>
      <c r="BT963" t="str">
        <f>HYPERLINK("https%3A%2F%2Fwww.webofscience.com%2Fwos%2Fwoscc%2Ffull-record%2FWOS:000438371500011","View Full Record in Web of Science")</f>
        <v>View Full Record in Web of Science</v>
      </c>
    </row>
    <row r="964" spans="1:72" x14ac:dyDescent="0.15">
      <c r="A964" t="s">
        <v>72</v>
      </c>
      <c r="B964" t="s">
        <v>18263</v>
      </c>
      <c r="C964" t="s">
        <v>74</v>
      </c>
      <c r="D964" t="s">
        <v>74</v>
      </c>
      <c r="E964" t="s">
        <v>74</v>
      </c>
      <c r="F964" t="s">
        <v>18264</v>
      </c>
      <c r="G964" t="s">
        <v>74</v>
      </c>
      <c r="H964" t="s">
        <v>74</v>
      </c>
      <c r="I964" t="s">
        <v>18265</v>
      </c>
      <c r="J964" t="s">
        <v>18266</v>
      </c>
      <c r="K964" t="s">
        <v>74</v>
      </c>
      <c r="L964" t="s">
        <v>74</v>
      </c>
      <c r="M964" t="s">
        <v>78</v>
      </c>
      <c r="N964" t="s">
        <v>79</v>
      </c>
      <c r="O964" t="s">
        <v>74</v>
      </c>
      <c r="P964" t="s">
        <v>74</v>
      </c>
      <c r="Q964" t="s">
        <v>74</v>
      </c>
      <c r="R964" t="s">
        <v>74</v>
      </c>
      <c r="S964" t="s">
        <v>74</v>
      </c>
      <c r="T964" t="s">
        <v>18267</v>
      </c>
      <c r="U964" t="s">
        <v>18268</v>
      </c>
      <c r="V964" t="s">
        <v>18269</v>
      </c>
      <c r="W964" t="s">
        <v>18270</v>
      </c>
      <c r="X964" t="s">
        <v>18271</v>
      </c>
      <c r="Y964" t="s">
        <v>18272</v>
      </c>
      <c r="Z964" t="s">
        <v>18273</v>
      </c>
      <c r="AA964" t="s">
        <v>18274</v>
      </c>
      <c r="AB964" t="s">
        <v>74</v>
      </c>
      <c r="AC964" t="s">
        <v>18275</v>
      </c>
      <c r="AD964" t="s">
        <v>18276</v>
      </c>
      <c r="AE964" t="s">
        <v>18277</v>
      </c>
      <c r="AF964" t="s">
        <v>74</v>
      </c>
      <c r="AG964">
        <v>67</v>
      </c>
      <c r="AH964">
        <v>1</v>
      </c>
      <c r="AI964">
        <v>1</v>
      </c>
      <c r="AJ964">
        <v>5</v>
      </c>
      <c r="AK964">
        <v>33</v>
      </c>
      <c r="AL964" t="s">
        <v>1793</v>
      </c>
      <c r="AM964" t="s">
        <v>18278</v>
      </c>
      <c r="AN964" t="s">
        <v>18279</v>
      </c>
      <c r="AO964" t="s">
        <v>18280</v>
      </c>
      <c r="AP964" t="s">
        <v>74</v>
      </c>
      <c r="AQ964" t="s">
        <v>74</v>
      </c>
      <c r="AR964" t="s">
        <v>18281</v>
      </c>
      <c r="AS964" t="s">
        <v>18282</v>
      </c>
      <c r="AT964" t="s">
        <v>17418</v>
      </c>
      <c r="AU964">
        <v>2018</v>
      </c>
      <c r="AV964">
        <v>10</v>
      </c>
      <c r="AW964">
        <v>3</v>
      </c>
      <c r="AX964" t="s">
        <v>74</v>
      </c>
      <c r="AY964" t="s">
        <v>74</v>
      </c>
      <c r="AZ964" t="s">
        <v>74</v>
      </c>
      <c r="BA964" t="s">
        <v>74</v>
      </c>
      <c r="BB964">
        <v>207</v>
      </c>
      <c r="BC964">
        <v>218</v>
      </c>
      <c r="BD964" t="s">
        <v>74</v>
      </c>
      <c r="BE964" t="s">
        <v>18283</v>
      </c>
      <c r="BF964" t="str">
        <f>HYPERLINK("http://dx.doi.org/10.3724/SP.J.1226.2018.00207","http://dx.doi.org/10.3724/SP.J.1226.2018.00207")</f>
        <v>http://dx.doi.org/10.3724/SP.J.1226.2018.00207</v>
      </c>
      <c r="BG964" t="s">
        <v>74</v>
      </c>
      <c r="BH964" t="s">
        <v>74</v>
      </c>
      <c r="BI964">
        <v>12</v>
      </c>
      <c r="BJ964" t="s">
        <v>18284</v>
      </c>
      <c r="BK964" t="s">
        <v>126</v>
      </c>
      <c r="BL964" t="s">
        <v>18285</v>
      </c>
      <c r="BM964" t="s">
        <v>18286</v>
      </c>
      <c r="BN964" t="s">
        <v>74</v>
      </c>
      <c r="BO964" t="s">
        <v>74</v>
      </c>
      <c r="BP964" t="s">
        <v>74</v>
      </c>
      <c r="BQ964" t="s">
        <v>74</v>
      </c>
      <c r="BR964" t="s">
        <v>104</v>
      </c>
      <c r="BS964" t="s">
        <v>18287</v>
      </c>
      <c r="BT964" t="str">
        <f>HYPERLINK("https%3A%2F%2Fwww.webofscience.com%2Fwos%2Fwoscc%2Ffull-record%2FWOS:000437514800002","View Full Record in Web of Science")</f>
        <v>View Full Record in Web of Science</v>
      </c>
    </row>
    <row r="965" spans="1:72" x14ac:dyDescent="0.15">
      <c r="A965" t="s">
        <v>72</v>
      </c>
      <c r="B965" t="s">
        <v>18288</v>
      </c>
      <c r="C965" t="s">
        <v>74</v>
      </c>
      <c r="D965" t="s">
        <v>74</v>
      </c>
      <c r="E965" t="s">
        <v>74</v>
      </c>
      <c r="F965" t="s">
        <v>18289</v>
      </c>
      <c r="G965" t="s">
        <v>74</v>
      </c>
      <c r="H965" t="s">
        <v>74</v>
      </c>
      <c r="I965" t="s">
        <v>18290</v>
      </c>
      <c r="J965" t="s">
        <v>18266</v>
      </c>
      <c r="K965" t="s">
        <v>74</v>
      </c>
      <c r="L965" t="s">
        <v>74</v>
      </c>
      <c r="M965" t="s">
        <v>78</v>
      </c>
      <c r="N965" t="s">
        <v>79</v>
      </c>
      <c r="O965" t="s">
        <v>74</v>
      </c>
      <c r="P965" t="s">
        <v>74</v>
      </c>
      <c r="Q965" t="s">
        <v>74</v>
      </c>
      <c r="R965" t="s">
        <v>74</v>
      </c>
      <c r="S965" t="s">
        <v>74</v>
      </c>
      <c r="T965" t="s">
        <v>18291</v>
      </c>
      <c r="U965" t="s">
        <v>18292</v>
      </c>
      <c r="V965" t="s">
        <v>18293</v>
      </c>
      <c r="W965" t="s">
        <v>18294</v>
      </c>
      <c r="X965" t="s">
        <v>18295</v>
      </c>
      <c r="Y965" t="s">
        <v>18296</v>
      </c>
      <c r="Z965" t="s">
        <v>18297</v>
      </c>
      <c r="AA965" t="s">
        <v>74</v>
      </c>
      <c r="AB965" t="s">
        <v>74</v>
      </c>
      <c r="AC965" t="s">
        <v>18298</v>
      </c>
      <c r="AD965" t="s">
        <v>12709</v>
      </c>
      <c r="AE965" t="s">
        <v>18299</v>
      </c>
      <c r="AF965" t="s">
        <v>74</v>
      </c>
      <c r="AG965">
        <v>60</v>
      </c>
      <c r="AH965">
        <v>4</v>
      </c>
      <c r="AI965">
        <v>4</v>
      </c>
      <c r="AJ965">
        <v>2</v>
      </c>
      <c r="AK965">
        <v>12</v>
      </c>
      <c r="AL965" t="s">
        <v>1793</v>
      </c>
      <c r="AM965" t="s">
        <v>18278</v>
      </c>
      <c r="AN965" t="s">
        <v>18279</v>
      </c>
      <c r="AO965" t="s">
        <v>18280</v>
      </c>
      <c r="AP965" t="s">
        <v>74</v>
      </c>
      <c r="AQ965" t="s">
        <v>74</v>
      </c>
      <c r="AR965" t="s">
        <v>18281</v>
      </c>
      <c r="AS965" t="s">
        <v>18282</v>
      </c>
      <c r="AT965" t="s">
        <v>17418</v>
      </c>
      <c r="AU965">
        <v>2018</v>
      </c>
      <c r="AV965">
        <v>10</v>
      </c>
      <c r="AW965">
        <v>3</v>
      </c>
      <c r="AX965" t="s">
        <v>74</v>
      </c>
      <c r="AY965" t="s">
        <v>74</v>
      </c>
      <c r="AZ965" t="s">
        <v>74</v>
      </c>
      <c r="BA965" t="s">
        <v>74</v>
      </c>
      <c r="BB965">
        <v>219</v>
      </c>
      <c r="BC965">
        <v>231</v>
      </c>
      <c r="BD965" t="s">
        <v>74</v>
      </c>
      <c r="BE965" t="s">
        <v>18300</v>
      </c>
      <c r="BF965" t="str">
        <f>HYPERLINK("http://dx.doi.org/10.3724/SP.J.1226.2018.00219","http://dx.doi.org/10.3724/SP.J.1226.2018.00219")</f>
        <v>http://dx.doi.org/10.3724/SP.J.1226.2018.00219</v>
      </c>
      <c r="BG965" t="s">
        <v>74</v>
      </c>
      <c r="BH965" t="s">
        <v>74</v>
      </c>
      <c r="BI965">
        <v>13</v>
      </c>
      <c r="BJ965" t="s">
        <v>18284</v>
      </c>
      <c r="BK965" t="s">
        <v>126</v>
      </c>
      <c r="BL965" t="s">
        <v>18285</v>
      </c>
      <c r="BM965" t="s">
        <v>18286</v>
      </c>
      <c r="BN965" t="s">
        <v>74</v>
      </c>
      <c r="BO965" t="s">
        <v>74</v>
      </c>
      <c r="BP965" t="s">
        <v>74</v>
      </c>
      <c r="BQ965" t="s">
        <v>74</v>
      </c>
      <c r="BR965" t="s">
        <v>104</v>
      </c>
      <c r="BS965" t="s">
        <v>18301</v>
      </c>
      <c r="BT965" t="str">
        <f>HYPERLINK("https%3A%2F%2Fwww.webofscience.com%2Fwos%2Fwoscc%2Ffull-record%2FWOS:000437514800003","View Full Record in Web of Science")</f>
        <v>View Full Record in Web of Science</v>
      </c>
    </row>
    <row r="966" spans="1:72" x14ac:dyDescent="0.15">
      <c r="A966" t="s">
        <v>72</v>
      </c>
      <c r="B966" t="s">
        <v>18302</v>
      </c>
      <c r="C966" t="s">
        <v>74</v>
      </c>
      <c r="D966" t="s">
        <v>74</v>
      </c>
      <c r="E966" t="s">
        <v>74</v>
      </c>
      <c r="F966" t="s">
        <v>18303</v>
      </c>
      <c r="G966" t="s">
        <v>74</v>
      </c>
      <c r="H966" t="s">
        <v>74</v>
      </c>
      <c r="I966" t="s">
        <v>18304</v>
      </c>
      <c r="J966" t="s">
        <v>18305</v>
      </c>
      <c r="K966" t="s">
        <v>74</v>
      </c>
      <c r="L966" t="s">
        <v>74</v>
      </c>
      <c r="M966" t="s">
        <v>78</v>
      </c>
      <c r="N966" t="s">
        <v>79</v>
      </c>
      <c r="O966" t="s">
        <v>74</v>
      </c>
      <c r="P966" t="s">
        <v>74</v>
      </c>
      <c r="Q966" t="s">
        <v>74</v>
      </c>
      <c r="R966" t="s">
        <v>74</v>
      </c>
      <c r="S966" t="s">
        <v>74</v>
      </c>
      <c r="T966" t="s">
        <v>18306</v>
      </c>
      <c r="U966" t="s">
        <v>18307</v>
      </c>
      <c r="V966" t="s">
        <v>18308</v>
      </c>
      <c r="W966" t="s">
        <v>18309</v>
      </c>
      <c r="X966" t="s">
        <v>18310</v>
      </c>
      <c r="Y966" t="s">
        <v>18311</v>
      </c>
      <c r="Z966" t="s">
        <v>18312</v>
      </c>
      <c r="AA966" t="s">
        <v>74</v>
      </c>
      <c r="AB966" t="s">
        <v>74</v>
      </c>
      <c r="AC966" t="s">
        <v>18313</v>
      </c>
      <c r="AD966" t="s">
        <v>18314</v>
      </c>
      <c r="AE966" t="s">
        <v>18315</v>
      </c>
      <c r="AF966" t="s">
        <v>74</v>
      </c>
      <c r="AG966">
        <v>95</v>
      </c>
      <c r="AH966">
        <v>11</v>
      </c>
      <c r="AI966">
        <v>11</v>
      </c>
      <c r="AJ966">
        <v>0</v>
      </c>
      <c r="AK966">
        <v>16</v>
      </c>
      <c r="AL966" t="s">
        <v>18316</v>
      </c>
      <c r="AM966" t="s">
        <v>18317</v>
      </c>
      <c r="AN966" t="s">
        <v>18318</v>
      </c>
      <c r="AO966" t="s">
        <v>18319</v>
      </c>
      <c r="AP966" t="s">
        <v>74</v>
      </c>
      <c r="AQ966" t="s">
        <v>74</v>
      </c>
      <c r="AR966" t="s">
        <v>18320</v>
      </c>
      <c r="AS966" t="s">
        <v>18321</v>
      </c>
      <c r="AT966" t="s">
        <v>17418</v>
      </c>
      <c r="AU966">
        <v>2018</v>
      </c>
      <c r="AV966">
        <v>61</v>
      </c>
      <c r="AW966">
        <v>4</v>
      </c>
      <c r="AX966" t="s">
        <v>74</v>
      </c>
      <c r="AY966" t="s">
        <v>74</v>
      </c>
      <c r="AZ966" t="s">
        <v>74</v>
      </c>
      <c r="BA966" t="s">
        <v>74</v>
      </c>
      <c r="BB966">
        <v>339</v>
      </c>
      <c r="BC966">
        <v>362</v>
      </c>
      <c r="BD966" t="s">
        <v>74</v>
      </c>
      <c r="BE966" t="s">
        <v>18322</v>
      </c>
      <c r="BF966" t="str">
        <f>HYPERLINK("http://dx.doi.org/10.1127/zfg/2018/0556","http://dx.doi.org/10.1127/zfg/2018/0556")</f>
        <v>http://dx.doi.org/10.1127/zfg/2018/0556</v>
      </c>
      <c r="BG966" t="s">
        <v>74</v>
      </c>
      <c r="BH966" t="s">
        <v>74</v>
      </c>
      <c r="BI966">
        <v>24</v>
      </c>
      <c r="BJ966" t="s">
        <v>208</v>
      </c>
      <c r="BK966" t="s">
        <v>101</v>
      </c>
      <c r="BL966" t="s">
        <v>209</v>
      </c>
      <c r="BM966" t="s">
        <v>18323</v>
      </c>
      <c r="BN966" t="s">
        <v>74</v>
      </c>
      <c r="BO966" t="s">
        <v>74</v>
      </c>
      <c r="BP966" t="s">
        <v>74</v>
      </c>
      <c r="BQ966" t="s">
        <v>74</v>
      </c>
      <c r="BR966" t="s">
        <v>104</v>
      </c>
      <c r="BS966" t="s">
        <v>18324</v>
      </c>
      <c r="BT966" t="str">
        <f>HYPERLINK("https%3A%2F%2Fwww.webofscience.com%2Fwos%2Fwoscc%2Ffull-record%2FWOS:000437255700005","View Full Record in Web of Science")</f>
        <v>View Full Record in Web of Science</v>
      </c>
    </row>
    <row r="967" spans="1:72" x14ac:dyDescent="0.15">
      <c r="A967" t="s">
        <v>72</v>
      </c>
      <c r="B967" t="s">
        <v>18325</v>
      </c>
      <c r="C967" t="s">
        <v>74</v>
      </c>
      <c r="D967" t="s">
        <v>74</v>
      </c>
      <c r="E967" t="s">
        <v>74</v>
      </c>
      <c r="F967" t="s">
        <v>18326</v>
      </c>
      <c r="G967" t="s">
        <v>74</v>
      </c>
      <c r="H967" t="s">
        <v>74</v>
      </c>
      <c r="I967" t="s">
        <v>18327</v>
      </c>
      <c r="J967" t="s">
        <v>18328</v>
      </c>
      <c r="K967" t="s">
        <v>74</v>
      </c>
      <c r="L967" t="s">
        <v>74</v>
      </c>
      <c r="M967" t="s">
        <v>78</v>
      </c>
      <c r="N967" t="s">
        <v>79</v>
      </c>
      <c r="O967" t="s">
        <v>74</v>
      </c>
      <c r="P967" t="s">
        <v>74</v>
      </c>
      <c r="Q967" t="s">
        <v>74</v>
      </c>
      <c r="R967" t="s">
        <v>74</v>
      </c>
      <c r="S967" t="s">
        <v>74</v>
      </c>
      <c r="T967" t="s">
        <v>18329</v>
      </c>
      <c r="U967" t="s">
        <v>18330</v>
      </c>
      <c r="V967" t="s">
        <v>18331</v>
      </c>
      <c r="W967" t="s">
        <v>18332</v>
      </c>
      <c r="X967" t="s">
        <v>18333</v>
      </c>
      <c r="Y967" t="s">
        <v>18334</v>
      </c>
      <c r="Z967" t="s">
        <v>18335</v>
      </c>
      <c r="AA967" t="s">
        <v>18336</v>
      </c>
      <c r="AB967" t="s">
        <v>18337</v>
      </c>
      <c r="AC967" t="s">
        <v>18338</v>
      </c>
      <c r="AD967" t="s">
        <v>18338</v>
      </c>
      <c r="AE967" t="s">
        <v>18339</v>
      </c>
      <c r="AF967" t="s">
        <v>74</v>
      </c>
      <c r="AG967">
        <v>37</v>
      </c>
      <c r="AH967">
        <v>12</v>
      </c>
      <c r="AI967">
        <v>13</v>
      </c>
      <c r="AJ967">
        <v>1</v>
      </c>
      <c r="AK967">
        <v>11</v>
      </c>
      <c r="AL967" t="s">
        <v>1053</v>
      </c>
      <c r="AM967" t="s">
        <v>1054</v>
      </c>
      <c r="AN967" t="s">
        <v>1055</v>
      </c>
      <c r="AO967" t="s">
        <v>74</v>
      </c>
      <c r="AP967" t="s">
        <v>18340</v>
      </c>
      <c r="AQ967" t="s">
        <v>74</v>
      </c>
      <c r="AR967" t="s">
        <v>18328</v>
      </c>
      <c r="AS967" t="s">
        <v>18341</v>
      </c>
      <c r="AT967" t="s">
        <v>17418</v>
      </c>
      <c r="AU967">
        <v>2018</v>
      </c>
      <c r="AV967">
        <v>23</v>
      </c>
      <c r="AW967">
        <v>6</v>
      </c>
      <c r="AX967" t="s">
        <v>74</v>
      </c>
      <c r="AY967" t="s">
        <v>74</v>
      </c>
      <c r="AZ967" t="s">
        <v>74</v>
      </c>
      <c r="BA967" t="s">
        <v>74</v>
      </c>
      <c r="BB967" t="s">
        <v>74</v>
      </c>
      <c r="BC967" t="s">
        <v>74</v>
      </c>
      <c r="BD967">
        <v>1481</v>
      </c>
      <c r="BE967" t="s">
        <v>18342</v>
      </c>
      <c r="BF967" t="str">
        <f>HYPERLINK("http://dx.doi.org/10.3390/molecules23061481","http://dx.doi.org/10.3390/molecules23061481")</f>
        <v>http://dx.doi.org/10.3390/molecules23061481</v>
      </c>
      <c r="BG967" t="s">
        <v>74</v>
      </c>
      <c r="BH967" t="s">
        <v>74</v>
      </c>
      <c r="BI967">
        <v>9</v>
      </c>
      <c r="BJ967" t="s">
        <v>18343</v>
      </c>
      <c r="BK967" t="s">
        <v>101</v>
      </c>
      <c r="BL967" t="s">
        <v>13168</v>
      </c>
      <c r="BM967" t="s">
        <v>18344</v>
      </c>
      <c r="BN967">
        <v>29921766</v>
      </c>
      <c r="BO967" t="s">
        <v>2647</v>
      </c>
      <c r="BP967" t="s">
        <v>74</v>
      </c>
      <c r="BQ967" t="s">
        <v>74</v>
      </c>
      <c r="BR967" t="s">
        <v>104</v>
      </c>
      <c r="BS967" t="s">
        <v>18345</v>
      </c>
      <c r="BT967" t="str">
        <f>HYPERLINK("https%3A%2F%2Fwww.webofscience.com%2Fwos%2Fwoscc%2Ffull-record%2FWOS:000435875400242","View Full Record in Web of Science")</f>
        <v>View Full Record in Web of Science</v>
      </c>
    </row>
    <row r="968" spans="1:72" x14ac:dyDescent="0.15">
      <c r="A968" t="s">
        <v>72</v>
      </c>
      <c r="B968" t="s">
        <v>18346</v>
      </c>
      <c r="C968" t="s">
        <v>74</v>
      </c>
      <c r="D968" t="s">
        <v>74</v>
      </c>
      <c r="E968" t="s">
        <v>74</v>
      </c>
      <c r="F968" t="s">
        <v>18347</v>
      </c>
      <c r="G968" t="s">
        <v>74</v>
      </c>
      <c r="H968" t="s">
        <v>74</v>
      </c>
      <c r="I968" t="s">
        <v>18348</v>
      </c>
      <c r="J968" t="s">
        <v>14189</v>
      </c>
      <c r="K968" t="s">
        <v>74</v>
      </c>
      <c r="L968" t="s">
        <v>74</v>
      </c>
      <c r="M968" t="s">
        <v>78</v>
      </c>
      <c r="N968" t="s">
        <v>79</v>
      </c>
      <c r="O968" t="s">
        <v>74</v>
      </c>
      <c r="P968" t="s">
        <v>74</v>
      </c>
      <c r="Q968" t="s">
        <v>74</v>
      </c>
      <c r="R968" t="s">
        <v>74</v>
      </c>
      <c r="S968" t="s">
        <v>74</v>
      </c>
      <c r="T968" t="s">
        <v>18349</v>
      </c>
      <c r="U968" t="s">
        <v>18350</v>
      </c>
      <c r="V968" t="s">
        <v>18351</v>
      </c>
      <c r="W968" t="s">
        <v>18352</v>
      </c>
      <c r="X968" t="s">
        <v>14194</v>
      </c>
      <c r="Y968" t="s">
        <v>18353</v>
      </c>
      <c r="Z968" t="s">
        <v>18354</v>
      </c>
      <c r="AA968" t="s">
        <v>18355</v>
      </c>
      <c r="AB968" t="s">
        <v>18356</v>
      </c>
      <c r="AC968" t="s">
        <v>18357</v>
      </c>
      <c r="AD968" t="s">
        <v>18358</v>
      </c>
      <c r="AE968" t="s">
        <v>18359</v>
      </c>
      <c r="AF968" t="s">
        <v>74</v>
      </c>
      <c r="AG968">
        <v>64</v>
      </c>
      <c r="AH968">
        <v>21</v>
      </c>
      <c r="AI968">
        <v>22</v>
      </c>
      <c r="AJ968">
        <v>2</v>
      </c>
      <c r="AK968">
        <v>28</v>
      </c>
      <c r="AL968" t="s">
        <v>1053</v>
      </c>
      <c r="AM968" t="s">
        <v>1054</v>
      </c>
      <c r="AN968" t="s">
        <v>1055</v>
      </c>
      <c r="AO968" t="s">
        <v>14201</v>
      </c>
      <c r="AP968" t="s">
        <v>74</v>
      </c>
      <c r="AQ968" t="s">
        <v>74</v>
      </c>
      <c r="AR968" t="s">
        <v>14189</v>
      </c>
      <c r="AS968" t="s">
        <v>14202</v>
      </c>
      <c r="AT968" t="s">
        <v>17418</v>
      </c>
      <c r="AU968">
        <v>2018</v>
      </c>
      <c r="AV968">
        <v>8</v>
      </c>
      <c r="AW968">
        <v>6</v>
      </c>
      <c r="AX968" t="s">
        <v>74</v>
      </c>
      <c r="AY968" t="s">
        <v>74</v>
      </c>
      <c r="AZ968" t="s">
        <v>74</v>
      </c>
      <c r="BA968" t="s">
        <v>74</v>
      </c>
      <c r="BB968" t="s">
        <v>74</v>
      </c>
      <c r="BC968" t="s">
        <v>74</v>
      </c>
      <c r="BD968">
        <v>234</v>
      </c>
      <c r="BE968" t="s">
        <v>18360</v>
      </c>
      <c r="BF968" t="str">
        <f>HYPERLINK("http://dx.doi.org/10.3390/catal8060234","http://dx.doi.org/10.3390/catal8060234")</f>
        <v>http://dx.doi.org/10.3390/catal8060234</v>
      </c>
      <c r="BG968" t="s">
        <v>74</v>
      </c>
      <c r="BH968" t="s">
        <v>74</v>
      </c>
      <c r="BI968">
        <v>18</v>
      </c>
      <c r="BJ968" t="s">
        <v>2878</v>
      </c>
      <c r="BK968" t="s">
        <v>101</v>
      </c>
      <c r="BL968" t="s">
        <v>2879</v>
      </c>
      <c r="BM968" t="s">
        <v>18361</v>
      </c>
      <c r="BN968" t="s">
        <v>74</v>
      </c>
      <c r="BO968" t="s">
        <v>11831</v>
      </c>
      <c r="BP968" t="s">
        <v>74</v>
      </c>
      <c r="BQ968" t="s">
        <v>74</v>
      </c>
      <c r="BR968" t="s">
        <v>104</v>
      </c>
      <c r="BS968" t="s">
        <v>18362</v>
      </c>
      <c r="BT968" t="str">
        <f>HYPERLINK("https%3A%2F%2Fwww.webofscience.com%2Fwos%2Fwoscc%2Ffull-record%2FWOS:000436128600013","View Full Record in Web of Science")</f>
        <v>View Full Record in Web of Science</v>
      </c>
    </row>
    <row r="969" spans="1:72" x14ac:dyDescent="0.15">
      <c r="A969" t="s">
        <v>72</v>
      </c>
      <c r="B969" t="s">
        <v>18363</v>
      </c>
      <c r="C969" t="s">
        <v>74</v>
      </c>
      <c r="D969" t="s">
        <v>74</v>
      </c>
      <c r="E969" t="s">
        <v>74</v>
      </c>
      <c r="F969" t="s">
        <v>18364</v>
      </c>
      <c r="G969" t="s">
        <v>74</v>
      </c>
      <c r="H969" t="s">
        <v>74</v>
      </c>
      <c r="I969" t="s">
        <v>18365</v>
      </c>
      <c r="J969" t="s">
        <v>1041</v>
      </c>
      <c r="K969" t="s">
        <v>74</v>
      </c>
      <c r="L969" t="s">
        <v>74</v>
      </c>
      <c r="M969" t="s">
        <v>78</v>
      </c>
      <c r="N969" t="s">
        <v>79</v>
      </c>
      <c r="O969" t="s">
        <v>74</v>
      </c>
      <c r="P969" t="s">
        <v>74</v>
      </c>
      <c r="Q969" t="s">
        <v>74</v>
      </c>
      <c r="R969" t="s">
        <v>74</v>
      </c>
      <c r="S969" t="s">
        <v>74</v>
      </c>
      <c r="T969" t="s">
        <v>18366</v>
      </c>
      <c r="U969" t="s">
        <v>18367</v>
      </c>
      <c r="V969" t="s">
        <v>18368</v>
      </c>
      <c r="W969" t="s">
        <v>18369</v>
      </c>
      <c r="X969" t="s">
        <v>18370</v>
      </c>
      <c r="Y969" t="s">
        <v>18371</v>
      </c>
      <c r="Z969" t="s">
        <v>18372</v>
      </c>
      <c r="AA969" t="s">
        <v>18373</v>
      </c>
      <c r="AB969" t="s">
        <v>18374</v>
      </c>
      <c r="AC969" t="s">
        <v>18375</v>
      </c>
      <c r="AD969" t="s">
        <v>18376</v>
      </c>
      <c r="AE969" t="s">
        <v>18377</v>
      </c>
      <c r="AF969" t="s">
        <v>74</v>
      </c>
      <c r="AG969">
        <v>30</v>
      </c>
      <c r="AH969">
        <v>14</v>
      </c>
      <c r="AI969">
        <v>14</v>
      </c>
      <c r="AJ969">
        <v>1</v>
      </c>
      <c r="AK969">
        <v>13</v>
      </c>
      <c r="AL969" t="s">
        <v>1053</v>
      </c>
      <c r="AM969" t="s">
        <v>1054</v>
      </c>
      <c r="AN969" t="s">
        <v>1055</v>
      </c>
      <c r="AO969" t="s">
        <v>1056</v>
      </c>
      <c r="AP969" t="s">
        <v>74</v>
      </c>
      <c r="AQ969" t="s">
        <v>74</v>
      </c>
      <c r="AR969" t="s">
        <v>1057</v>
      </c>
      <c r="AS969" t="s">
        <v>1058</v>
      </c>
      <c r="AT969" t="s">
        <v>17418</v>
      </c>
      <c r="AU969">
        <v>2018</v>
      </c>
      <c r="AV969">
        <v>16</v>
      </c>
      <c r="AW969">
        <v>6</v>
      </c>
      <c r="AX969" t="s">
        <v>74</v>
      </c>
      <c r="AY969" t="s">
        <v>74</v>
      </c>
      <c r="AZ969" t="s">
        <v>74</v>
      </c>
      <c r="BA969" t="s">
        <v>74</v>
      </c>
      <c r="BB969" t="s">
        <v>74</v>
      </c>
      <c r="BC969" t="s">
        <v>74</v>
      </c>
      <c r="BD969">
        <v>187</v>
      </c>
      <c r="BE969" t="s">
        <v>18378</v>
      </c>
      <c r="BF969" t="str">
        <f>HYPERLINK("http://dx.doi.org/10.3390/md16060187","http://dx.doi.org/10.3390/md16060187")</f>
        <v>http://dx.doi.org/10.3390/md16060187</v>
      </c>
      <c r="BG969" t="s">
        <v>74</v>
      </c>
      <c r="BH969" t="s">
        <v>74</v>
      </c>
      <c r="BI969">
        <v>11</v>
      </c>
      <c r="BJ969" t="s">
        <v>1060</v>
      </c>
      <c r="BK969" t="s">
        <v>101</v>
      </c>
      <c r="BL969" t="s">
        <v>1061</v>
      </c>
      <c r="BM969" t="s">
        <v>18379</v>
      </c>
      <c r="BN969">
        <v>29843452</v>
      </c>
      <c r="BO969" t="s">
        <v>16088</v>
      </c>
      <c r="BP969" t="s">
        <v>74</v>
      </c>
      <c r="BQ969" t="s">
        <v>74</v>
      </c>
      <c r="BR969" t="s">
        <v>104</v>
      </c>
      <c r="BS969" t="s">
        <v>18380</v>
      </c>
      <c r="BT969" t="str">
        <f>HYPERLINK("https%3A%2F%2Fwww.webofscience.com%2Fwos%2Fwoscc%2Ffull-record%2FWOS:000436499000012","View Full Record in Web of Science")</f>
        <v>View Full Record in Web of Science</v>
      </c>
    </row>
    <row r="970" spans="1:72" x14ac:dyDescent="0.15">
      <c r="A970" t="s">
        <v>72</v>
      </c>
      <c r="B970" t="s">
        <v>18381</v>
      </c>
      <c r="C970" t="s">
        <v>74</v>
      </c>
      <c r="D970" t="s">
        <v>74</v>
      </c>
      <c r="E970" t="s">
        <v>74</v>
      </c>
      <c r="F970" t="s">
        <v>18382</v>
      </c>
      <c r="G970" t="s">
        <v>74</v>
      </c>
      <c r="H970" t="s">
        <v>74</v>
      </c>
      <c r="I970" t="s">
        <v>18383</v>
      </c>
      <c r="J970" t="s">
        <v>14794</v>
      </c>
      <c r="K970" t="s">
        <v>74</v>
      </c>
      <c r="L970" t="s">
        <v>74</v>
      </c>
      <c r="M970" t="s">
        <v>78</v>
      </c>
      <c r="N970" t="s">
        <v>79</v>
      </c>
      <c r="O970" t="s">
        <v>74</v>
      </c>
      <c r="P970" t="s">
        <v>74</v>
      </c>
      <c r="Q970" t="s">
        <v>74</v>
      </c>
      <c r="R970" t="s">
        <v>74</v>
      </c>
      <c r="S970" t="s">
        <v>74</v>
      </c>
      <c r="T970" t="s">
        <v>18384</v>
      </c>
      <c r="U970" t="s">
        <v>18385</v>
      </c>
      <c r="V970" t="s">
        <v>18386</v>
      </c>
      <c r="W970" t="s">
        <v>18387</v>
      </c>
      <c r="X970" t="s">
        <v>18388</v>
      </c>
      <c r="Y970" t="s">
        <v>18389</v>
      </c>
      <c r="Z970" t="s">
        <v>18390</v>
      </c>
      <c r="AA970" t="s">
        <v>18391</v>
      </c>
      <c r="AB970" t="s">
        <v>18392</v>
      </c>
      <c r="AC970" t="s">
        <v>18393</v>
      </c>
      <c r="AD970" t="s">
        <v>18394</v>
      </c>
      <c r="AE970" t="s">
        <v>18395</v>
      </c>
      <c r="AF970" t="s">
        <v>74</v>
      </c>
      <c r="AG970">
        <v>73</v>
      </c>
      <c r="AH970">
        <v>45</v>
      </c>
      <c r="AI970">
        <v>46</v>
      </c>
      <c r="AJ970">
        <v>4</v>
      </c>
      <c r="AK970">
        <v>67</v>
      </c>
      <c r="AL970" t="s">
        <v>758</v>
      </c>
      <c r="AM970" t="s">
        <v>759</v>
      </c>
      <c r="AN970" t="s">
        <v>760</v>
      </c>
      <c r="AO970" t="s">
        <v>14807</v>
      </c>
      <c r="AP970" t="s">
        <v>14808</v>
      </c>
      <c r="AQ970" t="s">
        <v>74</v>
      </c>
      <c r="AR970" t="s">
        <v>14809</v>
      </c>
      <c r="AS970" t="s">
        <v>14810</v>
      </c>
      <c r="AT970" t="s">
        <v>17418</v>
      </c>
      <c r="AU970">
        <v>2018</v>
      </c>
      <c r="AV970">
        <v>218</v>
      </c>
      <c r="AW970">
        <v>4</v>
      </c>
      <c r="AX970" t="s">
        <v>74</v>
      </c>
      <c r="AY970" t="s">
        <v>74</v>
      </c>
      <c r="AZ970" t="s">
        <v>74</v>
      </c>
      <c r="BA970" t="s">
        <v>74</v>
      </c>
      <c r="BB970">
        <v>1406</v>
      </c>
      <c r="BC970">
        <v>1418</v>
      </c>
      <c r="BD970" t="s">
        <v>74</v>
      </c>
      <c r="BE970" t="s">
        <v>18396</v>
      </c>
      <c r="BF970" t="str">
        <f>HYPERLINK("http://dx.doi.org/10.1111/nph.15124","http://dx.doi.org/10.1111/nph.15124")</f>
        <v>http://dx.doi.org/10.1111/nph.15124</v>
      </c>
      <c r="BG970" t="s">
        <v>74</v>
      </c>
      <c r="BH970" t="s">
        <v>74</v>
      </c>
      <c r="BI970">
        <v>13</v>
      </c>
      <c r="BJ970" t="s">
        <v>237</v>
      </c>
      <c r="BK970" t="s">
        <v>101</v>
      </c>
      <c r="BL970" t="s">
        <v>237</v>
      </c>
      <c r="BM970" t="s">
        <v>18397</v>
      </c>
      <c r="BN970">
        <v>29682746</v>
      </c>
      <c r="BO970" t="s">
        <v>712</v>
      </c>
      <c r="BP970" t="s">
        <v>74</v>
      </c>
      <c r="BQ970" t="s">
        <v>74</v>
      </c>
      <c r="BR970" t="s">
        <v>104</v>
      </c>
      <c r="BS970" t="s">
        <v>18398</v>
      </c>
      <c r="BT970" t="str">
        <f>HYPERLINK("https%3A%2F%2Fwww.webofscience.com%2Fwos%2Fwoscc%2Ffull-record%2FWOS:000437029600019","View Full Record in Web of Science")</f>
        <v>View Full Record in Web of Science</v>
      </c>
    </row>
    <row r="971" spans="1:72" x14ac:dyDescent="0.15">
      <c r="A971" t="s">
        <v>72</v>
      </c>
      <c r="B971" t="s">
        <v>18399</v>
      </c>
      <c r="C971" t="s">
        <v>74</v>
      </c>
      <c r="D971" t="s">
        <v>74</v>
      </c>
      <c r="E971" t="s">
        <v>74</v>
      </c>
      <c r="F971" t="s">
        <v>18400</v>
      </c>
      <c r="G971" t="s">
        <v>74</v>
      </c>
      <c r="H971" t="s">
        <v>74</v>
      </c>
      <c r="I971" t="s">
        <v>18401</v>
      </c>
      <c r="J971" t="s">
        <v>18402</v>
      </c>
      <c r="K971" t="s">
        <v>74</v>
      </c>
      <c r="L971" t="s">
        <v>74</v>
      </c>
      <c r="M971" t="s">
        <v>78</v>
      </c>
      <c r="N971" t="s">
        <v>79</v>
      </c>
      <c r="O971" t="s">
        <v>74</v>
      </c>
      <c r="P971" t="s">
        <v>74</v>
      </c>
      <c r="Q971" t="s">
        <v>74</v>
      </c>
      <c r="R971" t="s">
        <v>74</v>
      </c>
      <c r="S971" t="s">
        <v>74</v>
      </c>
      <c r="T971" t="s">
        <v>18403</v>
      </c>
      <c r="U971" t="s">
        <v>18404</v>
      </c>
      <c r="V971" t="s">
        <v>18405</v>
      </c>
      <c r="W971" t="s">
        <v>18406</v>
      </c>
      <c r="X971" t="s">
        <v>18407</v>
      </c>
      <c r="Y971" t="s">
        <v>18408</v>
      </c>
      <c r="Z971" t="s">
        <v>18409</v>
      </c>
      <c r="AA971" t="s">
        <v>18410</v>
      </c>
      <c r="AB971" t="s">
        <v>18411</v>
      </c>
      <c r="AC971" t="s">
        <v>74</v>
      </c>
      <c r="AD971" t="s">
        <v>74</v>
      </c>
      <c r="AE971" t="s">
        <v>74</v>
      </c>
      <c r="AF971" t="s">
        <v>74</v>
      </c>
      <c r="AG971">
        <v>89</v>
      </c>
      <c r="AH971">
        <v>9</v>
      </c>
      <c r="AI971">
        <v>9</v>
      </c>
      <c r="AJ971">
        <v>0</v>
      </c>
      <c r="AK971">
        <v>14</v>
      </c>
      <c r="AL971" t="s">
        <v>5311</v>
      </c>
      <c r="AM971" t="s">
        <v>1054</v>
      </c>
      <c r="AN971" t="s">
        <v>5312</v>
      </c>
      <c r="AO971" t="s">
        <v>18412</v>
      </c>
      <c r="AP971" t="s">
        <v>18413</v>
      </c>
      <c r="AQ971" t="s">
        <v>74</v>
      </c>
      <c r="AR971" t="s">
        <v>18414</v>
      </c>
      <c r="AS971" t="s">
        <v>18415</v>
      </c>
      <c r="AT971" t="s">
        <v>17418</v>
      </c>
      <c r="AU971">
        <v>2018</v>
      </c>
      <c r="AV971">
        <v>175</v>
      </c>
      <c r="AW971">
        <v>6</v>
      </c>
      <c r="AX971" t="s">
        <v>74</v>
      </c>
      <c r="AY971" t="s">
        <v>74</v>
      </c>
      <c r="AZ971" t="s">
        <v>74</v>
      </c>
      <c r="BA971" t="s">
        <v>74</v>
      </c>
      <c r="BB971">
        <v>2181</v>
      </c>
      <c r="BC971">
        <v>2203</v>
      </c>
      <c r="BD971" t="s">
        <v>74</v>
      </c>
      <c r="BE971" t="s">
        <v>18416</v>
      </c>
      <c r="BF971" t="str">
        <f>HYPERLINK("http://dx.doi.org/10.1007/s00024-018-1795-z","http://dx.doi.org/10.1007/s00024-018-1795-z")</f>
        <v>http://dx.doi.org/10.1007/s00024-018-1795-z</v>
      </c>
      <c r="BG971" t="s">
        <v>74</v>
      </c>
      <c r="BH971" t="s">
        <v>74</v>
      </c>
      <c r="BI971">
        <v>23</v>
      </c>
      <c r="BJ971" t="s">
        <v>484</v>
      </c>
      <c r="BK971" t="s">
        <v>101</v>
      </c>
      <c r="BL971" t="s">
        <v>484</v>
      </c>
      <c r="BM971" t="s">
        <v>18417</v>
      </c>
      <c r="BN971" t="s">
        <v>74</v>
      </c>
      <c r="BO971" t="s">
        <v>74</v>
      </c>
      <c r="BP971" t="s">
        <v>74</v>
      </c>
      <c r="BQ971" t="s">
        <v>74</v>
      </c>
      <c r="BR971" t="s">
        <v>104</v>
      </c>
      <c r="BS971" t="s">
        <v>18418</v>
      </c>
      <c r="BT971" t="str">
        <f>HYPERLINK("https%3A%2F%2Fwww.webofscience.com%2Fwos%2Fwoscc%2Ffull-record%2FWOS:000435590500017","View Full Record in Web of Science")</f>
        <v>View Full Record in Web of Science</v>
      </c>
    </row>
    <row r="972" spans="1:72" x14ac:dyDescent="0.15">
      <c r="A972" t="s">
        <v>72</v>
      </c>
      <c r="B972" t="s">
        <v>18419</v>
      </c>
      <c r="C972" t="s">
        <v>74</v>
      </c>
      <c r="D972" t="s">
        <v>74</v>
      </c>
      <c r="E972" t="s">
        <v>74</v>
      </c>
      <c r="F972" t="s">
        <v>18420</v>
      </c>
      <c r="G972" t="s">
        <v>74</v>
      </c>
      <c r="H972" t="s">
        <v>74</v>
      </c>
      <c r="I972" t="s">
        <v>18421</v>
      </c>
      <c r="J972" t="s">
        <v>18422</v>
      </c>
      <c r="K972" t="s">
        <v>74</v>
      </c>
      <c r="L972" t="s">
        <v>74</v>
      </c>
      <c r="M972" t="s">
        <v>78</v>
      </c>
      <c r="N972" t="s">
        <v>79</v>
      </c>
      <c r="O972" t="s">
        <v>74</v>
      </c>
      <c r="P972" t="s">
        <v>74</v>
      </c>
      <c r="Q972" t="s">
        <v>74</v>
      </c>
      <c r="R972" t="s">
        <v>74</v>
      </c>
      <c r="S972" t="s">
        <v>74</v>
      </c>
      <c r="T972" t="s">
        <v>18423</v>
      </c>
      <c r="U972" t="s">
        <v>18424</v>
      </c>
      <c r="V972" t="s">
        <v>18425</v>
      </c>
      <c r="W972" t="s">
        <v>18426</v>
      </c>
      <c r="X972" t="s">
        <v>18427</v>
      </c>
      <c r="Y972" t="s">
        <v>18428</v>
      </c>
      <c r="Z972" t="s">
        <v>18429</v>
      </c>
      <c r="AA972" t="s">
        <v>18430</v>
      </c>
      <c r="AB972" t="s">
        <v>18431</v>
      </c>
      <c r="AC972" t="s">
        <v>18432</v>
      </c>
      <c r="AD972" t="s">
        <v>18432</v>
      </c>
      <c r="AE972" t="s">
        <v>18433</v>
      </c>
      <c r="AF972" t="s">
        <v>74</v>
      </c>
      <c r="AG972">
        <v>30</v>
      </c>
      <c r="AH972">
        <v>3</v>
      </c>
      <c r="AI972">
        <v>3</v>
      </c>
      <c r="AJ972">
        <v>1</v>
      </c>
      <c r="AK972">
        <v>9</v>
      </c>
      <c r="AL972" t="s">
        <v>18434</v>
      </c>
      <c r="AM972" t="s">
        <v>175</v>
      </c>
      <c r="AN972" t="s">
        <v>18435</v>
      </c>
      <c r="AO972" t="s">
        <v>18436</v>
      </c>
      <c r="AP972" t="s">
        <v>18437</v>
      </c>
      <c r="AQ972" t="s">
        <v>74</v>
      </c>
      <c r="AR972" t="s">
        <v>18438</v>
      </c>
      <c r="AS972" t="s">
        <v>18439</v>
      </c>
      <c r="AT972" t="s">
        <v>17418</v>
      </c>
      <c r="AU972">
        <v>2018</v>
      </c>
      <c r="AV972">
        <v>53</v>
      </c>
      <c r="AW972">
        <v>2</v>
      </c>
      <c r="AX972" t="s">
        <v>74</v>
      </c>
      <c r="AY972" t="s">
        <v>74</v>
      </c>
      <c r="AZ972" t="s">
        <v>74</v>
      </c>
      <c r="BA972" t="s">
        <v>74</v>
      </c>
      <c r="BB972">
        <v>179</v>
      </c>
      <c r="BC972">
        <v>189</v>
      </c>
      <c r="BD972" t="s">
        <v>74</v>
      </c>
      <c r="BE972" t="s">
        <v>18440</v>
      </c>
      <c r="BF972" t="str">
        <f>HYPERLINK("http://dx.doi.org/10.1007/s12601-018-0007-1","http://dx.doi.org/10.1007/s12601-018-0007-1")</f>
        <v>http://dx.doi.org/10.1007/s12601-018-0007-1</v>
      </c>
      <c r="BG972" t="s">
        <v>74</v>
      </c>
      <c r="BH972" t="s">
        <v>74</v>
      </c>
      <c r="BI972">
        <v>11</v>
      </c>
      <c r="BJ972" t="s">
        <v>1838</v>
      </c>
      <c r="BK972" t="s">
        <v>101</v>
      </c>
      <c r="BL972" t="s">
        <v>1838</v>
      </c>
      <c r="BM972" t="s">
        <v>18441</v>
      </c>
      <c r="BN972" t="s">
        <v>74</v>
      </c>
      <c r="BO972" t="s">
        <v>74</v>
      </c>
      <c r="BP972" t="s">
        <v>74</v>
      </c>
      <c r="BQ972" t="s">
        <v>74</v>
      </c>
      <c r="BR972" t="s">
        <v>104</v>
      </c>
      <c r="BS972" t="s">
        <v>18442</v>
      </c>
      <c r="BT972" t="str">
        <f>HYPERLINK("https%3A%2F%2Fwww.webofscience.com%2Fwos%2Fwoscc%2Ffull-record%2FWOS:000436129100003","View Full Record in Web of Science")</f>
        <v>View Full Record in Web of Science</v>
      </c>
    </row>
    <row r="973" spans="1:72" x14ac:dyDescent="0.15">
      <c r="A973" t="s">
        <v>72</v>
      </c>
      <c r="B973" t="s">
        <v>18443</v>
      </c>
      <c r="C973" t="s">
        <v>74</v>
      </c>
      <c r="D973" t="s">
        <v>74</v>
      </c>
      <c r="E973" t="s">
        <v>74</v>
      </c>
      <c r="F973" t="s">
        <v>18444</v>
      </c>
      <c r="G973" t="s">
        <v>74</v>
      </c>
      <c r="H973" t="s">
        <v>74</v>
      </c>
      <c r="I973" t="s">
        <v>18445</v>
      </c>
      <c r="J973" t="s">
        <v>13247</v>
      </c>
      <c r="K973" t="s">
        <v>74</v>
      </c>
      <c r="L973" t="s">
        <v>74</v>
      </c>
      <c r="M973" t="s">
        <v>13248</v>
      </c>
      <c r="N973" t="s">
        <v>79</v>
      </c>
      <c r="O973" t="s">
        <v>74</v>
      </c>
      <c r="P973" t="s">
        <v>74</v>
      </c>
      <c r="Q973" t="s">
        <v>74</v>
      </c>
      <c r="R973" t="s">
        <v>74</v>
      </c>
      <c r="S973" t="s">
        <v>74</v>
      </c>
      <c r="T973" t="s">
        <v>18446</v>
      </c>
      <c r="U973" t="s">
        <v>18447</v>
      </c>
      <c r="V973" t="s">
        <v>18448</v>
      </c>
      <c r="W973" t="s">
        <v>18449</v>
      </c>
      <c r="X973" t="s">
        <v>9747</v>
      </c>
      <c r="Y973" t="s">
        <v>18450</v>
      </c>
      <c r="Z973" t="s">
        <v>18451</v>
      </c>
      <c r="AA973" t="s">
        <v>18069</v>
      </c>
      <c r="AB973" t="s">
        <v>18452</v>
      </c>
      <c r="AC973" t="s">
        <v>74</v>
      </c>
      <c r="AD973" t="s">
        <v>74</v>
      </c>
      <c r="AE973" t="s">
        <v>74</v>
      </c>
      <c r="AF973" t="s">
        <v>74</v>
      </c>
      <c r="AG973">
        <v>23</v>
      </c>
      <c r="AH973">
        <v>1</v>
      </c>
      <c r="AI973">
        <v>5</v>
      </c>
      <c r="AJ973">
        <v>0</v>
      </c>
      <c r="AK973">
        <v>16</v>
      </c>
      <c r="AL973" t="s">
        <v>1793</v>
      </c>
      <c r="AM973" t="s">
        <v>1794</v>
      </c>
      <c r="AN973" t="s">
        <v>1795</v>
      </c>
      <c r="AO973" t="s">
        <v>13256</v>
      </c>
      <c r="AP973" t="s">
        <v>74</v>
      </c>
      <c r="AQ973" t="s">
        <v>74</v>
      </c>
      <c r="AR973" t="s">
        <v>13257</v>
      </c>
      <c r="AS973" t="s">
        <v>13258</v>
      </c>
      <c r="AT973" t="s">
        <v>17418</v>
      </c>
      <c r="AU973">
        <v>2018</v>
      </c>
      <c r="AV973">
        <v>61</v>
      </c>
      <c r="AW973">
        <v>6</v>
      </c>
      <c r="AX973" t="s">
        <v>74</v>
      </c>
      <c r="AY973" t="s">
        <v>74</v>
      </c>
      <c r="AZ973" t="s">
        <v>74</v>
      </c>
      <c r="BA973" t="s">
        <v>74</v>
      </c>
      <c r="BB973">
        <v>2220</v>
      </c>
      <c r="BC973">
        <v>2226</v>
      </c>
      <c r="BD973" t="s">
        <v>74</v>
      </c>
      <c r="BE973" t="s">
        <v>18453</v>
      </c>
      <c r="BF973" t="str">
        <f>HYPERLINK("http://dx.doi.org/10.6038/cjg2018L0598","http://dx.doi.org/10.6038/cjg2018L0598")</f>
        <v>http://dx.doi.org/10.6038/cjg2018L0598</v>
      </c>
      <c r="BG973" t="s">
        <v>74</v>
      </c>
      <c r="BH973" t="s">
        <v>74</v>
      </c>
      <c r="BI973">
        <v>7</v>
      </c>
      <c r="BJ973" t="s">
        <v>484</v>
      </c>
      <c r="BK973" t="s">
        <v>101</v>
      </c>
      <c r="BL973" t="s">
        <v>484</v>
      </c>
      <c r="BM973" t="s">
        <v>18454</v>
      </c>
      <c r="BN973" t="s">
        <v>74</v>
      </c>
      <c r="BO973" t="s">
        <v>74</v>
      </c>
      <c r="BP973" t="s">
        <v>74</v>
      </c>
      <c r="BQ973" t="s">
        <v>74</v>
      </c>
      <c r="BR973" t="s">
        <v>104</v>
      </c>
      <c r="BS973" t="s">
        <v>18455</v>
      </c>
      <c r="BT973" t="str">
        <f>HYPERLINK("https%3A%2F%2Fwww.webofscience.com%2Fwos%2Fwoscc%2Ffull-record%2FWOS:000435427300005","View Full Record in Web of Science")</f>
        <v>View Full Record in Web of Science</v>
      </c>
    </row>
    <row r="974" spans="1:72" x14ac:dyDescent="0.15">
      <c r="A974" t="s">
        <v>72</v>
      </c>
      <c r="B974" t="s">
        <v>18456</v>
      </c>
      <c r="C974" t="s">
        <v>74</v>
      </c>
      <c r="D974" t="s">
        <v>74</v>
      </c>
      <c r="E974" t="s">
        <v>74</v>
      </c>
      <c r="F974" t="s">
        <v>18457</v>
      </c>
      <c r="G974" t="s">
        <v>74</v>
      </c>
      <c r="H974" t="s">
        <v>74</v>
      </c>
      <c r="I974" t="s">
        <v>18458</v>
      </c>
      <c r="J974" t="s">
        <v>6695</v>
      </c>
      <c r="K974" t="s">
        <v>74</v>
      </c>
      <c r="L974" t="s">
        <v>74</v>
      </c>
      <c r="M974" t="s">
        <v>78</v>
      </c>
      <c r="N974" t="s">
        <v>79</v>
      </c>
      <c r="O974" t="s">
        <v>74</v>
      </c>
      <c r="P974" t="s">
        <v>74</v>
      </c>
      <c r="Q974" t="s">
        <v>74</v>
      </c>
      <c r="R974" t="s">
        <v>74</v>
      </c>
      <c r="S974" t="s">
        <v>74</v>
      </c>
      <c r="T974" t="s">
        <v>18459</v>
      </c>
      <c r="U974" t="s">
        <v>18460</v>
      </c>
      <c r="V974" t="s">
        <v>18461</v>
      </c>
      <c r="W974" t="s">
        <v>18462</v>
      </c>
      <c r="X974" t="s">
        <v>18463</v>
      </c>
      <c r="Y974" t="s">
        <v>18464</v>
      </c>
      <c r="Z974" t="s">
        <v>18465</v>
      </c>
      <c r="AA974" t="s">
        <v>18466</v>
      </c>
      <c r="AB974" t="s">
        <v>18467</v>
      </c>
      <c r="AC974" t="s">
        <v>18468</v>
      </c>
      <c r="AD974" t="s">
        <v>18469</v>
      </c>
      <c r="AE974" t="s">
        <v>18470</v>
      </c>
      <c r="AF974" t="s">
        <v>74</v>
      </c>
      <c r="AG974">
        <v>78</v>
      </c>
      <c r="AH974">
        <v>30</v>
      </c>
      <c r="AI974">
        <v>31</v>
      </c>
      <c r="AJ974">
        <v>0</v>
      </c>
      <c r="AK974">
        <v>26</v>
      </c>
      <c r="AL974" t="s">
        <v>201</v>
      </c>
      <c r="AM974" t="s">
        <v>93</v>
      </c>
      <c r="AN974" t="s">
        <v>202</v>
      </c>
      <c r="AO974" t="s">
        <v>6708</v>
      </c>
      <c r="AP974" t="s">
        <v>6709</v>
      </c>
      <c r="AQ974" t="s">
        <v>74</v>
      </c>
      <c r="AR974" t="s">
        <v>6710</v>
      </c>
      <c r="AS974" t="s">
        <v>6711</v>
      </c>
      <c r="AT974" t="s">
        <v>17418</v>
      </c>
      <c r="AU974">
        <v>2018</v>
      </c>
      <c r="AV974">
        <v>122</v>
      </c>
      <c r="AW974">
        <v>6</v>
      </c>
      <c r="AX974" t="s">
        <v>74</v>
      </c>
      <c r="AY974" t="s">
        <v>74</v>
      </c>
      <c r="AZ974" t="s">
        <v>155</v>
      </c>
      <c r="BA974" t="s">
        <v>74</v>
      </c>
      <c r="BB974">
        <v>546</v>
      </c>
      <c r="BC974">
        <v>554</v>
      </c>
      <c r="BD974" t="s">
        <v>74</v>
      </c>
      <c r="BE974" t="s">
        <v>18471</v>
      </c>
      <c r="BF974" t="str">
        <f>HYPERLINK("http://dx.doi.org/10.1016/j.funbio.2017.10.012","http://dx.doi.org/10.1016/j.funbio.2017.10.012")</f>
        <v>http://dx.doi.org/10.1016/j.funbio.2017.10.012</v>
      </c>
      <c r="BG974" t="s">
        <v>74</v>
      </c>
      <c r="BH974" t="s">
        <v>74</v>
      </c>
      <c r="BI974">
        <v>9</v>
      </c>
      <c r="BJ974" t="s">
        <v>6713</v>
      </c>
      <c r="BK974" t="s">
        <v>101</v>
      </c>
      <c r="BL974" t="s">
        <v>6713</v>
      </c>
      <c r="BM974" t="s">
        <v>18472</v>
      </c>
      <c r="BN974">
        <v>29801799</v>
      </c>
      <c r="BO974" t="s">
        <v>486</v>
      </c>
      <c r="BP974" t="s">
        <v>74</v>
      </c>
      <c r="BQ974" t="s">
        <v>74</v>
      </c>
      <c r="BR974" t="s">
        <v>104</v>
      </c>
      <c r="BS974" t="s">
        <v>18473</v>
      </c>
      <c r="BT974" t="str">
        <f>HYPERLINK("https%3A%2F%2Fwww.webofscience.com%2Fwos%2Fwoscc%2Ffull-record%2FWOS:000436200900019","View Full Record in Web of Science")</f>
        <v>View Full Record in Web of Science</v>
      </c>
    </row>
    <row r="975" spans="1:72" x14ac:dyDescent="0.15">
      <c r="A975" t="s">
        <v>72</v>
      </c>
      <c r="B975" t="s">
        <v>18474</v>
      </c>
      <c r="C975" t="s">
        <v>74</v>
      </c>
      <c r="D975" t="s">
        <v>74</v>
      </c>
      <c r="E975" t="s">
        <v>74</v>
      </c>
      <c r="F975" t="s">
        <v>18475</v>
      </c>
      <c r="G975" t="s">
        <v>74</v>
      </c>
      <c r="H975" t="s">
        <v>74</v>
      </c>
      <c r="I975" t="s">
        <v>18476</v>
      </c>
      <c r="J975" t="s">
        <v>18477</v>
      </c>
      <c r="K975" t="s">
        <v>74</v>
      </c>
      <c r="L975" t="s">
        <v>74</v>
      </c>
      <c r="M975" t="s">
        <v>78</v>
      </c>
      <c r="N975" t="s">
        <v>79</v>
      </c>
      <c r="O975" t="s">
        <v>74</v>
      </c>
      <c r="P975" t="s">
        <v>74</v>
      </c>
      <c r="Q975" t="s">
        <v>74</v>
      </c>
      <c r="R975" t="s">
        <v>74</v>
      </c>
      <c r="S975" t="s">
        <v>74</v>
      </c>
      <c r="T975" t="s">
        <v>18478</v>
      </c>
      <c r="U975" t="s">
        <v>18479</v>
      </c>
      <c r="V975" t="s">
        <v>18480</v>
      </c>
      <c r="W975" t="s">
        <v>18481</v>
      </c>
      <c r="X975" t="s">
        <v>18482</v>
      </c>
      <c r="Y975" t="s">
        <v>18483</v>
      </c>
      <c r="Z975" t="s">
        <v>18484</v>
      </c>
      <c r="AA975" t="s">
        <v>18485</v>
      </c>
      <c r="AB975" t="s">
        <v>18486</v>
      </c>
      <c r="AC975" t="s">
        <v>18487</v>
      </c>
      <c r="AD975" t="s">
        <v>18488</v>
      </c>
      <c r="AE975" t="s">
        <v>18489</v>
      </c>
      <c r="AF975" t="s">
        <v>74</v>
      </c>
      <c r="AG975">
        <v>10</v>
      </c>
      <c r="AH975">
        <v>3</v>
      </c>
      <c r="AI975">
        <v>3</v>
      </c>
      <c r="AJ975">
        <v>0</v>
      </c>
      <c r="AK975">
        <v>9</v>
      </c>
      <c r="AL975" t="s">
        <v>430</v>
      </c>
      <c r="AM975" t="s">
        <v>286</v>
      </c>
      <c r="AN975" t="s">
        <v>431</v>
      </c>
      <c r="AO975" t="s">
        <v>18490</v>
      </c>
      <c r="AP975" t="s">
        <v>18491</v>
      </c>
      <c r="AQ975" t="s">
        <v>74</v>
      </c>
      <c r="AR975" t="s">
        <v>18492</v>
      </c>
      <c r="AS975" t="s">
        <v>18493</v>
      </c>
      <c r="AT975" t="s">
        <v>17418</v>
      </c>
      <c r="AU975">
        <v>2018</v>
      </c>
      <c r="AV975">
        <v>39</v>
      </c>
      <c r="AW975" t="s">
        <v>74</v>
      </c>
      <c r="AX975" t="s">
        <v>74</v>
      </c>
      <c r="AY975" t="s">
        <v>74</v>
      </c>
      <c r="AZ975" t="s">
        <v>74</v>
      </c>
      <c r="BA975" t="s">
        <v>74</v>
      </c>
      <c r="BB975">
        <v>1</v>
      </c>
      <c r="BC975">
        <v>2</v>
      </c>
      <c r="BD975" t="s">
        <v>74</v>
      </c>
      <c r="BE975" t="s">
        <v>18494</v>
      </c>
      <c r="BF975" t="str">
        <f>HYPERLINK("http://dx.doi.org/10.1016/j.margen.2017.06.006","http://dx.doi.org/10.1016/j.margen.2017.06.006")</f>
        <v>http://dx.doi.org/10.1016/j.margen.2017.06.006</v>
      </c>
      <c r="BG975" t="s">
        <v>74</v>
      </c>
      <c r="BH975" t="s">
        <v>74</v>
      </c>
      <c r="BI975">
        <v>2</v>
      </c>
      <c r="BJ975" t="s">
        <v>18495</v>
      </c>
      <c r="BK975" t="s">
        <v>101</v>
      </c>
      <c r="BL975" t="s">
        <v>18495</v>
      </c>
      <c r="BM975" t="s">
        <v>18496</v>
      </c>
      <c r="BN975" t="s">
        <v>74</v>
      </c>
      <c r="BO975" t="s">
        <v>74</v>
      </c>
      <c r="BP975" t="s">
        <v>74</v>
      </c>
      <c r="BQ975" t="s">
        <v>74</v>
      </c>
      <c r="BR975" t="s">
        <v>104</v>
      </c>
      <c r="BS975" t="s">
        <v>18497</v>
      </c>
      <c r="BT975" t="str">
        <f>HYPERLINK("https%3A%2F%2Fwww.webofscience.com%2Fwos%2Fwoscc%2Ffull-record%2FWOS:000436207800001","View Full Record in Web of Science")</f>
        <v>View Full Record in Web of Science</v>
      </c>
    </row>
    <row r="976" spans="1:72" x14ac:dyDescent="0.15">
      <c r="A976" t="s">
        <v>72</v>
      </c>
      <c r="B976" t="s">
        <v>18498</v>
      </c>
      <c r="C976" t="s">
        <v>74</v>
      </c>
      <c r="D976" t="s">
        <v>74</v>
      </c>
      <c r="E976" t="s">
        <v>74</v>
      </c>
      <c r="F976" t="s">
        <v>18499</v>
      </c>
      <c r="G976" t="s">
        <v>74</v>
      </c>
      <c r="H976" t="s">
        <v>74</v>
      </c>
      <c r="I976" t="s">
        <v>18500</v>
      </c>
      <c r="J976" t="s">
        <v>18477</v>
      </c>
      <c r="K976" t="s">
        <v>74</v>
      </c>
      <c r="L976" t="s">
        <v>74</v>
      </c>
      <c r="M976" t="s">
        <v>78</v>
      </c>
      <c r="N976" t="s">
        <v>79</v>
      </c>
      <c r="O976" t="s">
        <v>74</v>
      </c>
      <c r="P976" t="s">
        <v>74</v>
      </c>
      <c r="Q976" t="s">
        <v>74</v>
      </c>
      <c r="R976" t="s">
        <v>74</v>
      </c>
      <c r="S976" t="s">
        <v>74</v>
      </c>
      <c r="T976" t="s">
        <v>18501</v>
      </c>
      <c r="U976" t="s">
        <v>74</v>
      </c>
      <c r="V976" t="s">
        <v>18502</v>
      </c>
      <c r="W976" t="s">
        <v>18503</v>
      </c>
      <c r="X976" t="s">
        <v>18504</v>
      </c>
      <c r="Y976" t="s">
        <v>18505</v>
      </c>
      <c r="Z976" t="s">
        <v>18506</v>
      </c>
      <c r="AA976" t="s">
        <v>18507</v>
      </c>
      <c r="AB976" t="s">
        <v>18508</v>
      </c>
      <c r="AC976" t="s">
        <v>18509</v>
      </c>
      <c r="AD976" t="s">
        <v>18510</v>
      </c>
      <c r="AE976" t="s">
        <v>18511</v>
      </c>
      <c r="AF976" t="s">
        <v>74</v>
      </c>
      <c r="AG976">
        <v>21</v>
      </c>
      <c r="AH976">
        <v>5</v>
      </c>
      <c r="AI976">
        <v>5</v>
      </c>
      <c r="AJ976">
        <v>1</v>
      </c>
      <c r="AK976">
        <v>9</v>
      </c>
      <c r="AL976" t="s">
        <v>430</v>
      </c>
      <c r="AM976" t="s">
        <v>286</v>
      </c>
      <c r="AN976" t="s">
        <v>431</v>
      </c>
      <c r="AO976" t="s">
        <v>18490</v>
      </c>
      <c r="AP976" t="s">
        <v>18491</v>
      </c>
      <c r="AQ976" t="s">
        <v>74</v>
      </c>
      <c r="AR976" t="s">
        <v>18492</v>
      </c>
      <c r="AS976" t="s">
        <v>18493</v>
      </c>
      <c r="AT976" t="s">
        <v>17418</v>
      </c>
      <c r="AU976">
        <v>2018</v>
      </c>
      <c r="AV976">
        <v>39</v>
      </c>
      <c r="AW976" t="s">
        <v>74</v>
      </c>
      <c r="AX976" t="s">
        <v>74</v>
      </c>
      <c r="AY976" t="s">
        <v>74</v>
      </c>
      <c r="AZ976" t="s">
        <v>74</v>
      </c>
      <c r="BA976" t="s">
        <v>74</v>
      </c>
      <c r="BB976">
        <v>15</v>
      </c>
      <c r="BC976">
        <v>18</v>
      </c>
      <c r="BD976" t="s">
        <v>74</v>
      </c>
      <c r="BE976" t="s">
        <v>18512</v>
      </c>
      <c r="BF976" t="str">
        <f>HYPERLINK("http://dx.doi.org/10.1016/j.margen.2017.12.001","http://dx.doi.org/10.1016/j.margen.2017.12.001")</f>
        <v>http://dx.doi.org/10.1016/j.margen.2017.12.001</v>
      </c>
      <c r="BG976" t="s">
        <v>74</v>
      </c>
      <c r="BH976" t="s">
        <v>74</v>
      </c>
      <c r="BI976">
        <v>4</v>
      </c>
      <c r="BJ976" t="s">
        <v>18495</v>
      </c>
      <c r="BK976" t="s">
        <v>101</v>
      </c>
      <c r="BL976" t="s">
        <v>18495</v>
      </c>
      <c r="BM976" t="s">
        <v>18496</v>
      </c>
      <c r="BN976" t="s">
        <v>74</v>
      </c>
      <c r="BO976" t="s">
        <v>74</v>
      </c>
      <c r="BP976" t="s">
        <v>74</v>
      </c>
      <c r="BQ976" t="s">
        <v>74</v>
      </c>
      <c r="BR976" t="s">
        <v>104</v>
      </c>
      <c r="BS976" t="s">
        <v>18513</v>
      </c>
      <c r="BT976" t="str">
        <f>HYPERLINK("https%3A%2F%2Fwww.webofscience.com%2Fwos%2Fwoscc%2Ffull-record%2FWOS:000436207800005","View Full Record in Web of Science")</f>
        <v>View Full Record in Web of Science</v>
      </c>
    </row>
    <row r="977" spans="1:72" x14ac:dyDescent="0.15">
      <c r="A977" t="s">
        <v>72</v>
      </c>
      <c r="B977" t="s">
        <v>18514</v>
      </c>
      <c r="C977" t="s">
        <v>74</v>
      </c>
      <c r="D977" t="s">
        <v>74</v>
      </c>
      <c r="E977" t="s">
        <v>74</v>
      </c>
      <c r="F977" t="s">
        <v>18515</v>
      </c>
      <c r="G977" t="s">
        <v>74</v>
      </c>
      <c r="H977" t="s">
        <v>74</v>
      </c>
      <c r="I977" t="s">
        <v>18516</v>
      </c>
      <c r="J977" t="s">
        <v>18517</v>
      </c>
      <c r="K977" t="s">
        <v>74</v>
      </c>
      <c r="L977" t="s">
        <v>74</v>
      </c>
      <c r="M977" t="s">
        <v>78</v>
      </c>
      <c r="N977" t="s">
        <v>79</v>
      </c>
      <c r="O977" t="s">
        <v>74</v>
      </c>
      <c r="P977" t="s">
        <v>74</v>
      </c>
      <c r="Q977" t="s">
        <v>74</v>
      </c>
      <c r="R977" t="s">
        <v>74</v>
      </c>
      <c r="S977" t="s">
        <v>74</v>
      </c>
      <c r="T977" t="s">
        <v>18518</v>
      </c>
      <c r="U977" t="s">
        <v>18519</v>
      </c>
      <c r="V977" t="s">
        <v>18520</v>
      </c>
      <c r="W977" t="s">
        <v>18521</v>
      </c>
      <c r="X977" t="s">
        <v>18522</v>
      </c>
      <c r="Y977" t="s">
        <v>18523</v>
      </c>
      <c r="Z977" t="s">
        <v>18524</v>
      </c>
      <c r="AA977" t="s">
        <v>10490</v>
      </c>
      <c r="AB977" t="s">
        <v>10491</v>
      </c>
      <c r="AC977" t="s">
        <v>18525</v>
      </c>
      <c r="AD977" t="s">
        <v>18526</v>
      </c>
      <c r="AE977" t="s">
        <v>18527</v>
      </c>
      <c r="AF977" t="s">
        <v>74</v>
      </c>
      <c r="AG977">
        <v>34</v>
      </c>
      <c r="AH977">
        <v>6</v>
      </c>
      <c r="AI977">
        <v>7</v>
      </c>
      <c r="AJ977">
        <v>0</v>
      </c>
      <c r="AK977">
        <v>22</v>
      </c>
      <c r="AL977" t="s">
        <v>758</v>
      </c>
      <c r="AM977" t="s">
        <v>759</v>
      </c>
      <c r="AN977" t="s">
        <v>760</v>
      </c>
      <c r="AO977" t="s">
        <v>18528</v>
      </c>
      <c r="AP977" t="s">
        <v>18529</v>
      </c>
      <c r="AQ977" t="s">
        <v>74</v>
      </c>
      <c r="AR977" t="s">
        <v>18530</v>
      </c>
      <c r="AS977" t="s">
        <v>18531</v>
      </c>
      <c r="AT977" t="s">
        <v>17418</v>
      </c>
      <c r="AU977">
        <v>2018</v>
      </c>
      <c r="AV977">
        <v>137</v>
      </c>
      <c r="AW977">
        <v>2</v>
      </c>
      <c r="AX977" t="s">
        <v>74</v>
      </c>
      <c r="AY977" t="s">
        <v>74</v>
      </c>
      <c r="AZ977" t="s">
        <v>74</v>
      </c>
      <c r="BA977" t="s">
        <v>74</v>
      </c>
      <c r="BB977">
        <v>116</v>
      </c>
      <c r="BC977">
        <v>123</v>
      </c>
      <c r="BD977" t="s">
        <v>74</v>
      </c>
      <c r="BE977" t="s">
        <v>18532</v>
      </c>
      <c r="BF977" t="str">
        <f>HYPERLINK("http://dx.doi.org/10.1111/ivb.12210","http://dx.doi.org/10.1111/ivb.12210")</f>
        <v>http://dx.doi.org/10.1111/ivb.12210</v>
      </c>
      <c r="BG977" t="s">
        <v>74</v>
      </c>
      <c r="BH977" t="s">
        <v>74</v>
      </c>
      <c r="BI977">
        <v>8</v>
      </c>
      <c r="BJ977" t="s">
        <v>1425</v>
      </c>
      <c r="BK977" t="s">
        <v>101</v>
      </c>
      <c r="BL977" t="s">
        <v>1425</v>
      </c>
      <c r="BM977" t="s">
        <v>18533</v>
      </c>
      <c r="BN977" t="s">
        <v>74</v>
      </c>
      <c r="BO977" t="s">
        <v>74</v>
      </c>
      <c r="BP977" t="s">
        <v>74</v>
      </c>
      <c r="BQ977" t="s">
        <v>74</v>
      </c>
      <c r="BR977" t="s">
        <v>104</v>
      </c>
      <c r="BS977" t="s">
        <v>18534</v>
      </c>
      <c r="BT977" t="str">
        <f>HYPERLINK("https%3A%2F%2Fwww.webofscience.com%2Fwos%2Fwoscc%2Ffull-record%2FWOS:000435787500003","View Full Record in Web of Science")</f>
        <v>View Full Record in Web of Science</v>
      </c>
    </row>
    <row r="978" spans="1:72" x14ac:dyDescent="0.15">
      <c r="A978" t="s">
        <v>72</v>
      </c>
      <c r="B978" t="s">
        <v>18535</v>
      </c>
      <c r="C978" t="s">
        <v>74</v>
      </c>
      <c r="D978" t="s">
        <v>74</v>
      </c>
      <c r="E978" t="s">
        <v>74</v>
      </c>
      <c r="F978" t="s">
        <v>18536</v>
      </c>
      <c r="G978" t="s">
        <v>74</v>
      </c>
      <c r="H978" t="s">
        <v>74</v>
      </c>
      <c r="I978" t="s">
        <v>18537</v>
      </c>
      <c r="J978" t="s">
        <v>18538</v>
      </c>
      <c r="K978" t="s">
        <v>74</v>
      </c>
      <c r="L978" t="s">
        <v>74</v>
      </c>
      <c r="M978" t="s">
        <v>78</v>
      </c>
      <c r="N978" t="s">
        <v>79</v>
      </c>
      <c r="O978" t="s">
        <v>74</v>
      </c>
      <c r="P978" t="s">
        <v>74</v>
      </c>
      <c r="Q978" t="s">
        <v>74</v>
      </c>
      <c r="R978" t="s">
        <v>74</v>
      </c>
      <c r="S978" t="s">
        <v>74</v>
      </c>
      <c r="T978" t="s">
        <v>18539</v>
      </c>
      <c r="U978" t="s">
        <v>18540</v>
      </c>
      <c r="V978" t="s">
        <v>18541</v>
      </c>
      <c r="W978" t="s">
        <v>18542</v>
      </c>
      <c r="X978" t="s">
        <v>18543</v>
      </c>
      <c r="Y978" t="s">
        <v>18544</v>
      </c>
      <c r="Z978" t="s">
        <v>18545</v>
      </c>
      <c r="AA978" t="s">
        <v>18546</v>
      </c>
      <c r="AB978" t="s">
        <v>74</v>
      </c>
      <c r="AC978" t="s">
        <v>18547</v>
      </c>
      <c r="AD978" t="s">
        <v>18548</v>
      </c>
      <c r="AE978" t="s">
        <v>18549</v>
      </c>
      <c r="AF978" t="s">
        <v>74</v>
      </c>
      <c r="AG978">
        <v>32</v>
      </c>
      <c r="AH978">
        <v>15</v>
      </c>
      <c r="AI978">
        <v>16</v>
      </c>
      <c r="AJ978">
        <v>3</v>
      </c>
      <c r="AK978">
        <v>61</v>
      </c>
      <c r="AL978" t="s">
        <v>758</v>
      </c>
      <c r="AM978" t="s">
        <v>759</v>
      </c>
      <c r="AN978" t="s">
        <v>760</v>
      </c>
      <c r="AO978" t="s">
        <v>18550</v>
      </c>
      <c r="AP978" t="s">
        <v>18551</v>
      </c>
      <c r="AQ978" t="s">
        <v>74</v>
      </c>
      <c r="AR978" t="s">
        <v>18552</v>
      </c>
      <c r="AS978" t="s">
        <v>18553</v>
      </c>
      <c r="AT978" t="s">
        <v>17418</v>
      </c>
      <c r="AU978">
        <v>2018</v>
      </c>
      <c r="AV978">
        <v>42</v>
      </c>
      <c r="AW978">
        <v>3</v>
      </c>
      <c r="AX978" t="s">
        <v>74</v>
      </c>
      <c r="AY978" t="s">
        <v>74</v>
      </c>
      <c r="AZ978" t="s">
        <v>74</v>
      </c>
      <c r="BA978" t="s">
        <v>74</v>
      </c>
      <c r="BB978" t="s">
        <v>74</v>
      </c>
      <c r="BC978" t="s">
        <v>74</v>
      </c>
      <c r="BD978" t="s">
        <v>18554</v>
      </c>
      <c r="BE978" t="s">
        <v>18555</v>
      </c>
      <c r="BF978" t="str">
        <f>HYPERLINK("http://dx.doi.org/10.1111/jfbc.12506","http://dx.doi.org/10.1111/jfbc.12506")</f>
        <v>http://dx.doi.org/10.1111/jfbc.12506</v>
      </c>
      <c r="BG978" t="s">
        <v>74</v>
      </c>
      <c r="BH978" t="s">
        <v>74</v>
      </c>
      <c r="BI978">
        <v>9</v>
      </c>
      <c r="BJ978" t="s">
        <v>18556</v>
      </c>
      <c r="BK978" t="s">
        <v>101</v>
      </c>
      <c r="BL978" t="s">
        <v>18556</v>
      </c>
      <c r="BM978" t="s">
        <v>18557</v>
      </c>
      <c r="BN978" t="s">
        <v>74</v>
      </c>
      <c r="BO978" t="s">
        <v>1584</v>
      </c>
      <c r="BP978" t="s">
        <v>74</v>
      </c>
      <c r="BQ978" t="s">
        <v>74</v>
      </c>
      <c r="BR978" t="s">
        <v>104</v>
      </c>
      <c r="BS978" t="s">
        <v>18558</v>
      </c>
      <c r="BT978" t="str">
        <f>HYPERLINK("https%3A%2F%2Fwww.webofscience.com%2Fwos%2Fwoscc%2Ffull-record%2FWOS:000435795200008","View Full Record in Web of Science")</f>
        <v>View Full Record in Web of Science</v>
      </c>
    </row>
    <row r="979" spans="1:72" x14ac:dyDescent="0.15">
      <c r="A979" t="s">
        <v>72</v>
      </c>
      <c r="B979" t="s">
        <v>18559</v>
      </c>
      <c r="C979" t="s">
        <v>74</v>
      </c>
      <c r="D979" t="s">
        <v>74</v>
      </c>
      <c r="E979" t="s">
        <v>74</v>
      </c>
      <c r="F979" t="s">
        <v>18560</v>
      </c>
      <c r="G979" t="s">
        <v>74</v>
      </c>
      <c r="H979" t="s">
        <v>74</v>
      </c>
      <c r="I979" t="s">
        <v>18561</v>
      </c>
      <c r="J979" t="s">
        <v>924</v>
      </c>
      <c r="K979" t="s">
        <v>74</v>
      </c>
      <c r="L979" t="s">
        <v>74</v>
      </c>
      <c r="M979" t="s">
        <v>78</v>
      </c>
      <c r="N979" t="s">
        <v>79</v>
      </c>
      <c r="O979" t="s">
        <v>74</v>
      </c>
      <c r="P979" t="s">
        <v>74</v>
      </c>
      <c r="Q979" t="s">
        <v>74</v>
      </c>
      <c r="R979" t="s">
        <v>74</v>
      </c>
      <c r="S979" t="s">
        <v>74</v>
      </c>
      <c r="T979" t="s">
        <v>18562</v>
      </c>
      <c r="U979" t="s">
        <v>18563</v>
      </c>
      <c r="V979" t="s">
        <v>18564</v>
      </c>
      <c r="W979" t="s">
        <v>18565</v>
      </c>
      <c r="X979" t="s">
        <v>18566</v>
      </c>
      <c r="Y979" t="s">
        <v>18567</v>
      </c>
      <c r="Z979" t="s">
        <v>18568</v>
      </c>
      <c r="AA979" t="s">
        <v>18569</v>
      </c>
      <c r="AB979" t="s">
        <v>18570</v>
      </c>
      <c r="AC979" t="s">
        <v>18571</v>
      </c>
      <c r="AD979" t="s">
        <v>18572</v>
      </c>
      <c r="AE979" t="s">
        <v>18573</v>
      </c>
      <c r="AF979" t="s">
        <v>74</v>
      </c>
      <c r="AG979">
        <v>53</v>
      </c>
      <c r="AH979">
        <v>34</v>
      </c>
      <c r="AI979">
        <v>34</v>
      </c>
      <c r="AJ979">
        <v>1</v>
      </c>
      <c r="AK979">
        <v>28</v>
      </c>
      <c r="AL979" t="s">
        <v>758</v>
      </c>
      <c r="AM979" t="s">
        <v>759</v>
      </c>
      <c r="AN979" t="s">
        <v>760</v>
      </c>
      <c r="AO979" t="s">
        <v>937</v>
      </c>
      <c r="AP979" t="s">
        <v>938</v>
      </c>
      <c r="AQ979" t="s">
        <v>74</v>
      </c>
      <c r="AR979" t="s">
        <v>939</v>
      </c>
      <c r="AS979" t="s">
        <v>940</v>
      </c>
      <c r="AT979" t="s">
        <v>17418</v>
      </c>
      <c r="AU979">
        <v>2018</v>
      </c>
      <c r="AV979">
        <v>54</v>
      </c>
      <c r="AW979">
        <v>3</v>
      </c>
      <c r="AX979" t="s">
        <v>74</v>
      </c>
      <c r="AY979" t="s">
        <v>74</v>
      </c>
      <c r="AZ979" t="s">
        <v>74</v>
      </c>
      <c r="BA979" t="s">
        <v>74</v>
      </c>
      <c r="BB979">
        <v>380</v>
      </c>
      <c r="BC979">
        <v>390</v>
      </c>
      <c r="BD979" t="s">
        <v>74</v>
      </c>
      <c r="BE979" t="s">
        <v>18574</v>
      </c>
      <c r="BF979" t="str">
        <f>HYPERLINK("http://dx.doi.org/10.1111/jpy.12640","http://dx.doi.org/10.1111/jpy.12640")</f>
        <v>http://dx.doi.org/10.1111/jpy.12640</v>
      </c>
      <c r="BG979" t="s">
        <v>74</v>
      </c>
      <c r="BH979" t="s">
        <v>74</v>
      </c>
      <c r="BI979">
        <v>11</v>
      </c>
      <c r="BJ979" t="s">
        <v>942</v>
      </c>
      <c r="BK979" t="s">
        <v>101</v>
      </c>
      <c r="BL979" t="s">
        <v>942</v>
      </c>
      <c r="BM979" t="s">
        <v>18575</v>
      </c>
      <c r="BN979">
        <v>29505096</v>
      </c>
      <c r="BO979" t="s">
        <v>712</v>
      </c>
      <c r="BP979" t="s">
        <v>74</v>
      </c>
      <c r="BQ979" t="s">
        <v>74</v>
      </c>
      <c r="BR979" t="s">
        <v>104</v>
      </c>
      <c r="BS979" t="s">
        <v>18576</v>
      </c>
      <c r="BT979" t="str">
        <f>HYPERLINK("https%3A%2F%2Fwww.webofscience.com%2Fwos%2Fwoscc%2Ffull-record%2FWOS:000435798700007","View Full Record in Web of Science")</f>
        <v>View Full Record in Web of Science</v>
      </c>
    </row>
    <row r="980" spans="1:72" x14ac:dyDescent="0.15">
      <c r="A980" t="s">
        <v>72</v>
      </c>
      <c r="B980" t="s">
        <v>18577</v>
      </c>
      <c r="C980" t="s">
        <v>74</v>
      </c>
      <c r="D980" t="s">
        <v>74</v>
      </c>
      <c r="E980" t="s">
        <v>74</v>
      </c>
      <c r="F980" t="s">
        <v>18578</v>
      </c>
      <c r="G980" t="s">
        <v>74</v>
      </c>
      <c r="H980" t="s">
        <v>74</v>
      </c>
      <c r="I980" t="s">
        <v>18579</v>
      </c>
      <c r="J980" t="s">
        <v>924</v>
      </c>
      <c r="K980" t="s">
        <v>74</v>
      </c>
      <c r="L980" t="s">
        <v>74</v>
      </c>
      <c r="M980" t="s">
        <v>78</v>
      </c>
      <c r="N980" t="s">
        <v>79</v>
      </c>
      <c r="O980" t="s">
        <v>74</v>
      </c>
      <c r="P980" t="s">
        <v>74</v>
      </c>
      <c r="Q980" t="s">
        <v>74</v>
      </c>
      <c r="R980" t="s">
        <v>74</v>
      </c>
      <c r="S980" t="s">
        <v>74</v>
      </c>
      <c r="T980" t="s">
        <v>18580</v>
      </c>
      <c r="U980" t="s">
        <v>18581</v>
      </c>
      <c r="V980" t="s">
        <v>18582</v>
      </c>
      <c r="W980" t="s">
        <v>18583</v>
      </c>
      <c r="X980" t="s">
        <v>18584</v>
      </c>
      <c r="Y980" t="s">
        <v>18585</v>
      </c>
      <c r="Z980" t="s">
        <v>18586</v>
      </c>
      <c r="AA980" t="s">
        <v>18587</v>
      </c>
      <c r="AB980" t="s">
        <v>74</v>
      </c>
      <c r="AC980" t="s">
        <v>18588</v>
      </c>
      <c r="AD980" t="s">
        <v>18588</v>
      </c>
      <c r="AE980" t="s">
        <v>18589</v>
      </c>
      <c r="AF980" t="s">
        <v>74</v>
      </c>
      <c r="AG980">
        <v>56</v>
      </c>
      <c r="AH980">
        <v>4</v>
      </c>
      <c r="AI980">
        <v>4</v>
      </c>
      <c r="AJ980">
        <v>0</v>
      </c>
      <c r="AK980">
        <v>14</v>
      </c>
      <c r="AL980" t="s">
        <v>758</v>
      </c>
      <c r="AM980" t="s">
        <v>759</v>
      </c>
      <c r="AN980" t="s">
        <v>760</v>
      </c>
      <c r="AO980" t="s">
        <v>937</v>
      </c>
      <c r="AP980" t="s">
        <v>938</v>
      </c>
      <c r="AQ980" t="s">
        <v>74</v>
      </c>
      <c r="AR980" t="s">
        <v>939</v>
      </c>
      <c r="AS980" t="s">
        <v>940</v>
      </c>
      <c r="AT980" t="s">
        <v>17418</v>
      </c>
      <c r="AU980">
        <v>2018</v>
      </c>
      <c r="AV980">
        <v>54</v>
      </c>
      <c r="AW980">
        <v>3</v>
      </c>
      <c r="AX980" t="s">
        <v>74</v>
      </c>
      <c r="AY980" t="s">
        <v>74</v>
      </c>
      <c r="AZ980" t="s">
        <v>74</v>
      </c>
      <c r="BA980" t="s">
        <v>74</v>
      </c>
      <c r="BB980">
        <v>410</v>
      </c>
      <c r="BC980">
        <v>418</v>
      </c>
      <c r="BD980" t="s">
        <v>74</v>
      </c>
      <c r="BE980" t="s">
        <v>18590</v>
      </c>
      <c r="BF980" t="str">
        <f>HYPERLINK("http://dx.doi.org/10.1111/jpy.12641","http://dx.doi.org/10.1111/jpy.12641")</f>
        <v>http://dx.doi.org/10.1111/jpy.12641</v>
      </c>
      <c r="BG980" t="s">
        <v>74</v>
      </c>
      <c r="BH980" t="s">
        <v>74</v>
      </c>
      <c r="BI980">
        <v>9</v>
      </c>
      <c r="BJ980" t="s">
        <v>942</v>
      </c>
      <c r="BK980" t="s">
        <v>101</v>
      </c>
      <c r="BL980" t="s">
        <v>942</v>
      </c>
      <c r="BM980" t="s">
        <v>18575</v>
      </c>
      <c r="BN980">
        <v>29514391</v>
      </c>
      <c r="BO980" t="s">
        <v>74</v>
      </c>
      <c r="BP980" t="s">
        <v>74</v>
      </c>
      <c r="BQ980" t="s">
        <v>74</v>
      </c>
      <c r="BR980" t="s">
        <v>104</v>
      </c>
      <c r="BS980" t="s">
        <v>18591</v>
      </c>
      <c r="BT980" t="str">
        <f>HYPERLINK("https%3A%2F%2Fwww.webofscience.com%2Fwos%2Fwoscc%2Ffull-record%2FWOS:000435798700009","View Full Record in Web of Science")</f>
        <v>View Full Record in Web of Science</v>
      </c>
    </row>
    <row r="981" spans="1:72" x14ac:dyDescent="0.15">
      <c r="A981" t="s">
        <v>72</v>
      </c>
      <c r="B981" t="s">
        <v>18592</v>
      </c>
      <c r="C981" t="s">
        <v>74</v>
      </c>
      <c r="D981" t="s">
        <v>74</v>
      </c>
      <c r="E981" t="s">
        <v>74</v>
      </c>
      <c r="F981" t="s">
        <v>18593</v>
      </c>
      <c r="G981" t="s">
        <v>74</v>
      </c>
      <c r="H981" t="s">
        <v>74</v>
      </c>
      <c r="I981" t="s">
        <v>18594</v>
      </c>
      <c r="J981" t="s">
        <v>2027</v>
      </c>
      <c r="K981" t="s">
        <v>74</v>
      </c>
      <c r="L981" t="s">
        <v>74</v>
      </c>
      <c r="M981" t="s">
        <v>78</v>
      </c>
      <c r="N981" t="s">
        <v>79</v>
      </c>
      <c r="O981" t="s">
        <v>74</v>
      </c>
      <c r="P981" t="s">
        <v>74</v>
      </c>
      <c r="Q981" t="s">
        <v>74</v>
      </c>
      <c r="R981" t="s">
        <v>74</v>
      </c>
      <c r="S981" t="s">
        <v>74</v>
      </c>
      <c r="T981" t="s">
        <v>74</v>
      </c>
      <c r="U981" t="s">
        <v>18595</v>
      </c>
      <c r="V981" t="s">
        <v>18596</v>
      </c>
      <c r="W981" t="s">
        <v>18597</v>
      </c>
      <c r="X981" t="s">
        <v>18598</v>
      </c>
      <c r="Y981" t="s">
        <v>18599</v>
      </c>
      <c r="Z981" t="s">
        <v>18600</v>
      </c>
      <c r="AA981" t="s">
        <v>74</v>
      </c>
      <c r="AB981" t="s">
        <v>74</v>
      </c>
      <c r="AC981" t="s">
        <v>74</v>
      </c>
      <c r="AD981" t="s">
        <v>74</v>
      </c>
      <c r="AE981" t="s">
        <v>74</v>
      </c>
      <c r="AF981" t="s">
        <v>74</v>
      </c>
      <c r="AG981">
        <v>36</v>
      </c>
      <c r="AH981">
        <v>4</v>
      </c>
      <c r="AI981">
        <v>4</v>
      </c>
      <c r="AJ981">
        <v>0</v>
      </c>
      <c r="AK981">
        <v>7</v>
      </c>
      <c r="AL981" t="s">
        <v>2036</v>
      </c>
      <c r="AM981" t="s">
        <v>2037</v>
      </c>
      <c r="AN981" t="s">
        <v>2038</v>
      </c>
      <c r="AO981" t="s">
        <v>2039</v>
      </c>
      <c r="AP981" t="s">
        <v>2040</v>
      </c>
      <c r="AQ981" t="s">
        <v>74</v>
      </c>
      <c r="AR981" t="s">
        <v>2041</v>
      </c>
      <c r="AS981" t="s">
        <v>2042</v>
      </c>
      <c r="AT981" t="s">
        <v>17418</v>
      </c>
      <c r="AU981">
        <v>2018</v>
      </c>
      <c r="AV981">
        <v>91</v>
      </c>
      <c r="AW981">
        <v>6</v>
      </c>
      <c r="AX981" t="s">
        <v>74</v>
      </c>
      <c r="AY981" t="s">
        <v>74</v>
      </c>
      <c r="AZ981" t="s">
        <v>74</v>
      </c>
      <c r="BA981" t="s">
        <v>74</v>
      </c>
      <c r="BB981">
        <v>651</v>
      </c>
      <c r="BC981">
        <v>663</v>
      </c>
      <c r="BD981" t="s">
        <v>74</v>
      </c>
      <c r="BE981" t="s">
        <v>18601</v>
      </c>
      <c r="BF981" t="str">
        <f>HYPERLINK("http://dx.doi.org/10.1007/s12594-018-0920-z","http://dx.doi.org/10.1007/s12594-018-0920-z")</f>
        <v>http://dx.doi.org/10.1007/s12594-018-0920-z</v>
      </c>
      <c r="BG981" t="s">
        <v>74</v>
      </c>
      <c r="BH981" t="s">
        <v>74</v>
      </c>
      <c r="BI981">
        <v>13</v>
      </c>
      <c r="BJ981" t="s">
        <v>182</v>
      </c>
      <c r="BK981" t="s">
        <v>101</v>
      </c>
      <c r="BL981" t="s">
        <v>183</v>
      </c>
      <c r="BM981" t="s">
        <v>18602</v>
      </c>
      <c r="BN981" t="s">
        <v>74</v>
      </c>
      <c r="BO981" t="s">
        <v>74</v>
      </c>
      <c r="BP981" t="s">
        <v>74</v>
      </c>
      <c r="BQ981" t="s">
        <v>74</v>
      </c>
      <c r="BR981" t="s">
        <v>104</v>
      </c>
      <c r="BS981" t="s">
        <v>18603</v>
      </c>
      <c r="BT981" t="str">
        <f>HYPERLINK("https%3A%2F%2Fwww.webofscience.com%2Fwos%2Fwoscc%2Ffull-record%2FWOS:000435840500002","View Full Record in Web of Science")</f>
        <v>View Full Record in Web of Science</v>
      </c>
    </row>
    <row r="982" spans="1:72" x14ac:dyDescent="0.15">
      <c r="A982" t="s">
        <v>72</v>
      </c>
      <c r="B982" t="s">
        <v>18604</v>
      </c>
      <c r="C982" t="s">
        <v>74</v>
      </c>
      <c r="D982" t="s">
        <v>74</v>
      </c>
      <c r="E982" t="s">
        <v>74</v>
      </c>
      <c r="F982" t="s">
        <v>18605</v>
      </c>
      <c r="G982" t="s">
        <v>74</v>
      </c>
      <c r="H982" t="s">
        <v>74</v>
      </c>
      <c r="I982" t="s">
        <v>18606</v>
      </c>
      <c r="J982" t="s">
        <v>18607</v>
      </c>
      <c r="K982" t="s">
        <v>74</v>
      </c>
      <c r="L982" t="s">
        <v>74</v>
      </c>
      <c r="M982" t="s">
        <v>78</v>
      </c>
      <c r="N982" t="s">
        <v>79</v>
      </c>
      <c r="O982" t="s">
        <v>74</v>
      </c>
      <c r="P982" t="s">
        <v>74</v>
      </c>
      <c r="Q982" t="s">
        <v>74</v>
      </c>
      <c r="R982" t="s">
        <v>74</v>
      </c>
      <c r="S982" t="s">
        <v>74</v>
      </c>
      <c r="T982" t="s">
        <v>18608</v>
      </c>
      <c r="U982" t="s">
        <v>18609</v>
      </c>
      <c r="V982" t="s">
        <v>18610</v>
      </c>
      <c r="W982" t="s">
        <v>18611</v>
      </c>
      <c r="X982" t="s">
        <v>18612</v>
      </c>
      <c r="Y982" t="s">
        <v>18613</v>
      </c>
      <c r="Z982" t="s">
        <v>18614</v>
      </c>
      <c r="AA982" t="s">
        <v>18615</v>
      </c>
      <c r="AB982" t="s">
        <v>18616</v>
      </c>
      <c r="AC982" t="s">
        <v>18617</v>
      </c>
      <c r="AD982" t="s">
        <v>18617</v>
      </c>
      <c r="AE982" t="s">
        <v>18618</v>
      </c>
      <c r="AF982" t="s">
        <v>74</v>
      </c>
      <c r="AG982">
        <v>9</v>
      </c>
      <c r="AH982">
        <v>3</v>
      </c>
      <c r="AI982">
        <v>4</v>
      </c>
      <c r="AJ982">
        <v>0</v>
      </c>
      <c r="AK982">
        <v>7</v>
      </c>
      <c r="AL982" t="s">
        <v>337</v>
      </c>
      <c r="AM982" t="s">
        <v>912</v>
      </c>
      <c r="AN982" t="s">
        <v>913</v>
      </c>
      <c r="AO982" t="s">
        <v>18619</v>
      </c>
      <c r="AP982" t="s">
        <v>18620</v>
      </c>
      <c r="AQ982" t="s">
        <v>74</v>
      </c>
      <c r="AR982" t="s">
        <v>18621</v>
      </c>
      <c r="AS982" t="s">
        <v>18622</v>
      </c>
      <c r="AT982" t="s">
        <v>17418</v>
      </c>
      <c r="AU982">
        <v>2018</v>
      </c>
      <c r="AV982">
        <v>10</v>
      </c>
      <c r="AW982">
        <v>2</v>
      </c>
      <c r="AX982" t="s">
        <v>74</v>
      </c>
      <c r="AY982" t="s">
        <v>74</v>
      </c>
      <c r="AZ982" t="s">
        <v>74</v>
      </c>
      <c r="BA982" t="s">
        <v>74</v>
      </c>
      <c r="BB982">
        <v>213</v>
      </c>
      <c r="BC982">
        <v>218</v>
      </c>
      <c r="BD982" t="s">
        <v>74</v>
      </c>
      <c r="BE982" t="s">
        <v>18623</v>
      </c>
      <c r="BF982" t="str">
        <f>HYPERLINK("http://dx.doi.org/10.1007/s12686-017-0759-4","http://dx.doi.org/10.1007/s12686-017-0759-4")</f>
        <v>http://dx.doi.org/10.1007/s12686-017-0759-4</v>
      </c>
      <c r="BG982" t="s">
        <v>74</v>
      </c>
      <c r="BH982" t="s">
        <v>74</v>
      </c>
      <c r="BI982">
        <v>6</v>
      </c>
      <c r="BJ982" t="s">
        <v>18624</v>
      </c>
      <c r="BK982" t="s">
        <v>101</v>
      </c>
      <c r="BL982" t="s">
        <v>18625</v>
      </c>
      <c r="BM982" t="s">
        <v>18626</v>
      </c>
      <c r="BN982" t="s">
        <v>74</v>
      </c>
      <c r="BO982" t="s">
        <v>74</v>
      </c>
      <c r="BP982" t="s">
        <v>74</v>
      </c>
      <c r="BQ982" t="s">
        <v>74</v>
      </c>
      <c r="BR982" t="s">
        <v>104</v>
      </c>
      <c r="BS982" t="s">
        <v>18627</v>
      </c>
      <c r="BT982" t="str">
        <f>HYPERLINK("https%3A%2F%2Fwww.webofscience.com%2Fwos%2Fwoscc%2Ffull-record%2FWOS:000435422300018","View Full Record in Web of Science")</f>
        <v>View Full Record in Web of Science</v>
      </c>
    </row>
    <row r="983" spans="1:72" x14ac:dyDescent="0.15">
      <c r="A983" t="s">
        <v>72</v>
      </c>
      <c r="B983" t="s">
        <v>18628</v>
      </c>
      <c r="C983" t="s">
        <v>74</v>
      </c>
      <c r="D983" t="s">
        <v>74</v>
      </c>
      <c r="E983" t="s">
        <v>74</v>
      </c>
      <c r="F983" t="s">
        <v>18629</v>
      </c>
      <c r="G983" t="s">
        <v>74</v>
      </c>
      <c r="H983" t="s">
        <v>74</v>
      </c>
      <c r="I983" t="s">
        <v>18630</v>
      </c>
      <c r="J983" t="s">
        <v>10036</v>
      </c>
      <c r="K983" t="s">
        <v>74</v>
      </c>
      <c r="L983" t="s">
        <v>74</v>
      </c>
      <c r="M983" t="s">
        <v>78</v>
      </c>
      <c r="N983" t="s">
        <v>273</v>
      </c>
      <c r="O983" t="s">
        <v>74</v>
      </c>
      <c r="P983" t="s">
        <v>74</v>
      </c>
      <c r="Q983" t="s">
        <v>74</v>
      </c>
      <c r="R983" t="s">
        <v>74</v>
      </c>
      <c r="S983" t="s">
        <v>74</v>
      </c>
      <c r="T983" t="s">
        <v>18631</v>
      </c>
      <c r="U983" t="s">
        <v>18632</v>
      </c>
      <c r="V983" t="s">
        <v>18633</v>
      </c>
      <c r="W983" t="s">
        <v>18634</v>
      </c>
      <c r="X983" t="s">
        <v>18635</v>
      </c>
      <c r="Y983" t="s">
        <v>18636</v>
      </c>
      <c r="Z983" t="s">
        <v>18637</v>
      </c>
      <c r="AA983" t="s">
        <v>18638</v>
      </c>
      <c r="AB983" t="s">
        <v>18639</v>
      </c>
      <c r="AC983" t="s">
        <v>18640</v>
      </c>
      <c r="AD983" t="s">
        <v>18641</v>
      </c>
      <c r="AE983" t="s">
        <v>18642</v>
      </c>
      <c r="AF983" t="s">
        <v>74</v>
      </c>
      <c r="AG983">
        <v>115</v>
      </c>
      <c r="AH983">
        <v>168</v>
      </c>
      <c r="AI983">
        <v>188</v>
      </c>
      <c r="AJ983">
        <v>7</v>
      </c>
      <c r="AK983">
        <v>83</v>
      </c>
      <c r="AL983" t="s">
        <v>15163</v>
      </c>
      <c r="AM983" t="s">
        <v>10049</v>
      </c>
      <c r="AN983" t="s">
        <v>10050</v>
      </c>
      <c r="AO983" t="s">
        <v>10051</v>
      </c>
      <c r="AP983" t="s">
        <v>74</v>
      </c>
      <c r="AQ983" t="s">
        <v>74</v>
      </c>
      <c r="AR983" t="s">
        <v>10052</v>
      </c>
      <c r="AS983" t="s">
        <v>10053</v>
      </c>
      <c r="AT983" t="s">
        <v>17418</v>
      </c>
      <c r="AU983">
        <v>2018</v>
      </c>
      <c r="AV983">
        <v>13</v>
      </c>
      <c r="AW983">
        <v>6</v>
      </c>
      <c r="AX983" t="s">
        <v>74</v>
      </c>
      <c r="AY983" t="s">
        <v>74</v>
      </c>
      <c r="AZ983" t="s">
        <v>74</v>
      </c>
      <c r="BA983" t="s">
        <v>74</v>
      </c>
      <c r="BB983" t="s">
        <v>74</v>
      </c>
      <c r="BC983" t="s">
        <v>74</v>
      </c>
      <c r="BD983">
        <v>63008</v>
      </c>
      <c r="BE983" t="s">
        <v>18643</v>
      </c>
      <c r="BF983" t="str">
        <f>HYPERLINK("http://dx.doi.org/10.1088/1748-9326/aac2f0","http://dx.doi.org/10.1088/1748-9326/aac2f0")</f>
        <v>http://dx.doi.org/10.1088/1748-9326/aac2f0</v>
      </c>
      <c r="BG983" t="s">
        <v>74</v>
      </c>
      <c r="BH983" t="s">
        <v>74</v>
      </c>
      <c r="BI983">
        <v>21</v>
      </c>
      <c r="BJ983" t="s">
        <v>317</v>
      </c>
      <c r="BK983" t="s">
        <v>101</v>
      </c>
      <c r="BL983" t="s">
        <v>318</v>
      </c>
      <c r="BM983" t="s">
        <v>18644</v>
      </c>
      <c r="BN983" t="s">
        <v>74</v>
      </c>
      <c r="BO983" t="s">
        <v>4310</v>
      </c>
      <c r="BP983" t="s">
        <v>74</v>
      </c>
      <c r="BQ983" t="s">
        <v>74</v>
      </c>
      <c r="BR983" t="s">
        <v>104</v>
      </c>
      <c r="BS983" t="s">
        <v>18645</v>
      </c>
      <c r="BT983" t="str">
        <f>HYPERLINK("https%3A%2F%2Fwww.webofscience.com%2Fwos%2Fwoscc%2Ffull-record%2FWOS:000435633400001","View Full Record in Web of Science")</f>
        <v>View Full Record in Web of Science</v>
      </c>
    </row>
    <row r="984" spans="1:72" x14ac:dyDescent="0.15">
      <c r="A984" t="s">
        <v>72</v>
      </c>
      <c r="B984" t="s">
        <v>18646</v>
      </c>
      <c r="C984" t="s">
        <v>74</v>
      </c>
      <c r="D984" t="s">
        <v>74</v>
      </c>
      <c r="E984" t="s">
        <v>74</v>
      </c>
      <c r="F984" t="s">
        <v>18647</v>
      </c>
      <c r="G984" t="s">
        <v>74</v>
      </c>
      <c r="H984" t="s">
        <v>74</v>
      </c>
      <c r="I984" t="s">
        <v>18648</v>
      </c>
      <c r="J984" t="s">
        <v>7832</v>
      </c>
      <c r="K984" t="s">
        <v>74</v>
      </c>
      <c r="L984" t="s">
        <v>74</v>
      </c>
      <c r="M984" t="s">
        <v>78</v>
      </c>
      <c r="N984" t="s">
        <v>79</v>
      </c>
      <c r="O984" t="s">
        <v>74</v>
      </c>
      <c r="P984" t="s">
        <v>74</v>
      </c>
      <c r="Q984" t="s">
        <v>74</v>
      </c>
      <c r="R984" t="s">
        <v>74</v>
      </c>
      <c r="S984" t="s">
        <v>74</v>
      </c>
      <c r="T984" t="s">
        <v>74</v>
      </c>
      <c r="U984" t="s">
        <v>18649</v>
      </c>
      <c r="V984" t="s">
        <v>18650</v>
      </c>
      <c r="W984" t="s">
        <v>18651</v>
      </c>
      <c r="X984" t="s">
        <v>18652</v>
      </c>
      <c r="Y984" t="s">
        <v>18653</v>
      </c>
      <c r="Z984" t="s">
        <v>18654</v>
      </c>
      <c r="AA984" t="s">
        <v>18655</v>
      </c>
      <c r="AB984" t="s">
        <v>18656</v>
      </c>
      <c r="AC984" t="s">
        <v>18657</v>
      </c>
      <c r="AD984" t="s">
        <v>18658</v>
      </c>
      <c r="AE984" t="s">
        <v>18659</v>
      </c>
      <c r="AF984" t="s">
        <v>74</v>
      </c>
      <c r="AG984">
        <v>73</v>
      </c>
      <c r="AH984">
        <v>8</v>
      </c>
      <c r="AI984">
        <v>8</v>
      </c>
      <c r="AJ984">
        <v>0</v>
      </c>
      <c r="AK984">
        <v>17</v>
      </c>
      <c r="AL984" t="s">
        <v>3353</v>
      </c>
      <c r="AM984" t="s">
        <v>3354</v>
      </c>
      <c r="AN984" t="s">
        <v>3355</v>
      </c>
      <c r="AO984" t="s">
        <v>7844</v>
      </c>
      <c r="AP984" t="s">
        <v>7845</v>
      </c>
      <c r="AQ984" t="s">
        <v>74</v>
      </c>
      <c r="AR984" t="s">
        <v>7832</v>
      </c>
      <c r="AS984" t="s">
        <v>7846</v>
      </c>
      <c r="AT984" t="s">
        <v>17829</v>
      </c>
      <c r="AU984">
        <v>2018</v>
      </c>
      <c r="AV984">
        <v>15</v>
      </c>
      <c r="AW984">
        <v>10</v>
      </c>
      <c r="AX984" t="s">
        <v>74</v>
      </c>
      <c r="AY984" t="s">
        <v>74</v>
      </c>
      <c r="AZ984" t="s">
        <v>74</v>
      </c>
      <c r="BA984" t="s">
        <v>74</v>
      </c>
      <c r="BB984">
        <v>3243</v>
      </c>
      <c r="BC984">
        <v>3266</v>
      </c>
      <c r="BD984" t="s">
        <v>74</v>
      </c>
      <c r="BE984" t="s">
        <v>18660</v>
      </c>
      <c r="BF984" t="str">
        <f>HYPERLINK("http://dx.doi.org/10.5194/bg-15-3243-2018","http://dx.doi.org/10.5194/bg-15-3243-2018")</f>
        <v>http://dx.doi.org/10.5194/bg-15-3243-2018</v>
      </c>
      <c r="BG984" t="s">
        <v>74</v>
      </c>
      <c r="BH984" t="s">
        <v>74</v>
      </c>
      <c r="BI984">
        <v>24</v>
      </c>
      <c r="BJ984" t="s">
        <v>7849</v>
      </c>
      <c r="BK984" t="s">
        <v>101</v>
      </c>
      <c r="BL984" t="s">
        <v>5223</v>
      </c>
      <c r="BM984" t="s">
        <v>18661</v>
      </c>
      <c r="BN984" t="s">
        <v>74</v>
      </c>
      <c r="BO984" t="s">
        <v>3471</v>
      </c>
      <c r="BP984" t="s">
        <v>74</v>
      </c>
      <c r="BQ984" t="s">
        <v>74</v>
      </c>
      <c r="BR984" t="s">
        <v>104</v>
      </c>
      <c r="BS984" t="s">
        <v>18662</v>
      </c>
      <c r="BT984" t="str">
        <f>HYPERLINK("https%3A%2F%2Fwww.webofscience.com%2Fwos%2Fwoscc%2Ffull-record%2FWOS:000433977700001","View Full Record in Web of Science")</f>
        <v>View Full Record in Web of Science</v>
      </c>
    </row>
    <row r="985" spans="1:72" x14ac:dyDescent="0.15">
      <c r="A985" t="s">
        <v>72</v>
      </c>
      <c r="B985" t="s">
        <v>18663</v>
      </c>
      <c r="C985" t="s">
        <v>74</v>
      </c>
      <c r="D985" t="s">
        <v>74</v>
      </c>
      <c r="E985" t="s">
        <v>74</v>
      </c>
      <c r="F985" t="s">
        <v>18664</v>
      </c>
      <c r="G985" t="s">
        <v>74</v>
      </c>
      <c r="H985" t="s">
        <v>74</v>
      </c>
      <c r="I985" t="s">
        <v>18665</v>
      </c>
      <c r="J985" t="s">
        <v>18666</v>
      </c>
      <c r="K985" t="s">
        <v>74</v>
      </c>
      <c r="L985" t="s">
        <v>74</v>
      </c>
      <c r="M985" t="s">
        <v>78</v>
      </c>
      <c r="N985" t="s">
        <v>79</v>
      </c>
      <c r="O985" t="s">
        <v>74</v>
      </c>
      <c r="P985" t="s">
        <v>74</v>
      </c>
      <c r="Q985" t="s">
        <v>74</v>
      </c>
      <c r="R985" t="s">
        <v>74</v>
      </c>
      <c r="S985" t="s">
        <v>74</v>
      </c>
      <c r="T985" t="s">
        <v>18667</v>
      </c>
      <c r="U985" t="s">
        <v>18668</v>
      </c>
      <c r="V985" t="s">
        <v>18669</v>
      </c>
      <c r="W985" t="s">
        <v>18670</v>
      </c>
      <c r="X985" t="s">
        <v>18671</v>
      </c>
      <c r="Y985" t="s">
        <v>18672</v>
      </c>
      <c r="Z985" t="s">
        <v>18673</v>
      </c>
      <c r="AA985" t="s">
        <v>18674</v>
      </c>
      <c r="AB985" t="s">
        <v>18675</v>
      </c>
      <c r="AC985" t="s">
        <v>18676</v>
      </c>
      <c r="AD985" t="s">
        <v>18677</v>
      </c>
      <c r="AE985" t="s">
        <v>18678</v>
      </c>
      <c r="AF985" t="s">
        <v>74</v>
      </c>
      <c r="AG985">
        <v>20</v>
      </c>
      <c r="AH985">
        <v>15</v>
      </c>
      <c r="AI985">
        <v>16</v>
      </c>
      <c r="AJ985">
        <v>0</v>
      </c>
      <c r="AK985">
        <v>17</v>
      </c>
      <c r="AL985" t="s">
        <v>430</v>
      </c>
      <c r="AM985" t="s">
        <v>286</v>
      </c>
      <c r="AN985" t="s">
        <v>431</v>
      </c>
      <c r="AO985" t="s">
        <v>18679</v>
      </c>
      <c r="AP985" t="s">
        <v>18680</v>
      </c>
      <c r="AQ985" t="s">
        <v>74</v>
      </c>
      <c r="AR985" t="s">
        <v>18681</v>
      </c>
      <c r="AS985" t="s">
        <v>18682</v>
      </c>
      <c r="AT985" t="s">
        <v>17418</v>
      </c>
      <c r="AU985">
        <v>2018</v>
      </c>
      <c r="AV985">
        <v>149</v>
      </c>
      <c r="AW985" t="s">
        <v>74</v>
      </c>
      <c r="AX985" t="s">
        <v>74</v>
      </c>
      <c r="AY985" t="s">
        <v>74</v>
      </c>
      <c r="AZ985" t="s">
        <v>74</v>
      </c>
      <c r="BA985" t="s">
        <v>74</v>
      </c>
      <c r="BB985">
        <v>80</v>
      </c>
      <c r="BC985">
        <v>88</v>
      </c>
      <c r="BD985" t="s">
        <v>74</v>
      </c>
      <c r="BE985" t="s">
        <v>18683</v>
      </c>
      <c r="BF985" t="str">
        <f>HYPERLINK("http://dx.doi.org/10.1016/j.mimet.2018.05.003","http://dx.doi.org/10.1016/j.mimet.2018.05.003")</f>
        <v>http://dx.doi.org/10.1016/j.mimet.2018.05.003</v>
      </c>
      <c r="BG985" t="s">
        <v>74</v>
      </c>
      <c r="BH985" t="s">
        <v>74</v>
      </c>
      <c r="BI985">
        <v>9</v>
      </c>
      <c r="BJ985" t="s">
        <v>18684</v>
      </c>
      <c r="BK985" t="s">
        <v>101</v>
      </c>
      <c r="BL985" t="s">
        <v>13343</v>
      </c>
      <c r="BM985" t="s">
        <v>18685</v>
      </c>
      <c r="BN985">
        <v>29730325</v>
      </c>
      <c r="BO985" t="s">
        <v>74</v>
      </c>
      <c r="BP985" t="s">
        <v>74</v>
      </c>
      <c r="BQ985" t="s">
        <v>74</v>
      </c>
      <c r="BR985" t="s">
        <v>104</v>
      </c>
      <c r="BS985" t="s">
        <v>18686</v>
      </c>
      <c r="BT985" t="str">
        <f>HYPERLINK("https%3A%2F%2Fwww.webofscience.com%2Fwos%2Fwoscc%2Ffull-record%2FWOS:000435063300012","View Full Record in Web of Science")</f>
        <v>View Full Record in Web of Science</v>
      </c>
    </row>
    <row r="986" spans="1:72" x14ac:dyDescent="0.15">
      <c r="A986" t="s">
        <v>72</v>
      </c>
      <c r="B986" t="s">
        <v>18687</v>
      </c>
      <c r="C986" t="s">
        <v>74</v>
      </c>
      <c r="D986" t="s">
        <v>74</v>
      </c>
      <c r="E986" t="s">
        <v>74</v>
      </c>
      <c r="F986" t="s">
        <v>18688</v>
      </c>
      <c r="G986" t="s">
        <v>74</v>
      </c>
      <c r="H986" t="s">
        <v>74</v>
      </c>
      <c r="I986" t="s">
        <v>18689</v>
      </c>
      <c r="J986" t="s">
        <v>18690</v>
      </c>
      <c r="K986" t="s">
        <v>74</v>
      </c>
      <c r="L986" t="s">
        <v>74</v>
      </c>
      <c r="M986" t="s">
        <v>78</v>
      </c>
      <c r="N986" t="s">
        <v>79</v>
      </c>
      <c r="O986" t="s">
        <v>74</v>
      </c>
      <c r="P986" t="s">
        <v>74</v>
      </c>
      <c r="Q986" t="s">
        <v>74</v>
      </c>
      <c r="R986" t="s">
        <v>74</v>
      </c>
      <c r="S986" t="s">
        <v>74</v>
      </c>
      <c r="T986" t="s">
        <v>74</v>
      </c>
      <c r="U986" t="s">
        <v>18691</v>
      </c>
      <c r="V986" t="s">
        <v>18692</v>
      </c>
      <c r="W986" t="s">
        <v>18693</v>
      </c>
      <c r="X986" t="s">
        <v>18694</v>
      </c>
      <c r="Y986" t="s">
        <v>18695</v>
      </c>
      <c r="Z986" t="s">
        <v>18696</v>
      </c>
      <c r="AA986" t="s">
        <v>18697</v>
      </c>
      <c r="AB986" t="s">
        <v>18698</v>
      </c>
      <c r="AC986" t="s">
        <v>18699</v>
      </c>
      <c r="AD986" t="s">
        <v>18700</v>
      </c>
      <c r="AE986" t="s">
        <v>18701</v>
      </c>
      <c r="AF986" t="s">
        <v>74</v>
      </c>
      <c r="AG986">
        <v>55</v>
      </c>
      <c r="AH986">
        <v>4</v>
      </c>
      <c r="AI986">
        <v>4</v>
      </c>
      <c r="AJ986">
        <v>1</v>
      </c>
      <c r="AK986">
        <v>13</v>
      </c>
      <c r="AL986" t="s">
        <v>785</v>
      </c>
      <c r="AM986" t="s">
        <v>786</v>
      </c>
      <c r="AN986" t="s">
        <v>787</v>
      </c>
      <c r="AO986" t="s">
        <v>18702</v>
      </c>
      <c r="AP986" t="s">
        <v>18703</v>
      </c>
      <c r="AQ986" t="s">
        <v>74</v>
      </c>
      <c r="AR986" t="s">
        <v>18704</v>
      </c>
      <c r="AS986" t="s">
        <v>18705</v>
      </c>
      <c r="AT986" t="s">
        <v>17418</v>
      </c>
      <c r="AU986">
        <v>2018</v>
      </c>
      <c r="AV986">
        <v>75</v>
      </c>
      <c r="AW986">
        <v>6</v>
      </c>
      <c r="AX986" t="s">
        <v>74</v>
      </c>
      <c r="AY986" t="s">
        <v>74</v>
      </c>
      <c r="AZ986" t="s">
        <v>74</v>
      </c>
      <c r="BA986" t="s">
        <v>74</v>
      </c>
      <c r="BB986">
        <v>2029</v>
      </c>
      <c r="BC986">
        <v>2047</v>
      </c>
      <c r="BD986" t="s">
        <v>74</v>
      </c>
      <c r="BE986" t="s">
        <v>18706</v>
      </c>
      <c r="BF986" t="str">
        <f>HYPERLINK("http://dx.doi.org/10.1175/JAS-D-17-0154.1","http://dx.doi.org/10.1175/JAS-D-17-0154.1")</f>
        <v>http://dx.doi.org/10.1175/JAS-D-17-0154.1</v>
      </c>
      <c r="BG986" t="s">
        <v>74</v>
      </c>
      <c r="BH986" t="s">
        <v>74</v>
      </c>
      <c r="BI986">
        <v>19</v>
      </c>
      <c r="BJ986" t="s">
        <v>369</v>
      </c>
      <c r="BK986" t="s">
        <v>101</v>
      </c>
      <c r="BL986" t="s">
        <v>369</v>
      </c>
      <c r="BM986" t="s">
        <v>18707</v>
      </c>
      <c r="BN986" t="s">
        <v>74</v>
      </c>
      <c r="BO986" t="s">
        <v>486</v>
      </c>
      <c r="BP986" t="s">
        <v>74</v>
      </c>
      <c r="BQ986" t="s">
        <v>74</v>
      </c>
      <c r="BR986" t="s">
        <v>104</v>
      </c>
      <c r="BS986" t="s">
        <v>18708</v>
      </c>
      <c r="BT986" t="str">
        <f>HYPERLINK("https%3A%2F%2Fwww.webofscience.com%2Fwos%2Fwoscc%2Ffull-record%2FWOS:000434942300015","View Full Record in Web of Science")</f>
        <v>View Full Record in Web of Science</v>
      </c>
    </row>
    <row r="987" spans="1:72" x14ac:dyDescent="0.15">
      <c r="A987" t="s">
        <v>72</v>
      </c>
      <c r="B987" t="s">
        <v>18709</v>
      </c>
      <c r="C987" t="s">
        <v>74</v>
      </c>
      <c r="D987" t="s">
        <v>74</v>
      </c>
      <c r="E987" t="s">
        <v>74</v>
      </c>
      <c r="F987" t="s">
        <v>18710</v>
      </c>
      <c r="G987" t="s">
        <v>74</v>
      </c>
      <c r="H987" t="s">
        <v>74</v>
      </c>
      <c r="I987" t="s">
        <v>18711</v>
      </c>
      <c r="J987" t="s">
        <v>1233</v>
      </c>
      <c r="K987" t="s">
        <v>74</v>
      </c>
      <c r="L987" t="s">
        <v>74</v>
      </c>
      <c r="M987" t="s">
        <v>78</v>
      </c>
      <c r="N987" t="s">
        <v>79</v>
      </c>
      <c r="O987" t="s">
        <v>74</v>
      </c>
      <c r="P987" t="s">
        <v>74</v>
      </c>
      <c r="Q987" t="s">
        <v>74</v>
      </c>
      <c r="R987" t="s">
        <v>74</v>
      </c>
      <c r="S987" t="s">
        <v>74</v>
      </c>
      <c r="T987" t="s">
        <v>18712</v>
      </c>
      <c r="U987" t="s">
        <v>18713</v>
      </c>
      <c r="V987" t="s">
        <v>18714</v>
      </c>
      <c r="W987" t="s">
        <v>18715</v>
      </c>
      <c r="X987" t="s">
        <v>18716</v>
      </c>
      <c r="Y987" t="s">
        <v>18717</v>
      </c>
      <c r="Z987" t="s">
        <v>12642</v>
      </c>
      <c r="AA987" t="s">
        <v>12643</v>
      </c>
      <c r="AB987" t="s">
        <v>12644</v>
      </c>
      <c r="AC987" t="s">
        <v>74</v>
      </c>
      <c r="AD987" t="s">
        <v>74</v>
      </c>
      <c r="AE987" t="s">
        <v>74</v>
      </c>
      <c r="AF987" t="s">
        <v>74</v>
      </c>
      <c r="AG987">
        <v>37</v>
      </c>
      <c r="AH987">
        <v>7</v>
      </c>
      <c r="AI987">
        <v>8</v>
      </c>
      <c r="AJ987">
        <v>0</v>
      </c>
      <c r="AK987">
        <v>26</v>
      </c>
      <c r="AL987" t="s">
        <v>404</v>
      </c>
      <c r="AM987" t="s">
        <v>258</v>
      </c>
      <c r="AN987" t="s">
        <v>1677</v>
      </c>
      <c r="AO987" t="s">
        <v>1246</v>
      </c>
      <c r="AP987" t="s">
        <v>1247</v>
      </c>
      <c r="AQ987" t="s">
        <v>74</v>
      </c>
      <c r="AR987" t="s">
        <v>1248</v>
      </c>
      <c r="AS987" t="s">
        <v>1249</v>
      </c>
      <c r="AT987" t="s">
        <v>17418</v>
      </c>
      <c r="AU987">
        <v>2018</v>
      </c>
      <c r="AV987">
        <v>212</v>
      </c>
      <c r="AW987" t="s">
        <v>74</v>
      </c>
      <c r="AX987" t="s">
        <v>74</v>
      </c>
      <c r="AY987" t="s">
        <v>74</v>
      </c>
      <c r="AZ987" t="s">
        <v>74</v>
      </c>
      <c r="BA987" t="s">
        <v>74</v>
      </c>
      <c r="BB987">
        <v>134</v>
      </c>
      <c r="BC987">
        <v>147</v>
      </c>
      <c r="BD987" t="s">
        <v>74</v>
      </c>
      <c r="BE987" t="s">
        <v>18718</v>
      </c>
      <c r="BF987" t="str">
        <f>HYPERLINK("http://dx.doi.org/10.1016/j.rse.2018.04.037","http://dx.doi.org/10.1016/j.rse.2018.04.037")</f>
        <v>http://dx.doi.org/10.1016/j.rse.2018.04.037</v>
      </c>
      <c r="BG987" t="s">
        <v>74</v>
      </c>
      <c r="BH987" t="s">
        <v>74</v>
      </c>
      <c r="BI987">
        <v>14</v>
      </c>
      <c r="BJ987" t="s">
        <v>1251</v>
      </c>
      <c r="BK987" t="s">
        <v>101</v>
      </c>
      <c r="BL987" t="s">
        <v>1252</v>
      </c>
      <c r="BM987" t="s">
        <v>18719</v>
      </c>
      <c r="BN987" t="s">
        <v>74</v>
      </c>
      <c r="BO987" t="s">
        <v>740</v>
      </c>
      <c r="BP987" t="s">
        <v>74</v>
      </c>
      <c r="BQ987" t="s">
        <v>74</v>
      </c>
      <c r="BR987" t="s">
        <v>104</v>
      </c>
      <c r="BS987" t="s">
        <v>18720</v>
      </c>
      <c r="BT987" t="str">
        <f>HYPERLINK("https%3A%2F%2Fwww.webofscience.com%2Fwos%2Fwoscc%2Ffull-record%2FWOS:000435053200012","View Full Record in Web of Science")</f>
        <v>View Full Record in Web of Science</v>
      </c>
    </row>
    <row r="988" spans="1:72" x14ac:dyDescent="0.15">
      <c r="A988" t="s">
        <v>72</v>
      </c>
      <c r="B988" t="s">
        <v>18721</v>
      </c>
      <c r="C988" t="s">
        <v>74</v>
      </c>
      <c r="D988" t="s">
        <v>74</v>
      </c>
      <c r="E988" t="s">
        <v>74</v>
      </c>
      <c r="F988" t="s">
        <v>18722</v>
      </c>
      <c r="G988" t="s">
        <v>74</v>
      </c>
      <c r="H988" t="s">
        <v>74</v>
      </c>
      <c r="I988" t="s">
        <v>18723</v>
      </c>
      <c r="J988" t="s">
        <v>18724</v>
      </c>
      <c r="K988" t="s">
        <v>74</v>
      </c>
      <c r="L988" t="s">
        <v>74</v>
      </c>
      <c r="M988" t="s">
        <v>78</v>
      </c>
      <c r="N988" t="s">
        <v>79</v>
      </c>
      <c r="O988" t="s">
        <v>74</v>
      </c>
      <c r="P988" t="s">
        <v>74</v>
      </c>
      <c r="Q988" t="s">
        <v>74</v>
      </c>
      <c r="R988" t="s">
        <v>74</v>
      </c>
      <c r="S988" t="s">
        <v>74</v>
      </c>
      <c r="T988" t="s">
        <v>18725</v>
      </c>
      <c r="U988" t="s">
        <v>74</v>
      </c>
      <c r="V988" t="s">
        <v>18726</v>
      </c>
      <c r="W988" t="s">
        <v>18727</v>
      </c>
      <c r="X988" t="s">
        <v>18728</v>
      </c>
      <c r="Y988" t="s">
        <v>18729</v>
      </c>
      <c r="Z988" t="s">
        <v>18730</v>
      </c>
      <c r="AA988" t="s">
        <v>74</v>
      </c>
      <c r="AB988" t="s">
        <v>74</v>
      </c>
      <c r="AC988" t="s">
        <v>18731</v>
      </c>
      <c r="AD988" t="s">
        <v>13789</v>
      </c>
      <c r="AE988" t="s">
        <v>18732</v>
      </c>
      <c r="AF988" t="s">
        <v>74</v>
      </c>
      <c r="AG988">
        <v>10</v>
      </c>
      <c r="AH988">
        <v>1</v>
      </c>
      <c r="AI988">
        <v>1</v>
      </c>
      <c r="AJ988">
        <v>0</v>
      </c>
      <c r="AK988">
        <v>2</v>
      </c>
      <c r="AL988" t="s">
        <v>5383</v>
      </c>
      <c r="AM988" t="s">
        <v>258</v>
      </c>
      <c r="AN988" t="s">
        <v>5384</v>
      </c>
      <c r="AO988" t="s">
        <v>18733</v>
      </c>
      <c r="AP988" t="s">
        <v>18734</v>
      </c>
      <c r="AQ988" t="s">
        <v>74</v>
      </c>
      <c r="AR988" t="s">
        <v>18735</v>
      </c>
      <c r="AS988" t="s">
        <v>18736</v>
      </c>
      <c r="AT988" t="s">
        <v>17418</v>
      </c>
      <c r="AU988">
        <v>2018</v>
      </c>
      <c r="AV988">
        <v>56</v>
      </c>
      <c r="AW988">
        <v>6</v>
      </c>
      <c r="AX988" t="s">
        <v>74</v>
      </c>
      <c r="AY988" t="s">
        <v>74</v>
      </c>
      <c r="AZ988" t="s">
        <v>74</v>
      </c>
      <c r="BA988" t="s">
        <v>74</v>
      </c>
      <c r="BB988">
        <v>554</v>
      </c>
      <c r="BC988">
        <v>565</v>
      </c>
      <c r="BD988" t="s">
        <v>74</v>
      </c>
      <c r="BE988" t="s">
        <v>18737</v>
      </c>
      <c r="BF988" t="str">
        <f>HYPERLINK("http://dx.doi.org/10.1134/S0016702918060046","http://dx.doi.org/10.1134/S0016702918060046")</f>
        <v>http://dx.doi.org/10.1134/S0016702918060046</v>
      </c>
      <c r="BG988" t="s">
        <v>74</v>
      </c>
      <c r="BH988" t="s">
        <v>74</v>
      </c>
      <c r="BI988">
        <v>12</v>
      </c>
      <c r="BJ988" t="s">
        <v>484</v>
      </c>
      <c r="BK988" t="s">
        <v>101</v>
      </c>
      <c r="BL988" t="s">
        <v>484</v>
      </c>
      <c r="BM988" t="s">
        <v>18738</v>
      </c>
      <c r="BN988" t="s">
        <v>74</v>
      </c>
      <c r="BO988" t="s">
        <v>74</v>
      </c>
      <c r="BP988" t="s">
        <v>74</v>
      </c>
      <c r="BQ988" t="s">
        <v>74</v>
      </c>
      <c r="BR988" t="s">
        <v>104</v>
      </c>
      <c r="BS988" t="s">
        <v>18739</v>
      </c>
      <c r="BT988" t="str">
        <f>HYPERLINK("https%3A%2F%2Fwww.webofscience.com%2Fwos%2Fwoscc%2Ffull-record%2FWOS:000434229900005","View Full Record in Web of Science")</f>
        <v>View Full Record in Web of Science</v>
      </c>
    </row>
    <row r="989" spans="1:72" x14ac:dyDescent="0.15">
      <c r="A989" t="s">
        <v>72</v>
      </c>
      <c r="B989" t="s">
        <v>18740</v>
      </c>
      <c r="C989" t="s">
        <v>74</v>
      </c>
      <c r="D989" t="s">
        <v>74</v>
      </c>
      <c r="E989" t="s">
        <v>74</v>
      </c>
      <c r="F989" t="s">
        <v>18741</v>
      </c>
      <c r="G989" t="s">
        <v>74</v>
      </c>
      <c r="H989" t="s">
        <v>74</v>
      </c>
      <c r="I989" t="s">
        <v>18742</v>
      </c>
      <c r="J989" t="s">
        <v>1546</v>
      </c>
      <c r="K989" t="s">
        <v>74</v>
      </c>
      <c r="L989" t="s">
        <v>74</v>
      </c>
      <c r="M989" t="s">
        <v>78</v>
      </c>
      <c r="N989" t="s">
        <v>79</v>
      </c>
      <c r="O989" t="s">
        <v>74</v>
      </c>
      <c r="P989" t="s">
        <v>74</v>
      </c>
      <c r="Q989" t="s">
        <v>74</v>
      </c>
      <c r="R989" t="s">
        <v>74</v>
      </c>
      <c r="S989" t="s">
        <v>74</v>
      </c>
      <c r="T989" t="s">
        <v>18743</v>
      </c>
      <c r="U989" t="s">
        <v>18744</v>
      </c>
      <c r="V989" t="s">
        <v>18745</v>
      </c>
      <c r="W989" t="s">
        <v>18746</v>
      </c>
      <c r="X989" t="s">
        <v>18747</v>
      </c>
      <c r="Y989" t="s">
        <v>18748</v>
      </c>
      <c r="Z989" t="s">
        <v>18749</v>
      </c>
      <c r="AA989" t="s">
        <v>18750</v>
      </c>
      <c r="AB989" t="s">
        <v>18751</v>
      </c>
      <c r="AC989" t="s">
        <v>18752</v>
      </c>
      <c r="AD989" t="s">
        <v>18753</v>
      </c>
      <c r="AE989" t="s">
        <v>18754</v>
      </c>
      <c r="AF989" t="s">
        <v>74</v>
      </c>
      <c r="AG989">
        <v>60</v>
      </c>
      <c r="AH989">
        <v>27</v>
      </c>
      <c r="AI989">
        <v>29</v>
      </c>
      <c r="AJ989">
        <v>2</v>
      </c>
      <c r="AK989">
        <v>20</v>
      </c>
      <c r="AL989" t="s">
        <v>257</v>
      </c>
      <c r="AM989" t="s">
        <v>730</v>
      </c>
      <c r="AN989" t="s">
        <v>1559</v>
      </c>
      <c r="AO989" t="s">
        <v>1560</v>
      </c>
      <c r="AP989" t="s">
        <v>1561</v>
      </c>
      <c r="AQ989" t="s">
        <v>74</v>
      </c>
      <c r="AR989" t="s">
        <v>1562</v>
      </c>
      <c r="AS989" t="s">
        <v>1563</v>
      </c>
      <c r="AT989" t="s">
        <v>17418</v>
      </c>
      <c r="AU989">
        <v>2018</v>
      </c>
      <c r="AV989">
        <v>64</v>
      </c>
      <c r="AW989">
        <v>245</v>
      </c>
      <c r="AX989" t="s">
        <v>74</v>
      </c>
      <c r="AY989" t="s">
        <v>74</v>
      </c>
      <c r="AZ989" t="s">
        <v>74</v>
      </c>
      <c r="BA989" t="s">
        <v>74</v>
      </c>
      <c r="BB989">
        <v>349</v>
      </c>
      <c r="BC989">
        <v>361</v>
      </c>
      <c r="BD989" t="s">
        <v>74</v>
      </c>
      <c r="BE989" t="s">
        <v>18755</v>
      </c>
      <c r="BF989" t="str">
        <f>HYPERLINK("http://dx.doi.org/10.1017/jog.2018.17","http://dx.doi.org/10.1017/jog.2018.17")</f>
        <v>http://dx.doi.org/10.1017/jog.2018.17</v>
      </c>
      <c r="BG989" t="s">
        <v>74</v>
      </c>
      <c r="BH989" t="s">
        <v>74</v>
      </c>
      <c r="BI989">
        <v>13</v>
      </c>
      <c r="BJ989" t="s">
        <v>208</v>
      </c>
      <c r="BK989" t="s">
        <v>101</v>
      </c>
      <c r="BL989" t="s">
        <v>209</v>
      </c>
      <c r="BM989" t="s">
        <v>17671</v>
      </c>
      <c r="BN989" t="s">
        <v>74</v>
      </c>
      <c r="BO989" t="s">
        <v>1584</v>
      </c>
      <c r="BP989" t="s">
        <v>74</v>
      </c>
      <c r="BQ989" t="s">
        <v>74</v>
      </c>
      <c r="BR989" t="s">
        <v>104</v>
      </c>
      <c r="BS989" t="s">
        <v>18756</v>
      </c>
      <c r="BT989" t="str">
        <f>HYPERLINK("https%3A%2F%2Fwww.webofscience.com%2Fwos%2Fwoscc%2Ffull-record%2FWOS:000434777300001","View Full Record in Web of Science")</f>
        <v>View Full Record in Web of Science</v>
      </c>
    </row>
    <row r="990" spans="1:72" x14ac:dyDescent="0.15">
      <c r="A990" t="s">
        <v>72</v>
      </c>
      <c r="B990" t="s">
        <v>18757</v>
      </c>
      <c r="C990" t="s">
        <v>74</v>
      </c>
      <c r="D990" t="s">
        <v>74</v>
      </c>
      <c r="E990" t="s">
        <v>74</v>
      </c>
      <c r="F990" t="s">
        <v>18758</v>
      </c>
      <c r="G990" t="s">
        <v>74</v>
      </c>
      <c r="H990" t="s">
        <v>74</v>
      </c>
      <c r="I990" t="s">
        <v>18759</v>
      </c>
      <c r="J990" t="s">
        <v>1546</v>
      </c>
      <c r="K990" t="s">
        <v>74</v>
      </c>
      <c r="L990" t="s">
        <v>74</v>
      </c>
      <c r="M990" t="s">
        <v>78</v>
      </c>
      <c r="N990" t="s">
        <v>79</v>
      </c>
      <c r="O990" t="s">
        <v>74</v>
      </c>
      <c r="P990" t="s">
        <v>74</v>
      </c>
      <c r="Q990" t="s">
        <v>74</v>
      </c>
      <c r="R990" t="s">
        <v>74</v>
      </c>
      <c r="S990" t="s">
        <v>74</v>
      </c>
      <c r="T990" t="s">
        <v>18760</v>
      </c>
      <c r="U990" t="s">
        <v>18761</v>
      </c>
      <c r="V990" t="s">
        <v>18762</v>
      </c>
      <c r="W990" t="s">
        <v>18763</v>
      </c>
      <c r="X990" t="s">
        <v>18764</v>
      </c>
      <c r="Y990" t="s">
        <v>18765</v>
      </c>
      <c r="Z990" t="s">
        <v>18766</v>
      </c>
      <c r="AA990" t="s">
        <v>18767</v>
      </c>
      <c r="AB990" t="s">
        <v>18768</v>
      </c>
      <c r="AC990" t="s">
        <v>18769</v>
      </c>
      <c r="AD990" t="s">
        <v>18770</v>
      </c>
      <c r="AE990" t="s">
        <v>18771</v>
      </c>
      <c r="AF990" t="s">
        <v>74</v>
      </c>
      <c r="AG990">
        <v>67</v>
      </c>
      <c r="AH990">
        <v>59</v>
      </c>
      <c r="AI990">
        <v>63</v>
      </c>
      <c r="AJ990">
        <v>0</v>
      </c>
      <c r="AK990">
        <v>4</v>
      </c>
      <c r="AL990" t="s">
        <v>257</v>
      </c>
      <c r="AM990" t="s">
        <v>730</v>
      </c>
      <c r="AN990" t="s">
        <v>1559</v>
      </c>
      <c r="AO990" t="s">
        <v>1560</v>
      </c>
      <c r="AP990" t="s">
        <v>1561</v>
      </c>
      <c r="AQ990" t="s">
        <v>74</v>
      </c>
      <c r="AR990" t="s">
        <v>1562</v>
      </c>
      <c r="AS990" t="s">
        <v>1563</v>
      </c>
      <c r="AT990" t="s">
        <v>17418</v>
      </c>
      <c r="AU990">
        <v>2018</v>
      </c>
      <c r="AV990">
        <v>64</v>
      </c>
      <c r="AW990">
        <v>245</v>
      </c>
      <c r="AX990" t="s">
        <v>74</v>
      </c>
      <c r="AY990" t="s">
        <v>74</v>
      </c>
      <c r="AZ990" t="s">
        <v>74</v>
      </c>
      <c r="BA990" t="s">
        <v>74</v>
      </c>
      <c r="BB990">
        <v>417</v>
      </c>
      <c r="BC990">
        <v>431</v>
      </c>
      <c r="BD990" t="s">
        <v>74</v>
      </c>
      <c r="BE990" t="s">
        <v>18772</v>
      </c>
      <c r="BF990" t="str">
        <f>HYPERLINK("http://dx.doi.org/10.1017/jog.2018.30","http://dx.doi.org/10.1017/jog.2018.30")</f>
        <v>http://dx.doi.org/10.1017/jog.2018.30</v>
      </c>
      <c r="BG990" t="s">
        <v>74</v>
      </c>
      <c r="BH990" t="s">
        <v>74</v>
      </c>
      <c r="BI990">
        <v>15</v>
      </c>
      <c r="BJ990" t="s">
        <v>208</v>
      </c>
      <c r="BK990" t="s">
        <v>101</v>
      </c>
      <c r="BL990" t="s">
        <v>209</v>
      </c>
      <c r="BM990" t="s">
        <v>17671</v>
      </c>
      <c r="BN990" t="s">
        <v>74</v>
      </c>
      <c r="BO990" t="s">
        <v>9552</v>
      </c>
      <c r="BP990" t="s">
        <v>74</v>
      </c>
      <c r="BQ990" t="s">
        <v>74</v>
      </c>
      <c r="BR990" t="s">
        <v>104</v>
      </c>
      <c r="BS990" t="s">
        <v>18773</v>
      </c>
      <c r="BT990" t="str">
        <f>HYPERLINK("https%3A%2F%2Fwww.webofscience.com%2Fwos%2Fwoscc%2Ffull-record%2FWOS:000434777300007","View Full Record in Web of Science")</f>
        <v>View Full Record in Web of Science</v>
      </c>
    </row>
    <row r="991" spans="1:72" x14ac:dyDescent="0.15">
      <c r="A991" t="s">
        <v>72</v>
      </c>
      <c r="B991" t="s">
        <v>18774</v>
      </c>
      <c r="C991" t="s">
        <v>74</v>
      </c>
      <c r="D991" t="s">
        <v>74</v>
      </c>
      <c r="E991" t="s">
        <v>74</v>
      </c>
      <c r="F991" t="s">
        <v>18775</v>
      </c>
      <c r="G991" t="s">
        <v>74</v>
      </c>
      <c r="H991" t="s">
        <v>74</v>
      </c>
      <c r="I991" t="s">
        <v>18776</v>
      </c>
      <c r="J991" t="s">
        <v>5301</v>
      </c>
      <c r="K991" t="s">
        <v>74</v>
      </c>
      <c r="L991" t="s">
        <v>74</v>
      </c>
      <c r="M991" t="s">
        <v>78</v>
      </c>
      <c r="N991" t="s">
        <v>79</v>
      </c>
      <c r="O991" t="s">
        <v>74</v>
      </c>
      <c r="P991" t="s">
        <v>74</v>
      </c>
      <c r="Q991" t="s">
        <v>74</v>
      </c>
      <c r="R991" t="s">
        <v>74</v>
      </c>
      <c r="S991" t="s">
        <v>74</v>
      </c>
      <c r="T991" t="s">
        <v>18777</v>
      </c>
      <c r="U991" t="s">
        <v>18778</v>
      </c>
      <c r="V991" t="s">
        <v>18779</v>
      </c>
      <c r="W991" t="s">
        <v>18780</v>
      </c>
      <c r="X991" t="s">
        <v>18781</v>
      </c>
      <c r="Y991" t="s">
        <v>18782</v>
      </c>
      <c r="Z991" t="s">
        <v>18783</v>
      </c>
      <c r="AA991" t="s">
        <v>18784</v>
      </c>
      <c r="AB991" t="s">
        <v>18785</v>
      </c>
      <c r="AC991" t="s">
        <v>74</v>
      </c>
      <c r="AD991" t="s">
        <v>74</v>
      </c>
      <c r="AE991" t="s">
        <v>74</v>
      </c>
      <c r="AF991" t="s">
        <v>74</v>
      </c>
      <c r="AG991">
        <v>35</v>
      </c>
      <c r="AH991">
        <v>11</v>
      </c>
      <c r="AI991">
        <v>11</v>
      </c>
      <c r="AJ991">
        <v>1</v>
      </c>
      <c r="AK991">
        <v>6</v>
      </c>
      <c r="AL991" t="s">
        <v>5311</v>
      </c>
      <c r="AM991" t="s">
        <v>1054</v>
      </c>
      <c r="AN991" t="s">
        <v>5312</v>
      </c>
      <c r="AO991" t="s">
        <v>5313</v>
      </c>
      <c r="AP991" t="s">
        <v>5314</v>
      </c>
      <c r="AQ991" t="s">
        <v>74</v>
      </c>
      <c r="AR991" t="s">
        <v>5315</v>
      </c>
      <c r="AS991" t="s">
        <v>5316</v>
      </c>
      <c r="AT991" t="s">
        <v>17418</v>
      </c>
      <c r="AU991">
        <v>2018</v>
      </c>
      <c r="AV991">
        <v>20</v>
      </c>
      <c r="AW991">
        <v>2</v>
      </c>
      <c r="AX991" t="s">
        <v>74</v>
      </c>
      <c r="AY991" t="s">
        <v>74</v>
      </c>
      <c r="AZ991" t="s">
        <v>74</v>
      </c>
      <c r="BA991" t="s">
        <v>74</v>
      </c>
      <c r="BB991">
        <v>569</v>
      </c>
      <c r="BC991">
        <v>579</v>
      </c>
      <c r="BD991" t="s">
        <v>74</v>
      </c>
      <c r="BE991" t="s">
        <v>18786</v>
      </c>
      <c r="BF991" t="str">
        <f>HYPERLINK("http://dx.doi.org/10.1007/s00021-017-0335-4","http://dx.doi.org/10.1007/s00021-017-0335-4")</f>
        <v>http://dx.doi.org/10.1007/s00021-017-0335-4</v>
      </c>
      <c r="BG991" t="s">
        <v>74</v>
      </c>
      <c r="BH991" t="s">
        <v>74</v>
      </c>
      <c r="BI991">
        <v>11</v>
      </c>
      <c r="BJ991" t="s">
        <v>5318</v>
      </c>
      <c r="BK991" t="s">
        <v>101</v>
      </c>
      <c r="BL991" t="s">
        <v>5319</v>
      </c>
      <c r="BM991" t="s">
        <v>18787</v>
      </c>
      <c r="BN991" t="s">
        <v>74</v>
      </c>
      <c r="BO991" t="s">
        <v>74</v>
      </c>
      <c r="BP991" t="s">
        <v>74</v>
      </c>
      <c r="BQ991" t="s">
        <v>74</v>
      </c>
      <c r="BR991" t="s">
        <v>104</v>
      </c>
      <c r="BS991" t="s">
        <v>18788</v>
      </c>
      <c r="BT991" t="str">
        <f>HYPERLINK("https%3A%2F%2Fwww.webofscience.com%2Fwos%2Fwoscc%2Ffull-record%2FWOS:000434046800015","View Full Record in Web of Science")</f>
        <v>View Full Record in Web of Science</v>
      </c>
    </row>
    <row r="992" spans="1:72" x14ac:dyDescent="0.15">
      <c r="A992" t="s">
        <v>72</v>
      </c>
      <c r="B992" t="s">
        <v>18789</v>
      </c>
      <c r="C992" t="s">
        <v>74</v>
      </c>
      <c r="D992" t="s">
        <v>74</v>
      </c>
      <c r="E992" t="s">
        <v>74</v>
      </c>
      <c r="F992" t="s">
        <v>18790</v>
      </c>
      <c r="G992" t="s">
        <v>74</v>
      </c>
      <c r="H992" t="s">
        <v>74</v>
      </c>
      <c r="I992" t="s">
        <v>18791</v>
      </c>
      <c r="J992" t="s">
        <v>18792</v>
      </c>
      <c r="K992" t="s">
        <v>74</v>
      </c>
      <c r="L992" t="s">
        <v>74</v>
      </c>
      <c r="M992" t="s">
        <v>78</v>
      </c>
      <c r="N992" t="s">
        <v>4510</v>
      </c>
      <c r="O992" t="s">
        <v>74</v>
      </c>
      <c r="P992" t="s">
        <v>74</v>
      </c>
      <c r="Q992" t="s">
        <v>74</v>
      </c>
      <c r="R992" t="s">
        <v>74</v>
      </c>
      <c r="S992" t="s">
        <v>74</v>
      </c>
      <c r="T992" t="s">
        <v>74</v>
      </c>
      <c r="U992" t="s">
        <v>74</v>
      </c>
      <c r="V992" t="s">
        <v>74</v>
      </c>
      <c r="W992" t="s">
        <v>18793</v>
      </c>
      <c r="X992" t="s">
        <v>18794</v>
      </c>
      <c r="Y992" t="s">
        <v>18795</v>
      </c>
      <c r="Z992" t="s">
        <v>74</v>
      </c>
      <c r="AA992" t="s">
        <v>18796</v>
      </c>
      <c r="AB992" t="s">
        <v>18797</v>
      </c>
      <c r="AC992" t="s">
        <v>74</v>
      </c>
      <c r="AD992" t="s">
        <v>74</v>
      </c>
      <c r="AE992" t="s">
        <v>74</v>
      </c>
      <c r="AF992" t="s">
        <v>74</v>
      </c>
      <c r="AG992">
        <v>3</v>
      </c>
      <c r="AH992">
        <v>7</v>
      </c>
      <c r="AI992">
        <v>7</v>
      </c>
      <c r="AJ992">
        <v>0</v>
      </c>
      <c r="AK992">
        <v>11</v>
      </c>
      <c r="AL992" t="s">
        <v>758</v>
      </c>
      <c r="AM992" t="s">
        <v>759</v>
      </c>
      <c r="AN992" t="s">
        <v>760</v>
      </c>
      <c r="AO992" t="s">
        <v>18798</v>
      </c>
      <c r="AP992" t="s">
        <v>18799</v>
      </c>
      <c r="AQ992" t="s">
        <v>74</v>
      </c>
      <c r="AR992" t="s">
        <v>18792</v>
      </c>
      <c r="AS992" t="s">
        <v>18800</v>
      </c>
      <c r="AT992" t="s">
        <v>17418</v>
      </c>
      <c r="AU992">
        <v>2018</v>
      </c>
      <c r="AV992">
        <v>73</v>
      </c>
      <c r="AW992">
        <v>6</v>
      </c>
      <c r="AX992" t="s">
        <v>74</v>
      </c>
      <c r="AY992" t="s">
        <v>74</v>
      </c>
      <c r="AZ992" t="s">
        <v>74</v>
      </c>
      <c r="BA992" t="s">
        <v>74</v>
      </c>
      <c r="BB992">
        <v>203</v>
      </c>
      <c r="BC992">
        <v>203</v>
      </c>
      <c r="BD992" t="s">
        <v>74</v>
      </c>
      <c r="BE992" t="s">
        <v>18801</v>
      </c>
      <c r="BF992" t="str">
        <f>HYPERLINK("http://dx.doi.org/10.1002/wea.3245","http://dx.doi.org/10.1002/wea.3245")</f>
        <v>http://dx.doi.org/10.1002/wea.3245</v>
      </c>
      <c r="BG992" t="s">
        <v>74</v>
      </c>
      <c r="BH992" t="s">
        <v>74</v>
      </c>
      <c r="BI992">
        <v>1</v>
      </c>
      <c r="BJ992" t="s">
        <v>369</v>
      </c>
      <c r="BK992" t="s">
        <v>101</v>
      </c>
      <c r="BL992" t="s">
        <v>369</v>
      </c>
      <c r="BM992" t="s">
        <v>18802</v>
      </c>
      <c r="BN992" t="s">
        <v>74</v>
      </c>
      <c r="BO992" t="s">
        <v>74</v>
      </c>
      <c r="BP992" t="s">
        <v>74</v>
      </c>
      <c r="BQ992" t="s">
        <v>74</v>
      </c>
      <c r="BR992" t="s">
        <v>104</v>
      </c>
      <c r="BS992" t="s">
        <v>18803</v>
      </c>
      <c r="BT992" t="str">
        <f>HYPERLINK("https%3A%2F%2Fwww.webofscience.com%2Fwos%2Fwoscc%2Ffull-record%2FWOS:000434987500012","View Full Record in Web of Science")</f>
        <v>View Full Record in Web of Science</v>
      </c>
    </row>
    <row r="993" spans="1:72" x14ac:dyDescent="0.15">
      <c r="A993" t="s">
        <v>72</v>
      </c>
      <c r="B993" t="s">
        <v>18804</v>
      </c>
      <c r="C993" t="s">
        <v>74</v>
      </c>
      <c r="D993" t="s">
        <v>74</v>
      </c>
      <c r="E993" t="s">
        <v>74</v>
      </c>
      <c r="F993" t="s">
        <v>18805</v>
      </c>
      <c r="G993" t="s">
        <v>74</v>
      </c>
      <c r="H993" t="s">
        <v>74</v>
      </c>
      <c r="I993" t="s">
        <v>18806</v>
      </c>
      <c r="J993" t="s">
        <v>351</v>
      </c>
      <c r="K993" t="s">
        <v>74</v>
      </c>
      <c r="L993" t="s">
        <v>74</v>
      </c>
      <c r="M993" t="s">
        <v>78</v>
      </c>
      <c r="N993" t="s">
        <v>79</v>
      </c>
      <c r="O993" t="s">
        <v>74</v>
      </c>
      <c r="P993" t="s">
        <v>74</v>
      </c>
      <c r="Q993" t="s">
        <v>74</v>
      </c>
      <c r="R993" t="s">
        <v>74</v>
      </c>
      <c r="S993" t="s">
        <v>74</v>
      </c>
      <c r="T993" t="s">
        <v>18807</v>
      </c>
      <c r="U993" t="s">
        <v>18808</v>
      </c>
      <c r="V993" t="s">
        <v>18809</v>
      </c>
      <c r="W993" t="s">
        <v>18810</v>
      </c>
      <c r="X993" t="s">
        <v>2679</v>
      </c>
      <c r="Y993" t="s">
        <v>18811</v>
      </c>
      <c r="Z993" t="s">
        <v>18812</v>
      </c>
      <c r="AA993" t="s">
        <v>18813</v>
      </c>
      <c r="AB993" t="s">
        <v>18814</v>
      </c>
      <c r="AC993" t="s">
        <v>18815</v>
      </c>
      <c r="AD993" t="s">
        <v>18816</v>
      </c>
      <c r="AE993" t="s">
        <v>18817</v>
      </c>
      <c r="AF993" t="s">
        <v>74</v>
      </c>
      <c r="AG993">
        <v>54</v>
      </c>
      <c r="AH993">
        <v>40</v>
      </c>
      <c r="AI993">
        <v>45</v>
      </c>
      <c r="AJ993">
        <v>2</v>
      </c>
      <c r="AK993">
        <v>18</v>
      </c>
      <c r="AL993" t="s">
        <v>337</v>
      </c>
      <c r="AM993" t="s">
        <v>258</v>
      </c>
      <c r="AN993" t="s">
        <v>387</v>
      </c>
      <c r="AO993" t="s">
        <v>363</v>
      </c>
      <c r="AP993" t="s">
        <v>364</v>
      </c>
      <c r="AQ993" t="s">
        <v>74</v>
      </c>
      <c r="AR993" t="s">
        <v>365</v>
      </c>
      <c r="AS993" t="s">
        <v>366</v>
      </c>
      <c r="AT993" t="s">
        <v>17418</v>
      </c>
      <c r="AU993">
        <v>2018</v>
      </c>
      <c r="AV993">
        <v>50</v>
      </c>
      <c r="AW993" t="s">
        <v>18818</v>
      </c>
      <c r="AX993" t="s">
        <v>74</v>
      </c>
      <c r="AY993" t="s">
        <v>74</v>
      </c>
      <c r="AZ993" t="s">
        <v>74</v>
      </c>
      <c r="BA993" t="s">
        <v>74</v>
      </c>
      <c r="BB993">
        <v>4599</v>
      </c>
      <c r="BC993">
        <v>4618</v>
      </c>
      <c r="BD993" t="s">
        <v>74</v>
      </c>
      <c r="BE993" t="s">
        <v>18819</v>
      </c>
      <c r="BF993" t="str">
        <f>HYPERLINK("http://dx.doi.org/10.1007/s00382-017-3893-5","http://dx.doi.org/10.1007/s00382-017-3893-5")</f>
        <v>http://dx.doi.org/10.1007/s00382-017-3893-5</v>
      </c>
      <c r="BG993" t="s">
        <v>74</v>
      </c>
      <c r="BH993" t="s">
        <v>74</v>
      </c>
      <c r="BI993">
        <v>20</v>
      </c>
      <c r="BJ993" t="s">
        <v>369</v>
      </c>
      <c r="BK993" t="s">
        <v>101</v>
      </c>
      <c r="BL993" t="s">
        <v>369</v>
      </c>
      <c r="BM993" t="s">
        <v>18820</v>
      </c>
      <c r="BN993" t="s">
        <v>74</v>
      </c>
      <c r="BO993" t="s">
        <v>74</v>
      </c>
      <c r="BP993" t="s">
        <v>74</v>
      </c>
      <c r="BQ993" t="s">
        <v>74</v>
      </c>
      <c r="BR993" t="s">
        <v>104</v>
      </c>
      <c r="BS993" t="s">
        <v>18821</v>
      </c>
      <c r="BT993" t="str">
        <f>HYPERLINK("https%3A%2F%2Fwww.webofscience.com%2Fwos%2Fwoscc%2Ffull-record%2FWOS:000432597400036","View Full Record in Web of Science")</f>
        <v>View Full Record in Web of Science</v>
      </c>
    </row>
    <row r="994" spans="1:72" x14ac:dyDescent="0.15">
      <c r="A994" t="s">
        <v>72</v>
      </c>
      <c r="B994" t="s">
        <v>18822</v>
      </c>
      <c r="C994" t="s">
        <v>74</v>
      </c>
      <c r="D994" t="s">
        <v>74</v>
      </c>
      <c r="E994" t="s">
        <v>74</v>
      </c>
      <c r="F994" t="s">
        <v>18823</v>
      </c>
      <c r="G994" t="s">
        <v>74</v>
      </c>
      <c r="H994" t="s">
        <v>74</v>
      </c>
      <c r="I994" t="s">
        <v>18824</v>
      </c>
      <c r="J994" t="s">
        <v>2094</v>
      </c>
      <c r="K994" t="s">
        <v>74</v>
      </c>
      <c r="L994" t="s">
        <v>74</v>
      </c>
      <c r="M994" t="s">
        <v>78</v>
      </c>
      <c r="N994" t="s">
        <v>79</v>
      </c>
      <c r="O994" t="s">
        <v>74</v>
      </c>
      <c r="P994" t="s">
        <v>74</v>
      </c>
      <c r="Q994" t="s">
        <v>74</v>
      </c>
      <c r="R994" t="s">
        <v>74</v>
      </c>
      <c r="S994" t="s">
        <v>74</v>
      </c>
      <c r="T994" t="s">
        <v>74</v>
      </c>
      <c r="U994" t="s">
        <v>18825</v>
      </c>
      <c r="V994" t="s">
        <v>18826</v>
      </c>
      <c r="W994" t="s">
        <v>18827</v>
      </c>
      <c r="X994" t="s">
        <v>18828</v>
      </c>
      <c r="Y994" t="s">
        <v>18829</v>
      </c>
      <c r="Z994" t="s">
        <v>18830</v>
      </c>
      <c r="AA994" t="s">
        <v>74</v>
      </c>
      <c r="AB994" t="s">
        <v>74</v>
      </c>
      <c r="AC994" t="s">
        <v>18831</v>
      </c>
      <c r="AD994" t="s">
        <v>18832</v>
      </c>
      <c r="AE994" t="s">
        <v>18833</v>
      </c>
      <c r="AF994" t="s">
        <v>74</v>
      </c>
      <c r="AG994">
        <v>35</v>
      </c>
      <c r="AH994">
        <v>7</v>
      </c>
      <c r="AI994">
        <v>8</v>
      </c>
      <c r="AJ994">
        <v>0</v>
      </c>
      <c r="AK994">
        <v>6</v>
      </c>
      <c r="AL994" t="s">
        <v>758</v>
      </c>
      <c r="AM994" t="s">
        <v>759</v>
      </c>
      <c r="AN994" t="s">
        <v>760</v>
      </c>
      <c r="AO994" t="s">
        <v>2104</v>
      </c>
      <c r="AP994" t="s">
        <v>2105</v>
      </c>
      <c r="AQ994" t="s">
        <v>74</v>
      </c>
      <c r="AR994" t="s">
        <v>2106</v>
      </c>
      <c r="AS994" t="s">
        <v>2107</v>
      </c>
      <c r="AT994" t="s">
        <v>17418</v>
      </c>
      <c r="AU994">
        <v>2018</v>
      </c>
      <c r="AV994">
        <v>53</v>
      </c>
      <c r="AW994">
        <v>6</v>
      </c>
      <c r="AX994" t="s">
        <v>74</v>
      </c>
      <c r="AY994" t="s">
        <v>74</v>
      </c>
      <c r="AZ994" t="s">
        <v>74</v>
      </c>
      <c r="BA994" t="s">
        <v>74</v>
      </c>
      <c r="BB994">
        <v>1131</v>
      </c>
      <c r="BC994">
        <v>1149</v>
      </c>
      <c r="BD994" t="s">
        <v>74</v>
      </c>
      <c r="BE994" t="s">
        <v>18834</v>
      </c>
      <c r="BF994" t="str">
        <f>HYPERLINK("http://dx.doi.org/10.1111/maps.13064","http://dx.doi.org/10.1111/maps.13064")</f>
        <v>http://dx.doi.org/10.1111/maps.13064</v>
      </c>
      <c r="BG994" t="s">
        <v>74</v>
      </c>
      <c r="BH994" t="s">
        <v>74</v>
      </c>
      <c r="BI994">
        <v>19</v>
      </c>
      <c r="BJ994" t="s">
        <v>484</v>
      </c>
      <c r="BK994" t="s">
        <v>101</v>
      </c>
      <c r="BL994" t="s">
        <v>484</v>
      </c>
      <c r="BM994" t="s">
        <v>18835</v>
      </c>
      <c r="BN994" t="s">
        <v>74</v>
      </c>
      <c r="BO994" t="s">
        <v>712</v>
      </c>
      <c r="BP994" t="s">
        <v>74</v>
      </c>
      <c r="BQ994" t="s">
        <v>74</v>
      </c>
      <c r="BR994" t="s">
        <v>104</v>
      </c>
      <c r="BS994" t="s">
        <v>18836</v>
      </c>
      <c r="BT994" t="str">
        <f>HYPERLINK("https%3A%2F%2Fwww.webofscience.com%2Fwos%2Fwoscc%2Ffull-record%2FWOS:000434152200002","View Full Record in Web of Science")</f>
        <v>View Full Record in Web of Science</v>
      </c>
    </row>
    <row r="995" spans="1:72" x14ac:dyDescent="0.15">
      <c r="A995" t="s">
        <v>72</v>
      </c>
      <c r="B995" t="s">
        <v>18837</v>
      </c>
      <c r="C995" t="s">
        <v>74</v>
      </c>
      <c r="D995" t="s">
        <v>74</v>
      </c>
      <c r="E995" t="s">
        <v>74</v>
      </c>
      <c r="F995" t="s">
        <v>18838</v>
      </c>
      <c r="G995" t="s">
        <v>74</v>
      </c>
      <c r="H995" t="s">
        <v>74</v>
      </c>
      <c r="I995" t="s">
        <v>18839</v>
      </c>
      <c r="J995" t="s">
        <v>2094</v>
      </c>
      <c r="K995" t="s">
        <v>74</v>
      </c>
      <c r="L995" t="s">
        <v>74</v>
      </c>
      <c r="M995" t="s">
        <v>78</v>
      </c>
      <c r="N995" t="s">
        <v>79</v>
      </c>
      <c r="O995" t="s">
        <v>74</v>
      </c>
      <c r="P995" t="s">
        <v>74</v>
      </c>
      <c r="Q995" t="s">
        <v>74</v>
      </c>
      <c r="R995" t="s">
        <v>74</v>
      </c>
      <c r="S995" t="s">
        <v>74</v>
      </c>
      <c r="T995" t="s">
        <v>74</v>
      </c>
      <c r="U995" t="s">
        <v>18840</v>
      </c>
      <c r="V995" t="s">
        <v>18841</v>
      </c>
      <c r="W995" t="s">
        <v>18842</v>
      </c>
      <c r="X995" t="s">
        <v>2098</v>
      </c>
      <c r="Y995" t="s">
        <v>2099</v>
      </c>
      <c r="Z995" t="s">
        <v>2100</v>
      </c>
      <c r="AA995" t="s">
        <v>18843</v>
      </c>
      <c r="AB995" t="s">
        <v>18844</v>
      </c>
      <c r="AC995" t="s">
        <v>18845</v>
      </c>
      <c r="AD995" t="s">
        <v>18846</v>
      </c>
      <c r="AE995" t="s">
        <v>18847</v>
      </c>
      <c r="AF995" t="s">
        <v>74</v>
      </c>
      <c r="AG995">
        <v>64</v>
      </c>
      <c r="AH995">
        <v>3</v>
      </c>
      <c r="AI995">
        <v>3</v>
      </c>
      <c r="AJ995">
        <v>1</v>
      </c>
      <c r="AK995">
        <v>5</v>
      </c>
      <c r="AL995" t="s">
        <v>758</v>
      </c>
      <c r="AM995" t="s">
        <v>759</v>
      </c>
      <c r="AN995" t="s">
        <v>760</v>
      </c>
      <c r="AO995" t="s">
        <v>2104</v>
      </c>
      <c r="AP995" t="s">
        <v>2105</v>
      </c>
      <c r="AQ995" t="s">
        <v>74</v>
      </c>
      <c r="AR995" t="s">
        <v>2106</v>
      </c>
      <c r="AS995" t="s">
        <v>2107</v>
      </c>
      <c r="AT995" t="s">
        <v>17418</v>
      </c>
      <c r="AU995">
        <v>2018</v>
      </c>
      <c r="AV995">
        <v>53</v>
      </c>
      <c r="AW995">
        <v>6</v>
      </c>
      <c r="AX995" t="s">
        <v>74</v>
      </c>
      <c r="AY995" t="s">
        <v>74</v>
      </c>
      <c r="AZ995" t="s">
        <v>74</v>
      </c>
      <c r="BA995" t="s">
        <v>74</v>
      </c>
      <c r="BB995">
        <v>1207</v>
      </c>
      <c r="BC995">
        <v>1222</v>
      </c>
      <c r="BD995" t="s">
        <v>74</v>
      </c>
      <c r="BE995" t="s">
        <v>18848</v>
      </c>
      <c r="BF995" t="str">
        <f>HYPERLINK("http://dx.doi.org/10.1111/maps.13068","http://dx.doi.org/10.1111/maps.13068")</f>
        <v>http://dx.doi.org/10.1111/maps.13068</v>
      </c>
      <c r="BG995" t="s">
        <v>74</v>
      </c>
      <c r="BH995" t="s">
        <v>74</v>
      </c>
      <c r="BI995">
        <v>16</v>
      </c>
      <c r="BJ995" t="s">
        <v>484</v>
      </c>
      <c r="BK995" t="s">
        <v>101</v>
      </c>
      <c r="BL995" t="s">
        <v>484</v>
      </c>
      <c r="BM995" t="s">
        <v>18835</v>
      </c>
      <c r="BN995" t="s">
        <v>74</v>
      </c>
      <c r="BO995" t="s">
        <v>712</v>
      </c>
      <c r="BP995" t="s">
        <v>74</v>
      </c>
      <c r="BQ995" t="s">
        <v>74</v>
      </c>
      <c r="BR995" t="s">
        <v>104</v>
      </c>
      <c r="BS995" t="s">
        <v>18849</v>
      </c>
      <c r="BT995" t="str">
        <f>HYPERLINK("https%3A%2F%2Fwww.webofscience.com%2Fwos%2Fwoscc%2Ffull-record%2FWOS:000434152200006","View Full Record in Web of Science")</f>
        <v>View Full Record in Web of Science</v>
      </c>
    </row>
    <row r="996" spans="1:72" x14ac:dyDescent="0.15">
      <c r="A996" t="s">
        <v>72</v>
      </c>
      <c r="B996" t="s">
        <v>18850</v>
      </c>
      <c r="C996" t="s">
        <v>74</v>
      </c>
      <c r="D996" t="s">
        <v>74</v>
      </c>
      <c r="E996" t="s">
        <v>74</v>
      </c>
      <c r="F996" t="s">
        <v>18851</v>
      </c>
      <c r="G996" t="s">
        <v>74</v>
      </c>
      <c r="H996" t="s">
        <v>74</v>
      </c>
      <c r="I996" t="s">
        <v>18852</v>
      </c>
      <c r="J996" t="s">
        <v>1192</v>
      </c>
      <c r="K996" t="s">
        <v>74</v>
      </c>
      <c r="L996" t="s">
        <v>74</v>
      </c>
      <c r="M996" t="s">
        <v>78</v>
      </c>
      <c r="N996" t="s">
        <v>79</v>
      </c>
      <c r="O996" t="s">
        <v>74</v>
      </c>
      <c r="P996" t="s">
        <v>74</v>
      </c>
      <c r="Q996" t="s">
        <v>74</v>
      </c>
      <c r="R996" t="s">
        <v>74</v>
      </c>
      <c r="S996" t="s">
        <v>74</v>
      </c>
      <c r="T996" t="s">
        <v>18853</v>
      </c>
      <c r="U996" t="s">
        <v>18854</v>
      </c>
      <c r="V996" t="s">
        <v>18855</v>
      </c>
      <c r="W996" t="s">
        <v>18856</v>
      </c>
      <c r="X996" t="s">
        <v>18857</v>
      </c>
      <c r="Y996" t="s">
        <v>18858</v>
      </c>
      <c r="Z996" t="s">
        <v>18859</v>
      </c>
      <c r="AA996" t="s">
        <v>18860</v>
      </c>
      <c r="AB996" t="s">
        <v>74</v>
      </c>
      <c r="AC996" t="s">
        <v>18861</v>
      </c>
      <c r="AD996" t="s">
        <v>5122</v>
      </c>
      <c r="AE996" t="s">
        <v>18862</v>
      </c>
      <c r="AF996" t="s">
        <v>74</v>
      </c>
      <c r="AG996">
        <v>34</v>
      </c>
      <c r="AH996">
        <v>13</v>
      </c>
      <c r="AI996">
        <v>14</v>
      </c>
      <c r="AJ996">
        <v>0</v>
      </c>
      <c r="AK996">
        <v>12</v>
      </c>
      <c r="AL996" t="s">
        <v>337</v>
      </c>
      <c r="AM996" t="s">
        <v>258</v>
      </c>
      <c r="AN996" t="s">
        <v>338</v>
      </c>
      <c r="AO996" t="s">
        <v>1204</v>
      </c>
      <c r="AP996" t="s">
        <v>1205</v>
      </c>
      <c r="AQ996" t="s">
        <v>74</v>
      </c>
      <c r="AR996" t="s">
        <v>1206</v>
      </c>
      <c r="AS996" t="s">
        <v>1207</v>
      </c>
      <c r="AT996" t="s">
        <v>17418</v>
      </c>
      <c r="AU996">
        <v>2018</v>
      </c>
      <c r="AV996">
        <v>41</v>
      </c>
      <c r="AW996">
        <v>6</v>
      </c>
      <c r="AX996" t="s">
        <v>74</v>
      </c>
      <c r="AY996" t="s">
        <v>74</v>
      </c>
      <c r="AZ996" t="s">
        <v>74</v>
      </c>
      <c r="BA996" t="s">
        <v>74</v>
      </c>
      <c r="BB996">
        <v>1083</v>
      </c>
      <c r="BC996">
        <v>1090</v>
      </c>
      <c r="BD996" t="s">
        <v>74</v>
      </c>
      <c r="BE996" t="s">
        <v>18863</v>
      </c>
      <c r="BF996" t="str">
        <f>HYPERLINK("http://dx.doi.org/10.1007/s00300-018-2265-x","http://dx.doi.org/10.1007/s00300-018-2265-x")</f>
        <v>http://dx.doi.org/10.1007/s00300-018-2265-x</v>
      </c>
      <c r="BG996" t="s">
        <v>74</v>
      </c>
      <c r="BH996" t="s">
        <v>74</v>
      </c>
      <c r="BI996">
        <v>8</v>
      </c>
      <c r="BJ996" t="s">
        <v>1209</v>
      </c>
      <c r="BK996" t="s">
        <v>101</v>
      </c>
      <c r="BL996" t="s">
        <v>1210</v>
      </c>
      <c r="BM996" t="s">
        <v>18864</v>
      </c>
      <c r="BN996" t="s">
        <v>74</v>
      </c>
      <c r="BO996" t="s">
        <v>74</v>
      </c>
      <c r="BP996" t="s">
        <v>74</v>
      </c>
      <c r="BQ996" t="s">
        <v>74</v>
      </c>
      <c r="BR996" t="s">
        <v>104</v>
      </c>
      <c r="BS996" t="s">
        <v>18865</v>
      </c>
      <c r="BT996" t="str">
        <f>HYPERLINK("https%3A%2F%2Fwww.webofscience.com%2Fwos%2Fwoscc%2Ffull-record%2FWOS:000434253800002","View Full Record in Web of Science")</f>
        <v>View Full Record in Web of Science</v>
      </c>
    </row>
    <row r="997" spans="1:72" x14ac:dyDescent="0.15">
      <c r="A997" t="s">
        <v>72</v>
      </c>
      <c r="B997" t="s">
        <v>18866</v>
      </c>
      <c r="C997" t="s">
        <v>74</v>
      </c>
      <c r="D997" t="s">
        <v>74</v>
      </c>
      <c r="E997" t="s">
        <v>74</v>
      </c>
      <c r="F997" t="s">
        <v>18867</v>
      </c>
      <c r="G997" t="s">
        <v>74</v>
      </c>
      <c r="H997" t="s">
        <v>74</v>
      </c>
      <c r="I997" t="s">
        <v>18868</v>
      </c>
      <c r="J997" t="s">
        <v>1192</v>
      </c>
      <c r="K997" t="s">
        <v>74</v>
      </c>
      <c r="L997" t="s">
        <v>74</v>
      </c>
      <c r="M997" t="s">
        <v>78</v>
      </c>
      <c r="N997" t="s">
        <v>79</v>
      </c>
      <c r="O997" t="s">
        <v>74</v>
      </c>
      <c r="P997" t="s">
        <v>74</v>
      </c>
      <c r="Q997" t="s">
        <v>74</v>
      </c>
      <c r="R997" t="s">
        <v>74</v>
      </c>
      <c r="S997" t="s">
        <v>74</v>
      </c>
      <c r="T997" t="s">
        <v>18869</v>
      </c>
      <c r="U997" t="s">
        <v>18870</v>
      </c>
      <c r="V997" t="s">
        <v>18871</v>
      </c>
      <c r="W997" t="s">
        <v>18872</v>
      </c>
      <c r="X997" t="s">
        <v>18873</v>
      </c>
      <c r="Y997" t="s">
        <v>18874</v>
      </c>
      <c r="Z997" t="s">
        <v>18875</v>
      </c>
      <c r="AA997" t="s">
        <v>74</v>
      </c>
      <c r="AB997" t="s">
        <v>74</v>
      </c>
      <c r="AC997" t="s">
        <v>18876</v>
      </c>
      <c r="AD997" t="s">
        <v>18877</v>
      </c>
      <c r="AE997" t="s">
        <v>18878</v>
      </c>
      <c r="AF997" t="s">
        <v>74</v>
      </c>
      <c r="AG997">
        <v>71</v>
      </c>
      <c r="AH997">
        <v>16</v>
      </c>
      <c r="AI997">
        <v>19</v>
      </c>
      <c r="AJ997">
        <v>0</v>
      </c>
      <c r="AK997">
        <v>25</v>
      </c>
      <c r="AL997" t="s">
        <v>337</v>
      </c>
      <c r="AM997" t="s">
        <v>258</v>
      </c>
      <c r="AN997" t="s">
        <v>338</v>
      </c>
      <c r="AO997" t="s">
        <v>1204</v>
      </c>
      <c r="AP997" t="s">
        <v>1205</v>
      </c>
      <c r="AQ997" t="s">
        <v>74</v>
      </c>
      <c r="AR997" t="s">
        <v>1206</v>
      </c>
      <c r="AS997" t="s">
        <v>1207</v>
      </c>
      <c r="AT997" t="s">
        <v>17418</v>
      </c>
      <c r="AU997">
        <v>2018</v>
      </c>
      <c r="AV997">
        <v>41</v>
      </c>
      <c r="AW997">
        <v>6</v>
      </c>
      <c r="AX997" t="s">
        <v>74</v>
      </c>
      <c r="AY997" t="s">
        <v>74</v>
      </c>
      <c r="AZ997" t="s">
        <v>74</v>
      </c>
      <c r="BA997" t="s">
        <v>74</v>
      </c>
      <c r="BB997">
        <v>1111</v>
      </c>
      <c r="BC997">
        <v>1122</v>
      </c>
      <c r="BD997" t="s">
        <v>74</v>
      </c>
      <c r="BE997" t="s">
        <v>18879</v>
      </c>
      <c r="BF997" t="str">
        <f>HYPERLINK("http://dx.doi.org/10.1007/s00300-018-2271-z","http://dx.doi.org/10.1007/s00300-018-2271-z")</f>
        <v>http://dx.doi.org/10.1007/s00300-018-2271-z</v>
      </c>
      <c r="BG997" t="s">
        <v>74</v>
      </c>
      <c r="BH997" t="s">
        <v>74</v>
      </c>
      <c r="BI997">
        <v>12</v>
      </c>
      <c r="BJ997" t="s">
        <v>1209</v>
      </c>
      <c r="BK997" t="s">
        <v>101</v>
      </c>
      <c r="BL997" t="s">
        <v>1210</v>
      </c>
      <c r="BM997" t="s">
        <v>18864</v>
      </c>
      <c r="BN997" t="s">
        <v>74</v>
      </c>
      <c r="BO997" t="s">
        <v>1142</v>
      </c>
      <c r="BP997" t="s">
        <v>74</v>
      </c>
      <c r="BQ997" t="s">
        <v>74</v>
      </c>
      <c r="BR997" t="s">
        <v>104</v>
      </c>
      <c r="BS997" t="s">
        <v>18880</v>
      </c>
      <c r="BT997" t="str">
        <f>HYPERLINK("https%3A%2F%2Fwww.webofscience.com%2Fwos%2Fwoscc%2Ffull-record%2FWOS:000434253800005","View Full Record in Web of Science")</f>
        <v>View Full Record in Web of Science</v>
      </c>
    </row>
    <row r="998" spans="1:72" x14ac:dyDescent="0.15">
      <c r="A998" t="s">
        <v>72</v>
      </c>
      <c r="B998" t="s">
        <v>18881</v>
      </c>
      <c r="C998" t="s">
        <v>74</v>
      </c>
      <c r="D998" t="s">
        <v>74</v>
      </c>
      <c r="E998" t="s">
        <v>74</v>
      </c>
      <c r="F998" t="s">
        <v>18882</v>
      </c>
      <c r="G998" t="s">
        <v>74</v>
      </c>
      <c r="H998" t="s">
        <v>74</v>
      </c>
      <c r="I998" t="s">
        <v>18883</v>
      </c>
      <c r="J998" t="s">
        <v>1192</v>
      </c>
      <c r="K998" t="s">
        <v>74</v>
      </c>
      <c r="L998" t="s">
        <v>74</v>
      </c>
      <c r="M998" t="s">
        <v>78</v>
      </c>
      <c r="N998" t="s">
        <v>79</v>
      </c>
      <c r="O998" t="s">
        <v>74</v>
      </c>
      <c r="P998" t="s">
        <v>74</v>
      </c>
      <c r="Q998" t="s">
        <v>74</v>
      </c>
      <c r="R998" t="s">
        <v>74</v>
      </c>
      <c r="S998" t="s">
        <v>74</v>
      </c>
      <c r="T998" t="s">
        <v>18884</v>
      </c>
      <c r="U998" t="s">
        <v>18885</v>
      </c>
      <c r="V998" t="s">
        <v>18886</v>
      </c>
      <c r="W998" t="s">
        <v>18887</v>
      </c>
      <c r="X998" t="s">
        <v>18888</v>
      </c>
      <c r="Y998" t="s">
        <v>18889</v>
      </c>
      <c r="Z998" t="s">
        <v>18890</v>
      </c>
      <c r="AA998" t="s">
        <v>18891</v>
      </c>
      <c r="AB998" t="s">
        <v>18892</v>
      </c>
      <c r="AC998" t="s">
        <v>18893</v>
      </c>
      <c r="AD998" t="s">
        <v>18894</v>
      </c>
      <c r="AE998" t="s">
        <v>18895</v>
      </c>
      <c r="AF998" t="s">
        <v>74</v>
      </c>
      <c r="AG998">
        <v>29</v>
      </c>
      <c r="AH998">
        <v>23</v>
      </c>
      <c r="AI998">
        <v>24</v>
      </c>
      <c r="AJ998">
        <v>0</v>
      </c>
      <c r="AK998">
        <v>16</v>
      </c>
      <c r="AL998" t="s">
        <v>337</v>
      </c>
      <c r="AM998" t="s">
        <v>258</v>
      </c>
      <c r="AN998" t="s">
        <v>338</v>
      </c>
      <c r="AO998" t="s">
        <v>1204</v>
      </c>
      <c r="AP998" t="s">
        <v>1205</v>
      </c>
      <c r="AQ998" t="s">
        <v>74</v>
      </c>
      <c r="AR998" t="s">
        <v>1206</v>
      </c>
      <c r="AS998" t="s">
        <v>1207</v>
      </c>
      <c r="AT998" t="s">
        <v>17418</v>
      </c>
      <c r="AU998">
        <v>2018</v>
      </c>
      <c r="AV998">
        <v>41</v>
      </c>
      <c r="AW998">
        <v>6</v>
      </c>
      <c r="AX998" t="s">
        <v>74</v>
      </c>
      <c r="AY998" t="s">
        <v>74</v>
      </c>
      <c r="AZ998" t="s">
        <v>74</v>
      </c>
      <c r="BA998" t="s">
        <v>74</v>
      </c>
      <c r="BB998">
        <v>1143</v>
      </c>
      <c r="BC998">
        <v>1155</v>
      </c>
      <c r="BD998" t="s">
        <v>74</v>
      </c>
      <c r="BE998" t="s">
        <v>18896</v>
      </c>
      <c r="BF998" t="str">
        <f>HYPERLINK("http://dx.doi.org/10.1007/s00300-018-2274-9","http://dx.doi.org/10.1007/s00300-018-2274-9")</f>
        <v>http://dx.doi.org/10.1007/s00300-018-2274-9</v>
      </c>
      <c r="BG998" t="s">
        <v>74</v>
      </c>
      <c r="BH998" t="s">
        <v>74</v>
      </c>
      <c r="BI998">
        <v>13</v>
      </c>
      <c r="BJ998" t="s">
        <v>1209</v>
      </c>
      <c r="BK998" t="s">
        <v>101</v>
      </c>
      <c r="BL998" t="s">
        <v>1210</v>
      </c>
      <c r="BM998" t="s">
        <v>18864</v>
      </c>
      <c r="BN998" t="s">
        <v>74</v>
      </c>
      <c r="BO998" t="s">
        <v>74</v>
      </c>
      <c r="BP998" t="s">
        <v>74</v>
      </c>
      <c r="BQ998" t="s">
        <v>74</v>
      </c>
      <c r="BR998" t="s">
        <v>104</v>
      </c>
      <c r="BS998" t="s">
        <v>18897</v>
      </c>
      <c r="BT998" t="str">
        <f>HYPERLINK("https%3A%2F%2Fwww.webofscience.com%2Fwos%2Fwoscc%2Ffull-record%2FWOS:000434253800008","View Full Record in Web of Science")</f>
        <v>View Full Record in Web of Science</v>
      </c>
    </row>
    <row r="999" spans="1:72" x14ac:dyDescent="0.15">
      <c r="A999" t="s">
        <v>72</v>
      </c>
      <c r="B999" t="s">
        <v>18898</v>
      </c>
      <c r="C999" t="s">
        <v>74</v>
      </c>
      <c r="D999" t="s">
        <v>74</v>
      </c>
      <c r="E999" t="s">
        <v>74</v>
      </c>
      <c r="F999" t="s">
        <v>18899</v>
      </c>
      <c r="G999" t="s">
        <v>74</v>
      </c>
      <c r="H999" t="s">
        <v>74</v>
      </c>
      <c r="I999" t="s">
        <v>18900</v>
      </c>
      <c r="J999" t="s">
        <v>1192</v>
      </c>
      <c r="K999" t="s">
        <v>74</v>
      </c>
      <c r="L999" t="s">
        <v>74</v>
      </c>
      <c r="M999" t="s">
        <v>78</v>
      </c>
      <c r="N999" t="s">
        <v>79</v>
      </c>
      <c r="O999" t="s">
        <v>74</v>
      </c>
      <c r="P999" t="s">
        <v>74</v>
      </c>
      <c r="Q999" t="s">
        <v>74</v>
      </c>
      <c r="R999" t="s">
        <v>74</v>
      </c>
      <c r="S999" t="s">
        <v>74</v>
      </c>
      <c r="T999" t="s">
        <v>18901</v>
      </c>
      <c r="U999" t="s">
        <v>18902</v>
      </c>
      <c r="V999" t="s">
        <v>18903</v>
      </c>
      <c r="W999" t="s">
        <v>18904</v>
      </c>
      <c r="X999" t="s">
        <v>18905</v>
      </c>
      <c r="Y999" t="s">
        <v>18906</v>
      </c>
      <c r="Z999" t="s">
        <v>18907</v>
      </c>
      <c r="AA999" t="s">
        <v>74</v>
      </c>
      <c r="AB999" t="s">
        <v>18908</v>
      </c>
      <c r="AC999" t="s">
        <v>18909</v>
      </c>
      <c r="AD999" t="s">
        <v>18910</v>
      </c>
      <c r="AE999" t="s">
        <v>18911</v>
      </c>
      <c r="AF999" t="s">
        <v>74</v>
      </c>
      <c r="AG999">
        <v>36</v>
      </c>
      <c r="AH999">
        <v>6</v>
      </c>
      <c r="AI999">
        <v>7</v>
      </c>
      <c r="AJ999">
        <v>0</v>
      </c>
      <c r="AK999">
        <v>1</v>
      </c>
      <c r="AL999" t="s">
        <v>337</v>
      </c>
      <c r="AM999" t="s">
        <v>258</v>
      </c>
      <c r="AN999" t="s">
        <v>338</v>
      </c>
      <c r="AO999" t="s">
        <v>1204</v>
      </c>
      <c r="AP999" t="s">
        <v>1205</v>
      </c>
      <c r="AQ999" t="s">
        <v>74</v>
      </c>
      <c r="AR999" t="s">
        <v>1206</v>
      </c>
      <c r="AS999" t="s">
        <v>1207</v>
      </c>
      <c r="AT999" t="s">
        <v>17418</v>
      </c>
      <c r="AU999">
        <v>2018</v>
      </c>
      <c r="AV999">
        <v>41</v>
      </c>
      <c r="AW999">
        <v>6</v>
      </c>
      <c r="AX999" t="s">
        <v>74</v>
      </c>
      <c r="AY999" t="s">
        <v>74</v>
      </c>
      <c r="AZ999" t="s">
        <v>74</v>
      </c>
      <c r="BA999" t="s">
        <v>74</v>
      </c>
      <c r="BB999">
        <v>1157</v>
      </c>
      <c r="BC999">
        <v>1174</v>
      </c>
      <c r="BD999" t="s">
        <v>74</v>
      </c>
      <c r="BE999" t="s">
        <v>18912</v>
      </c>
      <c r="BF999" t="str">
        <f>HYPERLINK("http://dx.doi.org/10.1007/s00300-018-2275-8","http://dx.doi.org/10.1007/s00300-018-2275-8")</f>
        <v>http://dx.doi.org/10.1007/s00300-018-2275-8</v>
      </c>
      <c r="BG999" t="s">
        <v>74</v>
      </c>
      <c r="BH999" t="s">
        <v>74</v>
      </c>
      <c r="BI999">
        <v>18</v>
      </c>
      <c r="BJ999" t="s">
        <v>1209</v>
      </c>
      <c r="BK999" t="s">
        <v>101</v>
      </c>
      <c r="BL999" t="s">
        <v>1210</v>
      </c>
      <c r="BM999" t="s">
        <v>18864</v>
      </c>
      <c r="BN999" t="s">
        <v>74</v>
      </c>
      <c r="BO999" t="s">
        <v>2282</v>
      </c>
      <c r="BP999" t="s">
        <v>74</v>
      </c>
      <c r="BQ999" t="s">
        <v>74</v>
      </c>
      <c r="BR999" t="s">
        <v>104</v>
      </c>
      <c r="BS999" t="s">
        <v>18913</v>
      </c>
      <c r="BT999" t="str">
        <f>HYPERLINK("https%3A%2F%2Fwww.webofscience.com%2Fwos%2Fwoscc%2Ffull-record%2FWOS:000434253800009","View Full Record in Web of Science")</f>
        <v>View Full Record in Web of Science</v>
      </c>
    </row>
    <row r="1000" spans="1:72" x14ac:dyDescent="0.15">
      <c r="A1000" t="s">
        <v>72</v>
      </c>
      <c r="B1000" t="s">
        <v>18914</v>
      </c>
      <c r="C1000" t="s">
        <v>74</v>
      </c>
      <c r="D1000" t="s">
        <v>74</v>
      </c>
      <c r="E1000" t="s">
        <v>74</v>
      </c>
      <c r="F1000" t="s">
        <v>18915</v>
      </c>
      <c r="G1000" t="s">
        <v>74</v>
      </c>
      <c r="H1000" t="s">
        <v>74</v>
      </c>
      <c r="I1000" t="s">
        <v>18916</v>
      </c>
      <c r="J1000" t="s">
        <v>1192</v>
      </c>
      <c r="K1000" t="s">
        <v>74</v>
      </c>
      <c r="L1000" t="s">
        <v>74</v>
      </c>
      <c r="M1000" t="s">
        <v>78</v>
      </c>
      <c r="N1000" t="s">
        <v>79</v>
      </c>
      <c r="O1000" t="s">
        <v>74</v>
      </c>
      <c r="P1000" t="s">
        <v>74</v>
      </c>
      <c r="Q1000" t="s">
        <v>74</v>
      </c>
      <c r="R1000" t="s">
        <v>74</v>
      </c>
      <c r="S1000" t="s">
        <v>74</v>
      </c>
      <c r="T1000" t="s">
        <v>18917</v>
      </c>
      <c r="U1000" t="s">
        <v>18918</v>
      </c>
      <c r="V1000" t="s">
        <v>18919</v>
      </c>
      <c r="W1000" t="s">
        <v>18920</v>
      </c>
      <c r="X1000" t="s">
        <v>18921</v>
      </c>
      <c r="Y1000" t="s">
        <v>18922</v>
      </c>
      <c r="Z1000" t="s">
        <v>18923</v>
      </c>
      <c r="AA1000" t="s">
        <v>18924</v>
      </c>
      <c r="AB1000" t="s">
        <v>18925</v>
      </c>
      <c r="AC1000" t="s">
        <v>18926</v>
      </c>
      <c r="AD1000" t="s">
        <v>18926</v>
      </c>
      <c r="AE1000" t="s">
        <v>18927</v>
      </c>
      <c r="AF1000" t="s">
        <v>74</v>
      </c>
      <c r="AG1000">
        <v>74</v>
      </c>
      <c r="AH1000">
        <v>6</v>
      </c>
      <c r="AI1000">
        <v>8</v>
      </c>
      <c r="AJ1000">
        <v>0</v>
      </c>
      <c r="AK1000">
        <v>10</v>
      </c>
      <c r="AL1000" t="s">
        <v>337</v>
      </c>
      <c r="AM1000" t="s">
        <v>258</v>
      </c>
      <c r="AN1000" t="s">
        <v>338</v>
      </c>
      <c r="AO1000" t="s">
        <v>1204</v>
      </c>
      <c r="AP1000" t="s">
        <v>1205</v>
      </c>
      <c r="AQ1000" t="s">
        <v>74</v>
      </c>
      <c r="AR1000" t="s">
        <v>1206</v>
      </c>
      <c r="AS1000" t="s">
        <v>1207</v>
      </c>
      <c r="AT1000" t="s">
        <v>17418</v>
      </c>
      <c r="AU1000">
        <v>2018</v>
      </c>
      <c r="AV1000">
        <v>41</v>
      </c>
      <c r="AW1000">
        <v>6</v>
      </c>
      <c r="AX1000" t="s">
        <v>74</v>
      </c>
      <c r="AY1000" t="s">
        <v>74</v>
      </c>
      <c r="AZ1000" t="s">
        <v>74</v>
      </c>
      <c r="BA1000" t="s">
        <v>74</v>
      </c>
      <c r="BB1000">
        <v>1175</v>
      </c>
      <c r="BC1000">
        <v>1186</v>
      </c>
      <c r="BD1000" t="s">
        <v>74</v>
      </c>
      <c r="BE1000" t="s">
        <v>18928</v>
      </c>
      <c r="BF1000" t="str">
        <f>HYPERLINK("http://dx.doi.org/10.1007/s00300-018-2276-7","http://dx.doi.org/10.1007/s00300-018-2276-7")</f>
        <v>http://dx.doi.org/10.1007/s00300-018-2276-7</v>
      </c>
      <c r="BG1000" t="s">
        <v>74</v>
      </c>
      <c r="BH1000" t="s">
        <v>74</v>
      </c>
      <c r="BI1000">
        <v>12</v>
      </c>
      <c r="BJ1000" t="s">
        <v>1209</v>
      </c>
      <c r="BK1000" t="s">
        <v>101</v>
      </c>
      <c r="BL1000" t="s">
        <v>1210</v>
      </c>
      <c r="BM1000" t="s">
        <v>18864</v>
      </c>
      <c r="BN1000" t="s">
        <v>74</v>
      </c>
      <c r="BO1000" t="s">
        <v>74</v>
      </c>
      <c r="BP1000" t="s">
        <v>74</v>
      </c>
      <c r="BQ1000" t="s">
        <v>74</v>
      </c>
      <c r="BR1000" t="s">
        <v>104</v>
      </c>
      <c r="BS1000" t="s">
        <v>18929</v>
      </c>
      <c r="BT1000" t="str">
        <f>HYPERLINK("https%3A%2F%2Fwww.webofscience.com%2Fwos%2Fwoscc%2Ffull-record%2FWOS:000434253800010","View Full Record in Web of Science")</f>
        <v>View Full Record in Web of Science</v>
      </c>
    </row>
    <row r="1001" spans="1:72" x14ac:dyDescent="0.15">
      <c r="A1001" t="s">
        <v>72</v>
      </c>
      <c r="B1001" t="s">
        <v>18930</v>
      </c>
      <c r="C1001" t="s">
        <v>74</v>
      </c>
      <c r="D1001" t="s">
        <v>74</v>
      </c>
      <c r="E1001" t="s">
        <v>74</v>
      </c>
      <c r="F1001" t="s">
        <v>18931</v>
      </c>
      <c r="G1001" t="s">
        <v>74</v>
      </c>
      <c r="H1001" t="s">
        <v>74</v>
      </c>
      <c r="I1001" t="s">
        <v>18932</v>
      </c>
      <c r="J1001" t="s">
        <v>1192</v>
      </c>
      <c r="K1001" t="s">
        <v>74</v>
      </c>
      <c r="L1001" t="s">
        <v>74</v>
      </c>
      <c r="M1001" t="s">
        <v>78</v>
      </c>
      <c r="N1001" t="s">
        <v>79</v>
      </c>
      <c r="O1001" t="s">
        <v>74</v>
      </c>
      <c r="P1001" t="s">
        <v>74</v>
      </c>
      <c r="Q1001" t="s">
        <v>74</v>
      </c>
      <c r="R1001" t="s">
        <v>74</v>
      </c>
      <c r="S1001" t="s">
        <v>74</v>
      </c>
      <c r="T1001" t="s">
        <v>18933</v>
      </c>
      <c r="U1001" t="s">
        <v>18934</v>
      </c>
      <c r="V1001" t="s">
        <v>18935</v>
      </c>
      <c r="W1001" t="s">
        <v>18936</v>
      </c>
      <c r="X1001" t="s">
        <v>18937</v>
      </c>
      <c r="Y1001" t="s">
        <v>18938</v>
      </c>
      <c r="Z1001" t="s">
        <v>18939</v>
      </c>
      <c r="AA1001" t="s">
        <v>18940</v>
      </c>
      <c r="AB1001" t="s">
        <v>8680</v>
      </c>
      <c r="AC1001" t="s">
        <v>74</v>
      </c>
      <c r="AD1001" t="s">
        <v>74</v>
      </c>
      <c r="AE1001" t="s">
        <v>74</v>
      </c>
      <c r="AF1001" t="s">
        <v>74</v>
      </c>
      <c r="AG1001">
        <v>76</v>
      </c>
      <c r="AH1001">
        <v>2</v>
      </c>
      <c r="AI1001">
        <v>2</v>
      </c>
      <c r="AJ1001">
        <v>0</v>
      </c>
      <c r="AK1001">
        <v>10</v>
      </c>
      <c r="AL1001" t="s">
        <v>337</v>
      </c>
      <c r="AM1001" t="s">
        <v>258</v>
      </c>
      <c r="AN1001" t="s">
        <v>338</v>
      </c>
      <c r="AO1001" t="s">
        <v>1204</v>
      </c>
      <c r="AP1001" t="s">
        <v>1205</v>
      </c>
      <c r="AQ1001" t="s">
        <v>74</v>
      </c>
      <c r="AR1001" t="s">
        <v>1206</v>
      </c>
      <c r="AS1001" t="s">
        <v>1207</v>
      </c>
      <c r="AT1001" t="s">
        <v>17418</v>
      </c>
      <c r="AU1001">
        <v>2018</v>
      </c>
      <c r="AV1001">
        <v>41</v>
      </c>
      <c r="AW1001">
        <v>6</v>
      </c>
      <c r="AX1001" t="s">
        <v>74</v>
      </c>
      <c r="AY1001" t="s">
        <v>74</v>
      </c>
      <c r="AZ1001" t="s">
        <v>74</v>
      </c>
      <c r="BA1001" t="s">
        <v>74</v>
      </c>
      <c r="BB1001">
        <v>1245</v>
      </c>
      <c r="BC1001">
        <v>1255</v>
      </c>
      <c r="BD1001" t="s">
        <v>74</v>
      </c>
      <c r="BE1001" t="s">
        <v>18941</v>
      </c>
      <c r="BF1001" t="str">
        <f>HYPERLINK("http://dx.doi.org/10.1007/s00300-018-2281-x","http://dx.doi.org/10.1007/s00300-018-2281-x")</f>
        <v>http://dx.doi.org/10.1007/s00300-018-2281-x</v>
      </c>
      <c r="BG1001" t="s">
        <v>74</v>
      </c>
      <c r="BH1001" t="s">
        <v>74</v>
      </c>
      <c r="BI1001">
        <v>11</v>
      </c>
      <c r="BJ1001" t="s">
        <v>1209</v>
      </c>
      <c r="BK1001" t="s">
        <v>101</v>
      </c>
      <c r="BL1001" t="s">
        <v>1210</v>
      </c>
      <c r="BM1001" t="s">
        <v>18864</v>
      </c>
      <c r="BN1001" t="s">
        <v>74</v>
      </c>
      <c r="BO1001" t="s">
        <v>74</v>
      </c>
      <c r="BP1001" t="s">
        <v>74</v>
      </c>
      <c r="BQ1001" t="s">
        <v>74</v>
      </c>
      <c r="BR1001" t="s">
        <v>104</v>
      </c>
      <c r="BS1001" t="s">
        <v>18942</v>
      </c>
      <c r="BT1001" t="str">
        <f>HYPERLINK("https%3A%2F%2Fwww.webofscience.com%2Fwos%2Fwoscc%2Ffull-record%2FWOS:000434253800015","View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2024-07-28T15:23:49Z</dcterms:created>
  <dcterms:modified xsi:type="dcterms:W3CDTF">2024-07-28T15:23:50Z</dcterms:modified>
</cp:coreProperties>
</file>